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40" windowWidth="12120" windowHeight="7590" tabRatio="938" firstSheet="14" activeTab="15"/>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state="hidden" r:id="rId21"/>
    <sheet name="基准地价修正" sheetId="43" r:id="rId22"/>
    <sheet name="收益法（汇总）" sheetId="70" r:id="rId23"/>
    <sheet name="收益法 (办公)" sheetId="75" r:id="rId24"/>
    <sheet name="收益法（商业）" sheetId="15" r:id="rId25"/>
    <sheet name="收益法 (酒店)" sheetId="76" r:id="rId26"/>
    <sheet name="假设开发法" sheetId="12" state="hidden" r:id="rId27"/>
    <sheet name="收益法（商业） (地下)" sheetId="77" state="hidden" r:id="rId28"/>
    <sheet name="成本法 (元)" sheetId="69" state="hidden"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s>
  <externalReferences>
    <externalReference r:id="rId4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估价师及机构信息!$A$1:$F$24</definedName>
    <definedName name="_xlnm.Print_Area" localSheetId="23">'收益法 (办公)'!$A$1:$AK$69</definedName>
    <definedName name="_xlnm.Print_Area" localSheetId="25">'收益法 (酒店)'!$A$1:$AK$69</definedName>
    <definedName name="_xlnm.Print_Area" localSheetId="29">'收益法 (元)'!$A$1:$AK$69</definedName>
    <definedName name="_xlnm.Print_Area" localSheetId="24">'收益法（商业）'!$A$1:$AK$69</definedName>
    <definedName name="_xlnm.Print_Area" localSheetId="27">'收益法（商业） (地下)'!$A$1:$AK$69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I8" i="1"/>
  <c r="I7"/>
  <c r="H8"/>
  <c r="H7"/>
  <c r="H6"/>
  <c r="B3" i="80" l="1"/>
  <c r="B2"/>
  <c r="B1"/>
  <c r="I14"/>
  <c r="G14"/>
  <c r="C14"/>
  <c r="B14"/>
  <c r="AD8" i="1" l="1"/>
  <c r="AD7"/>
  <c r="AD6"/>
  <c r="N14"/>
  <c r="N8"/>
  <c r="N7"/>
  <c r="N6"/>
  <c r="E39" i="78"/>
  <c r="H10"/>
  <c r="H11"/>
  <c r="H12"/>
  <c r="D39"/>
  <c r="H9"/>
  <c r="Y8" i="1" l="1"/>
  <c r="Y7"/>
  <c r="Y6"/>
  <c r="U5" i="43" l="1"/>
  <c r="U4"/>
  <c r="U3"/>
  <c r="U2"/>
  <c r="F20" i="6"/>
  <c r="F21"/>
  <c r="K14" i="3"/>
  <c r="M15"/>
  <c r="A3"/>
  <c r="E38" i="78"/>
  <c r="E40" s="1"/>
  <c r="D40"/>
  <c r="I13" i="3" s="1"/>
  <c r="C40" i="78"/>
  <c r="C38"/>
  <c r="D38"/>
  <c r="C11"/>
  <c r="C2"/>
  <c r="F19" i="6" l="1"/>
  <c r="F40" i="78"/>
  <c r="C38" i="39"/>
  <c r="Q72" i="77" l="1"/>
  <c r="Q59"/>
  <c r="F59"/>
  <c r="Q58"/>
  <c r="J58"/>
  <c r="Q51"/>
  <c r="Q50"/>
  <c r="J50"/>
  <c r="M47"/>
  <c r="D46"/>
  <c r="F33"/>
  <c r="F61" s="1"/>
  <c r="F31"/>
  <c r="F23"/>
  <c r="D23" s="1"/>
  <c r="F21"/>
  <c r="F20"/>
  <c r="M19"/>
  <c r="F18"/>
  <c r="M17"/>
  <c r="F17"/>
  <c r="F15"/>
  <c r="D24" l="1"/>
  <c r="D22"/>
  <c r="E57" i="39" l="1"/>
  <c r="Q72" i="76"/>
  <c r="Q59"/>
  <c r="F59"/>
  <c r="Q58"/>
  <c r="Q51"/>
  <c r="Q50"/>
  <c r="J50"/>
  <c r="M47"/>
  <c r="D46"/>
  <c r="F33"/>
  <c r="F61" s="1"/>
  <c r="F31"/>
  <c r="F23"/>
  <c r="D24" s="1"/>
  <c r="F21"/>
  <c r="F20"/>
  <c r="M19"/>
  <c r="F18"/>
  <c r="M17"/>
  <c r="F17"/>
  <c r="F15"/>
  <c r="Q72" i="75"/>
  <c r="Q59"/>
  <c r="F59"/>
  <c r="Q58"/>
  <c r="Q51"/>
  <c r="Q50"/>
  <c r="J50"/>
  <c r="M47"/>
  <c r="D46"/>
  <c r="F33"/>
  <c r="F61" s="1"/>
  <c r="F31"/>
  <c r="F23"/>
  <c r="D23" s="1"/>
  <c r="F21"/>
  <c r="F20"/>
  <c r="M19"/>
  <c r="F18"/>
  <c r="M17"/>
  <c r="F17"/>
  <c r="F15"/>
  <c r="G1"/>
  <c r="D22" i="76" l="1"/>
  <c r="D23"/>
  <c r="D24" i="75"/>
  <c r="D22"/>
  <c r="C91" i="9"/>
  <c r="M28" i="75"/>
  <c r="F9"/>
  <c r="F40"/>
  <c r="J15"/>
  <c r="C76"/>
  <c r="M24"/>
  <c r="F26"/>
  <c r="F6"/>
  <c r="M23"/>
  <c r="M26"/>
  <c r="F8"/>
  <c r="F36"/>
  <c r="M8"/>
  <c r="F37"/>
  <c r="F38"/>
  <c r="F42"/>
  <c r="F16"/>
  <c r="F13"/>
  <c r="M9"/>
  <c r="M22"/>
  <c r="M6"/>
  <c r="F51" l="1"/>
  <c r="F68"/>
  <c r="C27"/>
  <c r="F64"/>
  <c r="F66"/>
  <c r="F65"/>
  <c r="Q71"/>
  <c r="B8" i="72"/>
  <c r="M19" i="43"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D6" i="73"/>
  <c r="D5"/>
  <c r="F6"/>
  <c r="F4"/>
  <c r="F5"/>
  <c r="F3"/>
  <c r="D3"/>
  <c r="D4"/>
  <c r="D7"/>
  <c r="I1" l="1"/>
  <c r="B39" i="1" s="1"/>
  <c r="D3" i="34"/>
  <c r="D3" i="33"/>
  <c r="D3" i="21"/>
  <c r="F11" i="77" l="1"/>
  <c r="M11"/>
  <c r="F11" i="76"/>
  <c r="M11"/>
  <c r="F11" i="75"/>
  <c r="M11"/>
  <c r="Y12" i="43"/>
  <c r="Y10"/>
  <c r="AJ9"/>
  <c r="AJ12" s="1"/>
  <c r="AI9"/>
  <c r="AI12" s="1"/>
  <c r="AH9"/>
  <c r="AH12" s="1"/>
  <c r="AG9"/>
  <c r="AG12" s="1"/>
  <c r="AF9"/>
  <c r="AF12" s="1"/>
  <c r="AE9"/>
  <c r="AE12" s="1"/>
  <c r="AD9"/>
  <c r="AD12" s="1"/>
  <c r="AC9"/>
  <c r="AC12" s="1"/>
  <c r="AB9"/>
  <c r="AB12" s="1"/>
  <c r="AA9"/>
  <c r="AA12" s="1"/>
  <c r="Z9"/>
  <c r="Z12" s="1"/>
  <c r="C10" i="77" l="1"/>
  <c r="C10" i="76"/>
  <c r="AA10" i="43"/>
  <c r="AC10"/>
  <c r="AE10"/>
  <c r="AG10"/>
  <c r="AI10"/>
  <c r="Z10"/>
  <c r="AB10"/>
  <c r="AD10"/>
  <c r="AF10"/>
  <c r="AH10"/>
  <c r="AJ10"/>
  <c r="K49" i="9" l="1"/>
  <c r="E107"/>
  <c r="A122" s="1"/>
  <c r="E111"/>
  <c r="E109"/>
  <c r="A124" s="1"/>
  <c r="B44" i="72" l="1"/>
  <c r="B42"/>
  <c r="B69"/>
  <c r="B68"/>
  <c r="B63"/>
  <c r="B62"/>
  <c r="B60"/>
  <c r="B59"/>
  <c r="B58"/>
  <c r="B16"/>
  <c r="A19" i="62" l="1"/>
  <c r="B65" i="72" s="1"/>
  <c r="A14" i="62"/>
  <c r="A13"/>
  <c r="A12"/>
  <c r="A21"/>
  <c r="B67" i="72" s="1"/>
  <c r="A20" i="62"/>
  <c r="B66" i="72" s="1"/>
  <c r="A19" i="51" l="1"/>
  <c r="B14" i="72" s="1"/>
  <c r="A15" i="51"/>
  <c r="B12" i="72" s="1"/>
  <c r="B10" l="1"/>
  <c r="A13" i="51" l="1"/>
  <c r="B11" i="72" s="1"/>
  <c r="C53" i="10"/>
  <c r="B51"/>
  <c r="A2" i="53"/>
  <c r="B19" i="72" s="1"/>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R10" i="1" l="1"/>
  <c r="R11"/>
  <c r="R12"/>
  <c r="R13"/>
  <c r="O27" i="6" l="1"/>
  <c r="N27"/>
  <c r="P20"/>
  <c r="P21"/>
  <c r="P22"/>
  <c r="P23"/>
  <c r="P24"/>
  <c r="P25"/>
  <c r="P26"/>
  <c r="P19"/>
  <c r="AP8" i="1"/>
  <c r="AP9"/>
  <c r="AP10"/>
  <c r="AP11"/>
  <c r="AP12"/>
  <c r="AP13"/>
  <c r="L21" i="6"/>
  <c r="L22"/>
  <c r="L23"/>
  <c r="L24"/>
  <c r="L25"/>
  <c r="L26"/>
  <c r="P27" l="1"/>
  <c r="A7" i="70"/>
  <c r="A8"/>
  <c r="A9"/>
  <c r="A10"/>
  <c r="E10" s="1"/>
  <c r="A11"/>
  <c r="E11" s="1"/>
  <c r="A12"/>
  <c r="E12" s="1"/>
  <c r="A13"/>
  <c r="E13" s="1"/>
  <c r="A6"/>
  <c r="B86" i="43" l="1"/>
  <c r="B75"/>
  <c r="B66"/>
  <c r="B55"/>
  <c r="AO12" i="1"/>
  <c r="AO13"/>
  <c r="AO11"/>
  <c r="AO10"/>
  <c r="B13" i="70" l="1"/>
  <c r="B11"/>
  <c r="B12"/>
  <c r="B10"/>
  <c r="AC25" i="40"/>
  <c r="AB25"/>
  <c r="AA25"/>
  <c r="Z25"/>
  <c r="W25"/>
  <c r="U25"/>
  <c r="S25"/>
  <c r="Q25"/>
  <c r="D94"/>
  <c r="E94" s="1"/>
  <c r="F25"/>
  <c r="C25"/>
  <c r="Z29" i="39"/>
  <c r="Q29"/>
  <c r="D103"/>
  <c r="E103" s="1"/>
  <c r="F29"/>
  <c r="AA29" s="1"/>
  <c r="C29"/>
  <c r="AC18" i="36"/>
  <c r="AB18"/>
  <c r="AA18"/>
  <c r="Z18"/>
  <c r="W18"/>
  <c r="U18"/>
  <c r="S18"/>
  <c r="Q18"/>
  <c r="E66"/>
  <c r="F66" s="1"/>
  <c r="D66"/>
  <c r="H18"/>
  <c r="F18"/>
  <c r="C18"/>
  <c r="Z18" i="35"/>
  <c r="Q18"/>
  <c r="D68"/>
  <c r="E68" s="1"/>
  <c r="F18"/>
  <c r="AA18" s="1"/>
  <c r="C18"/>
  <c r="AC21" i="37"/>
  <c r="AB21"/>
  <c r="AA21"/>
  <c r="Z21"/>
  <c r="W21"/>
  <c r="U21"/>
  <c r="S21"/>
  <c r="Q21"/>
  <c r="D77"/>
  <c r="E77" s="1"/>
  <c r="C21"/>
  <c r="AC21" i="34"/>
  <c r="AB21"/>
  <c r="AA21"/>
  <c r="Z21"/>
  <c r="W21"/>
  <c r="U21"/>
  <c r="S21"/>
  <c r="Q21"/>
  <c r="D84"/>
  <c r="E84" s="1"/>
  <c r="F21"/>
  <c r="C21"/>
  <c r="AC21" i="33"/>
  <c r="AB21"/>
  <c r="AA21"/>
  <c r="W21"/>
  <c r="U21"/>
  <c r="S21"/>
  <c r="Z21"/>
  <c r="Q21"/>
  <c r="D83"/>
  <c r="E83" s="1"/>
  <c r="C21"/>
  <c r="C21" i="21"/>
  <c r="Z21"/>
  <c r="Q21"/>
  <c r="H19"/>
  <c r="F23"/>
  <c r="D83"/>
  <c r="F21" s="1"/>
  <c r="AA21" s="1"/>
  <c r="D81"/>
  <c r="G20" i="20"/>
  <c r="C22"/>
  <c r="S29" i="39" l="1"/>
  <c r="F94" i="40"/>
  <c r="H25"/>
  <c r="G94"/>
  <c r="J25"/>
  <c r="F103" i="39"/>
  <c r="H29"/>
  <c r="G103"/>
  <c r="J29"/>
  <c r="G66" i="36"/>
  <c r="J18"/>
  <c r="F68" i="35"/>
  <c r="H18"/>
  <c r="S18"/>
  <c r="G68"/>
  <c r="J18"/>
  <c r="F77" i="37"/>
  <c r="H21"/>
  <c r="F21"/>
  <c r="F84" i="34"/>
  <c r="H21"/>
  <c r="F83" i="33"/>
  <c r="H21"/>
  <c r="F21"/>
  <c r="E83" i="21"/>
  <c r="S21"/>
  <c r="H1" i="69"/>
  <c r="AC29" i="39" l="1"/>
  <c r="W29"/>
  <c r="AB29"/>
  <c r="U29"/>
  <c r="AB18" i="35"/>
  <c r="U18"/>
  <c r="AC18"/>
  <c r="W18"/>
  <c r="G77" i="37"/>
  <c r="J21"/>
  <c r="G84" i="34"/>
  <c r="J21"/>
  <c r="G83" i="33"/>
  <c r="J21"/>
  <c r="F83" i="21"/>
  <c r="H21"/>
  <c r="F38" i="69"/>
  <c r="E37"/>
  <c r="F36"/>
  <c r="F35"/>
  <c r="F21"/>
  <c r="C21" s="1"/>
  <c r="F20"/>
  <c r="E10"/>
  <c r="E9"/>
  <c r="F7"/>
  <c r="C7" s="1"/>
  <c r="AB21" i="21" l="1"/>
  <c r="U21"/>
  <c r="G83"/>
  <c r="J21"/>
  <c r="C40" i="69"/>
  <c r="F38" i="68"/>
  <c r="E37"/>
  <c r="F36"/>
  <c r="F35"/>
  <c r="F21"/>
  <c r="C21" s="1"/>
  <c r="F20"/>
  <c r="E10"/>
  <c r="E9"/>
  <c r="F7"/>
  <c r="W21" i="21" l="1"/>
  <c r="AC21"/>
  <c r="C40" i="68"/>
  <c r="Q72" i="67" l="1"/>
  <c r="Q59"/>
  <c r="Q58"/>
  <c r="F59"/>
  <c r="Q51"/>
  <c r="Q50"/>
  <c r="J50"/>
  <c r="M47"/>
  <c r="D46"/>
  <c r="F33"/>
  <c r="F61" s="1"/>
  <c r="F31"/>
  <c r="F23"/>
  <c r="D24" s="1"/>
  <c r="F21"/>
  <c r="F20"/>
  <c r="M19"/>
  <c r="F18"/>
  <c r="M17"/>
  <c r="F17"/>
  <c r="F15"/>
  <c r="D22" l="1"/>
  <c r="D23"/>
  <c r="S2" i="4" l="1"/>
  <c r="C51" i="10" s="1"/>
  <c r="S1" i="4"/>
  <c r="B1"/>
  <c r="C32" i="66"/>
  <c r="C31"/>
  <c r="C30"/>
  <c r="C27"/>
  <c r="E26"/>
  <c r="I23"/>
  <c r="D20"/>
  <c r="I19"/>
  <c r="I18"/>
  <c r="I17"/>
  <c r="I20"/>
  <c r="E15"/>
  <c r="I14"/>
  <c r="I13"/>
  <c r="I12"/>
  <c r="I15"/>
  <c r="I9"/>
  <c r="I8"/>
  <c r="I7"/>
  <c r="I6"/>
  <c r="I5"/>
  <c r="I4"/>
  <c r="I3"/>
  <c r="I10"/>
  <c r="I21"/>
  <c r="D1"/>
  <c r="E10"/>
  <c r="M11" i="15"/>
  <c r="D1" i="43"/>
  <c r="F113"/>
  <c r="N99"/>
  <c r="N108" s="1"/>
  <c r="D99"/>
  <c r="D108" s="1"/>
  <c r="E99"/>
  <c r="E108" s="1"/>
  <c r="F99"/>
  <c r="F108" s="1"/>
  <c r="G99"/>
  <c r="G108" s="1"/>
  <c r="H99"/>
  <c r="H108" s="1"/>
  <c r="I99"/>
  <c r="I108" s="1"/>
  <c r="J99"/>
  <c r="J108" s="1"/>
  <c r="K99"/>
  <c r="K108" s="1"/>
  <c r="L99"/>
  <c r="L108" s="1"/>
  <c r="M99"/>
  <c r="M108" s="1"/>
  <c r="C99"/>
  <c r="C108" s="1"/>
  <c r="J100"/>
  <c r="N100"/>
  <c r="D100"/>
  <c r="G100"/>
  <c r="K100"/>
  <c r="B48"/>
  <c r="B84"/>
  <c r="B83"/>
  <c r="B72"/>
  <c r="B61"/>
  <c r="B50"/>
  <c r="D82"/>
  <c r="D83"/>
  <c r="D84"/>
  <c r="D85"/>
  <c r="D86"/>
  <c r="D87"/>
  <c r="D88"/>
  <c r="D81"/>
  <c r="D67"/>
  <c r="D60"/>
  <c r="D61"/>
  <c r="D62"/>
  <c r="D63"/>
  <c r="D64"/>
  <c r="D65"/>
  <c r="D66"/>
  <c r="D59"/>
  <c r="E59"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s="1"/>
  <c r="D56" s="1"/>
  <c r="M55"/>
  <c r="N55" s="1"/>
  <c r="K55"/>
  <c r="J55" s="1"/>
  <c r="D55" s="1"/>
  <c r="M54"/>
  <c r="N54" s="1"/>
  <c r="K54"/>
  <c r="J54"/>
  <c r="D54" s="1"/>
  <c r="M53"/>
  <c r="N53" s="1"/>
  <c r="K53"/>
  <c r="J53" s="1"/>
  <c r="D53" s="1"/>
  <c r="M52"/>
  <c r="N52"/>
  <c r="K52"/>
  <c r="J52" s="1"/>
  <c r="D52" s="1"/>
  <c r="M51"/>
  <c r="N51" s="1"/>
  <c r="K51"/>
  <c r="J51" s="1"/>
  <c r="D51" s="1"/>
  <c r="M50"/>
  <c r="N50"/>
  <c r="K50"/>
  <c r="J50" s="1"/>
  <c r="D50" s="1"/>
  <c r="M49"/>
  <c r="N49" s="1"/>
  <c r="K49"/>
  <c r="J49" s="1"/>
  <c r="D49" s="1"/>
  <c r="M48"/>
  <c r="N48" s="1"/>
  <c r="K48"/>
  <c r="J48" s="1"/>
  <c r="D48" s="1"/>
  <c r="B57"/>
  <c r="Q72" i="15"/>
  <c r="Q58"/>
  <c r="Q50"/>
  <c r="Q51"/>
  <c r="Q59"/>
  <c r="AE10" i="1"/>
  <c r="AE11"/>
  <c r="AE12"/>
  <c r="AE13"/>
  <c r="M47" i="15"/>
  <c r="AG9" i="1"/>
  <c r="AG10"/>
  <c r="AG11"/>
  <c r="AG12"/>
  <c r="AG13"/>
  <c r="J50" i="15"/>
  <c r="R12" i="31"/>
  <c r="E12"/>
  <c r="F12"/>
  <c r="G12"/>
  <c r="H12"/>
  <c r="I12"/>
  <c r="J12"/>
  <c r="K12"/>
  <c r="L12"/>
  <c r="M12"/>
  <c r="N12"/>
  <c r="O12"/>
  <c r="P12"/>
  <c r="Q12"/>
  <c r="S12"/>
  <c r="D12"/>
  <c r="E10"/>
  <c r="F10"/>
  <c r="G10"/>
  <c r="H10"/>
  <c r="I10"/>
  <c r="J10"/>
  <c r="K10"/>
  <c r="L10"/>
  <c r="M10"/>
  <c r="N10"/>
  <c r="O10"/>
  <c r="P10"/>
  <c r="Q10"/>
  <c r="R10"/>
  <c r="S10"/>
  <c r="D10"/>
  <c r="E8"/>
  <c r="F8"/>
  <c r="G8"/>
  <c r="H8"/>
  <c r="I8"/>
  <c r="J8"/>
  <c r="K8"/>
  <c r="L8"/>
  <c r="M8"/>
  <c r="N8"/>
  <c r="O8"/>
  <c r="P8"/>
  <c r="Q8"/>
  <c r="R8"/>
  <c r="S8"/>
  <c r="D8"/>
  <c r="E6"/>
  <c r="F6"/>
  <c r="G6"/>
  <c r="H6"/>
  <c r="I6"/>
  <c r="J6"/>
  <c r="K6"/>
  <c r="L6"/>
  <c r="M6"/>
  <c r="N6"/>
  <c r="O6"/>
  <c r="P6"/>
  <c r="Q6"/>
  <c r="R6"/>
  <c r="S6"/>
  <c r="D6"/>
  <c r="B2" i="1"/>
  <c r="J51" i="77" s="1"/>
  <c r="F15" i="4"/>
  <c r="F10" i="1"/>
  <c r="G10" s="1"/>
  <c r="F11"/>
  <c r="F12"/>
  <c r="F13"/>
  <c r="G13" s="1"/>
  <c r="D6"/>
  <c r="D9"/>
  <c r="D10"/>
  <c r="D11"/>
  <c r="D12"/>
  <c r="D13"/>
  <c r="D7"/>
  <c r="D8"/>
  <c r="A7"/>
  <c r="A8"/>
  <c r="A9"/>
  <c r="A10"/>
  <c r="S10" s="1"/>
  <c r="A11"/>
  <c r="S11" s="1"/>
  <c r="A12"/>
  <c r="S12" s="1"/>
  <c r="A13"/>
  <c r="S13" s="1"/>
  <c r="A6"/>
  <c r="B11"/>
  <c r="E11" s="1"/>
  <c r="B7"/>
  <c r="E7" s="1"/>
  <c r="B12"/>
  <c r="E12" s="1"/>
  <c r="K12"/>
  <c r="M12" s="1"/>
  <c r="O12" s="1"/>
  <c r="P12" s="1"/>
  <c r="B10"/>
  <c r="E10" s="1"/>
  <c r="K10"/>
  <c r="B8"/>
  <c r="E8" s="1"/>
  <c r="B13"/>
  <c r="E13" s="1"/>
  <c r="K13"/>
  <c r="M13" s="1"/>
  <c r="O13" s="1"/>
  <c r="P13" s="1"/>
  <c r="G79" i="36"/>
  <c r="G85" i="35"/>
  <c r="G97" i="37"/>
  <c r="G110" i="34"/>
  <c r="G111" i="21"/>
  <c r="G109" i="33"/>
  <c r="D23" i="31"/>
  <c r="L2"/>
  <c r="K2"/>
  <c r="J2"/>
  <c r="I2"/>
  <c r="H2"/>
  <c r="G2"/>
  <c r="F2"/>
  <c r="E2"/>
  <c r="D2"/>
  <c r="C2"/>
  <c r="D46" i="15"/>
  <c r="F59"/>
  <c r="F31"/>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Z19" s="1"/>
  <c r="AX19"/>
  <c r="AW19"/>
  <c r="AV19"/>
  <c r="AC19"/>
  <c r="H19"/>
  <c r="G19" s="1"/>
  <c r="BT18"/>
  <c r="BS18"/>
  <c r="BR18"/>
  <c r="BQ18"/>
  <c r="BP18"/>
  <c r="BO18"/>
  <c r="BN18"/>
  <c r="BM18"/>
  <c r="BL18"/>
  <c r="BK18"/>
  <c r="BJ18"/>
  <c r="BI18"/>
  <c r="BH18"/>
  <c r="BG18"/>
  <c r="BF18"/>
  <c r="BE18"/>
  <c r="BD18"/>
  <c r="BC18"/>
  <c r="BB18"/>
  <c r="BA18" s="1"/>
  <c r="AZ18" s="1"/>
  <c r="AX18"/>
  <c r="AW18"/>
  <c r="AV18"/>
  <c r="AC18"/>
  <c r="G18" s="1"/>
  <c r="H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1" i="1"/>
  <c r="I15" i="4"/>
  <c r="H15"/>
  <c r="G15"/>
  <c r="E15"/>
  <c r="F9" i="1" s="1"/>
  <c r="D15" i="4"/>
  <c r="F7" i="1" s="1"/>
  <c r="G7" s="1"/>
  <c r="L21" i="4"/>
  <c r="F19"/>
  <c r="F2" i="52"/>
  <c r="B50" i="72" s="1"/>
  <c r="D2" i="52"/>
  <c r="B46" i="72" s="1"/>
  <c r="B8" i="53"/>
  <c r="B23" i="72" s="1"/>
  <c r="L4" i="9"/>
  <c r="A24" i="51" s="1"/>
  <c r="B18" i="72" s="1"/>
  <c r="A22" i="51"/>
  <c r="B17" i="72" s="1"/>
  <c r="A20" i="51"/>
  <c r="B15" i="72" s="1"/>
  <c r="A3" i="51"/>
  <c r="C8" i="11"/>
  <c r="C5" s="1"/>
  <c r="B2" i="49"/>
  <c r="B23" s="1"/>
  <c r="B40" i="48"/>
  <c r="B3" i="72" s="1"/>
  <c r="I2" i="43"/>
  <c r="N1" s="1"/>
  <c r="J56" i="9"/>
  <c r="J58"/>
  <c r="F35" i="4"/>
  <c r="J55" i="39" s="1"/>
  <c r="H34" i="43"/>
  <c r="H35"/>
  <c r="H36"/>
  <c r="H37"/>
  <c r="H38"/>
  <c r="H39"/>
  <c r="H33"/>
  <c r="J20"/>
  <c r="P17"/>
  <c r="O17"/>
  <c r="N17"/>
  <c r="G20" s="1"/>
  <c r="M17"/>
  <c r="C18"/>
  <c r="F15"/>
  <c r="E15"/>
  <c r="D15"/>
  <c r="C15"/>
  <c r="C10"/>
  <c r="C11" s="1"/>
  <c r="C9"/>
  <c r="A7"/>
  <c r="F33" i="15"/>
  <c r="F61" s="1"/>
  <c r="M19"/>
  <c r="BR13" i="3"/>
  <c r="BL13" s="1"/>
  <c r="M10" i="1"/>
  <c r="O10" s="1"/>
  <c r="B22"/>
  <c r="B23"/>
  <c r="B24"/>
  <c r="B43"/>
  <c r="D78" i="9" s="1"/>
  <c r="BQ13" i="3"/>
  <c r="BQ14"/>
  <c r="BQ15"/>
  <c r="BQ16"/>
  <c r="BL16" s="1"/>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19" i="6"/>
  <c r="K6" i="1" s="1"/>
  <c r="E20" i="6"/>
  <c r="E21"/>
  <c r="K8" i="1" s="1"/>
  <c r="F23" i="15"/>
  <c r="D24"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A16" s="1"/>
  <c r="BC16"/>
  <c r="BD16"/>
  <c r="BE16"/>
  <c r="BF16"/>
  <c r="BG16"/>
  <c r="BH16"/>
  <c r="BI16"/>
  <c r="BJ16"/>
  <c r="BK16"/>
  <c r="BB17"/>
  <c r="BC17"/>
  <c r="BD17"/>
  <c r="BE17"/>
  <c r="BF17"/>
  <c r="BG17"/>
  <c r="BH17"/>
  <c r="BH5" s="1"/>
  <c r="BI17"/>
  <c r="BJ17"/>
  <c r="BK17"/>
  <c r="BC10"/>
  <c r="BD10"/>
  <c r="BB10"/>
  <c r="H13"/>
  <c r="AC13"/>
  <c r="H14"/>
  <c r="AC14"/>
  <c r="H15"/>
  <c r="AC15"/>
  <c r="H16"/>
  <c r="AC16"/>
  <c r="H17"/>
  <c r="AC17"/>
  <c r="AT5"/>
  <c r="I5"/>
  <c r="AD5"/>
  <c r="AH5"/>
  <c r="AL5"/>
  <c r="AP5"/>
  <c r="F35" i="11"/>
  <c r="F36"/>
  <c r="F38"/>
  <c r="E37"/>
  <c r="F20"/>
  <c r="F21"/>
  <c r="C21" s="1"/>
  <c r="F7"/>
  <c r="C7"/>
  <c r="F12" i="12"/>
  <c r="F13"/>
  <c r="F15"/>
  <c r="E14"/>
  <c r="BC11" i="3"/>
  <c r="BD11"/>
  <c r="BB11"/>
  <c r="E19" i="12"/>
  <c r="E20"/>
  <c r="E17"/>
  <c r="F22"/>
  <c r="F23"/>
  <c r="F24"/>
  <c r="C24" s="1"/>
  <c r="C17" i="9"/>
  <c r="D17"/>
  <c r="C18"/>
  <c r="D18" s="1"/>
  <c r="I55"/>
  <c r="F55" s="1"/>
  <c r="O53" s="1"/>
  <c r="D89"/>
  <c r="C89"/>
  <c r="C87" s="1"/>
  <c r="C76"/>
  <c r="D59"/>
  <c r="M55" s="1"/>
  <c r="G12" i="1"/>
  <c r="J60" i="9"/>
  <c r="J55"/>
  <c r="B31" i="1"/>
  <c r="B52"/>
  <c r="F34" i="15"/>
  <c r="F62" s="1"/>
  <c r="T4" i="1"/>
  <c r="F15" i="15"/>
  <c r="F17"/>
  <c r="F18"/>
  <c r="F20"/>
  <c r="F21"/>
  <c r="D3" i="35"/>
  <c r="E59" i="9"/>
  <c r="N55" s="1"/>
  <c r="K55"/>
  <c r="F59"/>
  <c r="N54"/>
  <c r="N53"/>
  <c r="E48"/>
  <c r="N52" s="1"/>
  <c r="O55"/>
  <c r="F56"/>
  <c r="O54" s="1"/>
  <c r="D101"/>
  <c r="C101"/>
  <c r="H104"/>
  <c r="D10" i="53" s="1"/>
  <c r="B26" i="72" s="1"/>
  <c r="C30" i="40"/>
  <c r="C28"/>
  <c r="C23" i="39"/>
  <c r="C19" i="40"/>
  <c r="D27" i="9"/>
  <c r="D30"/>
  <c r="C30" s="1"/>
  <c r="B30"/>
  <c r="C25" s="1"/>
  <c r="D77"/>
  <c r="C77" s="1"/>
  <c r="C74" s="1"/>
  <c r="E90"/>
  <c r="H77"/>
  <c r="H105"/>
  <c r="D11" i="53" s="1"/>
  <c r="B27"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B22"/>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s="1"/>
  <c r="G53"/>
  <c r="H53" s="1"/>
  <c r="E53"/>
  <c r="F53" s="1"/>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79" i="35"/>
  <c r="C26"/>
  <c r="J31"/>
  <c r="H31"/>
  <c r="F31"/>
  <c r="D87"/>
  <c r="E87"/>
  <c r="F87"/>
  <c r="G87"/>
  <c r="H87"/>
  <c r="I87"/>
  <c r="J87"/>
  <c r="K87"/>
  <c r="L87"/>
  <c r="M87"/>
  <c r="H34" i="37"/>
  <c r="D101"/>
  <c r="F34"/>
  <c r="D99"/>
  <c r="E99"/>
  <c r="F99"/>
  <c r="G99"/>
  <c r="H99"/>
  <c r="H42" i="34"/>
  <c r="J42"/>
  <c r="W42" s="1"/>
  <c r="F42"/>
  <c r="J38"/>
  <c r="W38" s="1"/>
  <c r="D114"/>
  <c r="F38"/>
  <c r="S38" s="1"/>
  <c r="D112"/>
  <c r="E112"/>
  <c r="F112"/>
  <c r="G112"/>
  <c r="H112"/>
  <c r="I112"/>
  <c r="J112"/>
  <c r="K112"/>
  <c r="L112"/>
  <c r="M112"/>
  <c r="F40" i="33"/>
  <c r="J41"/>
  <c r="D113"/>
  <c r="F37"/>
  <c r="D111"/>
  <c r="E111"/>
  <c r="F111"/>
  <c r="G111"/>
  <c r="H111"/>
  <c r="I111"/>
  <c r="J111"/>
  <c r="K111"/>
  <c r="L111"/>
  <c r="M111"/>
  <c r="S515" i="31"/>
  <c r="S516"/>
  <c r="S517"/>
  <c r="S518"/>
  <c r="S519"/>
  <c r="S520"/>
  <c r="S521"/>
  <c r="S522"/>
  <c r="S523"/>
  <c r="S524"/>
  <c r="F41" i="21"/>
  <c r="J41"/>
  <c r="AC41" s="1"/>
  <c r="H41"/>
  <c r="U41" s="1"/>
  <c r="D81" i="39"/>
  <c r="E81" s="1"/>
  <c r="D76" i="40"/>
  <c r="E76"/>
  <c r="F76"/>
  <c r="B120"/>
  <c r="B118"/>
  <c r="B116"/>
  <c r="F38"/>
  <c r="AA38" s="1"/>
  <c r="D115"/>
  <c r="E115"/>
  <c r="F115"/>
  <c r="D113"/>
  <c r="E113"/>
  <c r="F113"/>
  <c r="G113"/>
  <c r="H113"/>
  <c r="D111"/>
  <c r="E111"/>
  <c r="M107"/>
  <c r="L107"/>
  <c r="K107"/>
  <c r="J107"/>
  <c r="I107"/>
  <c r="H107"/>
  <c r="G107"/>
  <c r="F107"/>
  <c r="E107"/>
  <c r="D107"/>
  <c r="C107"/>
  <c r="B105"/>
  <c r="J33"/>
  <c r="W33" s="1"/>
  <c r="B103"/>
  <c r="J32"/>
  <c r="AC32" s="1"/>
  <c r="B101"/>
  <c r="J31"/>
  <c r="AC31" s="1"/>
  <c r="D100"/>
  <c r="E100"/>
  <c r="D98"/>
  <c r="J28"/>
  <c r="AC28" s="1"/>
  <c r="D96"/>
  <c r="E96"/>
  <c r="B95"/>
  <c r="D92"/>
  <c r="E92"/>
  <c r="D90"/>
  <c r="E90"/>
  <c r="D88"/>
  <c r="E88"/>
  <c r="D86"/>
  <c r="E86"/>
  <c r="D84"/>
  <c r="E84"/>
  <c r="B81"/>
  <c r="B79"/>
  <c r="B77"/>
  <c r="J12"/>
  <c r="M74"/>
  <c r="L74"/>
  <c r="K74"/>
  <c r="J74"/>
  <c r="I74"/>
  <c r="H74"/>
  <c r="G74"/>
  <c r="F74"/>
  <c r="E74"/>
  <c r="D74"/>
  <c r="C74"/>
  <c r="P43"/>
  <c r="P42"/>
  <c r="V41"/>
  <c r="T41"/>
  <c r="R41"/>
  <c r="P41"/>
  <c r="Q40"/>
  <c r="Z40"/>
  <c r="J40"/>
  <c r="W40"/>
  <c r="H40"/>
  <c r="AB40"/>
  <c r="F40"/>
  <c r="AA40"/>
  <c r="Q39"/>
  <c r="Z39"/>
  <c r="J39"/>
  <c r="AC39"/>
  <c r="H39"/>
  <c r="U39"/>
  <c r="F39"/>
  <c r="AA39"/>
  <c r="Q38"/>
  <c r="Z38"/>
  <c r="J38"/>
  <c r="AC38"/>
  <c r="H38"/>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H9"/>
  <c r="AB9"/>
  <c r="F9"/>
  <c r="J8"/>
  <c r="AC8" s="1"/>
  <c r="H8"/>
  <c r="AB8" s="1"/>
  <c r="F8"/>
  <c r="AA8" s="1"/>
  <c r="D124" i="39"/>
  <c r="E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c r="Q39"/>
  <c r="Z39" s="1"/>
  <c r="Q40"/>
  <c r="Z40" s="1"/>
  <c r="Q41"/>
  <c r="Z41" s="1"/>
  <c r="Q42"/>
  <c r="Z42"/>
  <c r="Q43"/>
  <c r="Z43" s="1"/>
  <c r="Q44"/>
  <c r="Z44" s="1"/>
  <c r="Q45"/>
  <c r="Z45" s="1"/>
  <c r="Q38"/>
  <c r="Z38" s="1"/>
  <c r="Q36"/>
  <c r="Z36" s="1"/>
  <c r="Q37"/>
  <c r="Z37" s="1"/>
  <c r="M116"/>
  <c r="L116"/>
  <c r="K116"/>
  <c r="J116"/>
  <c r="I116"/>
  <c r="H116"/>
  <c r="G116"/>
  <c r="F116"/>
  <c r="E116"/>
  <c r="D116"/>
  <c r="C116"/>
  <c r="B131"/>
  <c r="H45"/>
  <c r="B129"/>
  <c r="H44"/>
  <c r="B127"/>
  <c r="J43"/>
  <c r="D126"/>
  <c r="E126"/>
  <c r="F126"/>
  <c r="G126"/>
  <c r="H126"/>
  <c r="I126"/>
  <c r="J126"/>
  <c r="K126"/>
  <c r="L126"/>
  <c r="M126"/>
  <c r="D122"/>
  <c r="E122" s="1"/>
  <c r="F122" s="1"/>
  <c r="G122" s="1"/>
  <c r="H122" s="1"/>
  <c r="I122" s="1"/>
  <c r="J122" s="1"/>
  <c r="K122" s="1"/>
  <c r="L122" s="1"/>
  <c r="M122" s="1"/>
  <c r="H35"/>
  <c r="AB35" s="1"/>
  <c r="B104"/>
  <c r="D97"/>
  <c r="J23"/>
  <c r="D95"/>
  <c r="E95"/>
  <c r="F95"/>
  <c r="D93"/>
  <c r="E93" s="1"/>
  <c r="F93" s="1"/>
  <c r="G93" s="1"/>
  <c r="D91"/>
  <c r="E91" s="1"/>
  <c r="F91" s="1"/>
  <c r="G91" s="1"/>
  <c r="D89"/>
  <c r="E89" s="1"/>
  <c r="B86"/>
  <c r="B84"/>
  <c r="B82"/>
  <c r="J12"/>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B82"/>
  <c r="D79"/>
  <c r="E79"/>
  <c r="D75"/>
  <c r="E75"/>
  <c r="D73"/>
  <c r="E73"/>
  <c r="D71"/>
  <c r="H15"/>
  <c r="AB15" s="1"/>
  <c r="B68"/>
  <c r="H14"/>
  <c r="AB14" s="1"/>
  <c r="B66"/>
  <c r="B64"/>
  <c r="D63"/>
  <c r="E63"/>
  <c r="M61"/>
  <c r="L61"/>
  <c r="K61"/>
  <c r="J61"/>
  <c r="I61"/>
  <c r="H61"/>
  <c r="G61"/>
  <c r="F61"/>
  <c r="E61"/>
  <c r="D61"/>
  <c r="C61"/>
  <c r="F60"/>
  <c r="G60"/>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c r="F31"/>
  <c r="S31"/>
  <c r="M86"/>
  <c r="L86"/>
  <c r="K86"/>
  <c r="J86"/>
  <c r="I86"/>
  <c r="H86"/>
  <c r="G86"/>
  <c r="F86"/>
  <c r="E86"/>
  <c r="D86"/>
  <c r="C86"/>
  <c r="D85"/>
  <c r="H29"/>
  <c r="D81"/>
  <c r="E81"/>
  <c r="F81"/>
  <c r="F79"/>
  <c r="E79"/>
  <c r="D79"/>
  <c r="C79"/>
  <c r="B93"/>
  <c r="H33"/>
  <c r="B91"/>
  <c r="F32"/>
  <c r="AA32" s="1"/>
  <c r="B95"/>
  <c r="H34"/>
  <c r="D83"/>
  <c r="E83"/>
  <c r="D78"/>
  <c r="E78"/>
  <c r="F78"/>
  <c r="G78"/>
  <c r="H78"/>
  <c r="I78"/>
  <c r="J78"/>
  <c r="K78"/>
  <c r="L78"/>
  <c r="M78"/>
  <c r="B75"/>
  <c r="B73"/>
  <c r="J24"/>
  <c r="B71"/>
  <c r="D70"/>
  <c r="H22"/>
  <c r="AB22" s="1"/>
  <c r="D68"/>
  <c r="E68"/>
  <c r="D64"/>
  <c r="E64"/>
  <c r="J16"/>
  <c r="D62"/>
  <c r="E62"/>
  <c r="F62"/>
  <c r="B59"/>
  <c r="B57"/>
  <c r="J12"/>
  <c r="B55"/>
  <c r="F54"/>
  <c r="G54"/>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c r="B99"/>
  <c r="B97"/>
  <c r="B77"/>
  <c r="B75"/>
  <c r="J24"/>
  <c r="AC24"/>
  <c r="B73"/>
  <c r="H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D72"/>
  <c r="E72"/>
  <c r="F72"/>
  <c r="G72"/>
  <c r="D70"/>
  <c r="E70"/>
  <c r="D66"/>
  <c r="E66"/>
  <c r="D64"/>
  <c r="E64"/>
  <c r="J14"/>
  <c r="F56"/>
  <c r="G56"/>
  <c r="H56"/>
  <c r="C53"/>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c r="J28"/>
  <c r="AC28"/>
  <c r="H28"/>
  <c r="AB28"/>
  <c r="F28"/>
  <c r="AA28" s="1"/>
  <c r="Q27"/>
  <c r="Z27" s="1"/>
  <c r="Q26"/>
  <c r="Z26" s="1"/>
  <c r="J26"/>
  <c r="AC26" s="1"/>
  <c r="F26"/>
  <c r="AA26" s="1"/>
  <c r="Q25"/>
  <c r="Z25" s="1"/>
  <c r="Q24"/>
  <c r="Z24" s="1"/>
  <c r="Q23"/>
  <c r="Z23"/>
  <c r="J23"/>
  <c r="AC23" s="1"/>
  <c r="Q22"/>
  <c r="Z22"/>
  <c r="Q20"/>
  <c r="Z20"/>
  <c r="Q16"/>
  <c r="Z16" s="1"/>
  <c r="Q14"/>
  <c r="Z14" s="1"/>
  <c r="Q13"/>
  <c r="Z13" s="1"/>
  <c r="Q12"/>
  <c r="Z12" s="1"/>
  <c r="J12"/>
  <c r="W12"/>
  <c r="H12"/>
  <c r="U12"/>
  <c r="F12"/>
  <c r="S12"/>
  <c r="Q11"/>
  <c r="Z11" s="1"/>
  <c r="Q10"/>
  <c r="Z10" s="1"/>
  <c r="Q9"/>
  <c r="Z9" s="1"/>
  <c r="J9"/>
  <c r="AC9"/>
  <c r="H9"/>
  <c r="AB9"/>
  <c r="F9"/>
  <c r="J8"/>
  <c r="H8"/>
  <c r="AB8"/>
  <c r="F8"/>
  <c r="AA8"/>
  <c r="D120" i="34"/>
  <c r="E120"/>
  <c r="D90"/>
  <c r="E90"/>
  <c r="C15"/>
  <c r="F67"/>
  <c r="G67"/>
  <c r="H67"/>
  <c r="D126"/>
  <c r="E126"/>
  <c r="D124"/>
  <c r="E124"/>
  <c r="H43"/>
  <c r="AB43" s="1"/>
  <c r="D118"/>
  <c r="E118"/>
  <c r="F118"/>
  <c r="D116"/>
  <c r="E116"/>
  <c r="F116"/>
  <c r="G116"/>
  <c r="H116"/>
  <c r="I116"/>
  <c r="J116"/>
  <c r="K116"/>
  <c r="L116"/>
  <c r="M116"/>
  <c r="F110"/>
  <c r="E110"/>
  <c r="D110"/>
  <c r="C110"/>
  <c r="D109"/>
  <c r="E109"/>
  <c r="D107"/>
  <c r="E107"/>
  <c r="F35"/>
  <c r="AA35" s="1"/>
  <c r="M103"/>
  <c r="L103"/>
  <c r="K103"/>
  <c r="J103"/>
  <c r="I103"/>
  <c r="H103"/>
  <c r="G103"/>
  <c r="F103"/>
  <c r="E103"/>
  <c r="D103"/>
  <c r="C103"/>
  <c r="D102"/>
  <c r="E102"/>
  <c r="F102"/>
  <c r="D92"/>
  <c r="E92"/>
  <c r="B91"/>
  <c r="B89"/>
  <c r="J27"/>
  <c r="D88"/>
  <c r="E88"/>
  <c r="D86"/>
  <c r="E86"/>
  <c r="D82"/>
  <c r="E82"/>
  <c r="D80"/>
  <c r="E80"/>
  <c r="D78"/>
  <c r="E78"/>
  <c r="D70"/>
  <c r="E70"/>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c r="F121"/>
  <c r="G121"/>
  <c r="H121"/>
  <c r="I121"/>
  <c r="J121"/>
  <c r="K121"/>
  <c r="L121"/>
  <c r="M121"/>
  <c r="F109"/>
  <c r="E109"/>
  <c r="D109"/>
  <c r="C109"/>
  <c r="D91"/>
  <c r="E91"/>
  <c r="B88"/>
  <c r="J26"/>
  <c r="AC26" s="1"/>
  <c r="C23"/>
  <c r="C19"/>
  <c r="C17"/>
  <c r="C15"/>
  <c r="C15" i="21"/>
  <c r="D125" i="33"/>
  <c r="D123"/>
  <c r="D117"/>
  <c r="E117"/>
  <c r="F117"/>
  <c r="G117"/>
  <c r="D115"/>
  <c r="E115"/>
  <c r="F115"/>
  <c r="G115"/>
  <c r="H115"/>
  <c r="I115"/>
  <c r="J115"/>
  <c r="K115"/>
  <c r="L115"/>
  <c r="M115"/>
  <c r="D108"/>
  <c r="E108"/>
  <c r="F108"/>
  <c r="G108"/>
  <c r="D106"/>
  <c r="E106"/>
  <c r="M102"/>
  <c r="L102"/>
  <c r="K102"/>
  <c r="J102"/>
  <c r="I102"/>
  <c r="H102"/>
  <c r="G102"/>
  <c r="F102"/>
  <c r="E102"/>
  <c r="D102"/>
  <c r="C102"/>
  <c r="D101"/>
  <c r="E101"/>
  <c r="F101"/>
  <c r="G101"/>
  <c r="H101"/>
  <c r="I101"/>
  <c r="J101"/>
  <c r="K101"/>
  <c r="L101"/>
  <c r="M101"/>
  <c r="B92"/>
  <c r="B90"/>
  <c r="D87"/>
  <c r="E87"/>
  <c r="D85"/>
  <c r="E85"/>
  <c r="D81"/>
  <c r="E81"/>
  <c r="D79"/>
  <c r="E79"/>
  <c r="D77"/>
  <c r="E77"/>
  <c r="D69"/>
  <c r="E69"/>
  <c r="M67"/>
  <c r="L67"/>
  <c r="K67"/>
  <c r="J67"/>
  <c r="I67"/>
  <c r="H67"/>
  <c r="G67"/>
  <c r="F67"/>
  <c r="E67"/>
  <c r="D67"/>
  <c r="C67"/>
  <c r="G66"/>
  <c r="H66"/>
  <c r="I66"/>
  <c r="J10"/>
  <c r="C63"/>
  <c r="H54"/>
  <c r="F54"/>
  <c r="P49"/>
  <c r="P48"/>
  <c r="V47"/>
  <c r="T47"/>
  <c r="R47"/>
  <c r="P47"/>
  <c r="Q46"/>
  <c r="Z46"/>
  <c r="Q45"/>
  <c r="Z45"/>
  <c r="Q44"/>
  <c r="Z44"/>
  <c r="Q43"/>
  <c r="Z43"/>
  <c r="Q42"/>
  <c r="Z42"/>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E85"/>
  <c r="J23" s="1"/>
  <c r="AC23" s="1"/>
  <c r="F19"/>
  <c r="AA19" s="1"/>
  <c r="E81"/>
  <c r="F81" s="1"/>
  <c r="G81" s="1"/>
  <c r="D77"/>
  <c r="E77"/>
  <c r="J15"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c r="E10" i="11"/>
  <c r="E9"/>
  <c r="BB12" i="3"/>
  <c r="F7" i="12"/>
  <c r="D7"/>
  <c r="E7"/>
  <c r="G7"/>
  <c r="K5" i="3"/>
  <c r="I4" i="6" s="1"/>
  <c r="C11" i="39" s="1"/>
  <c r="J5" i="3"/>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AA40"/>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W41"/>
  <c r="F45" i="39"/>
  <c r="S45" s="1"/>
  <c r="J45"/>
  <c r="W45" s="1"/>
  <c r="J44"/>
  <c r="AC44" s="1"/>
  <c r="F36"/>
  <c r="S36" s="1"/>
  <c r="H36"/>
  <c r="AB36" s="1"/>
  <c r="J35"/>
  <c r="AC35" s="1"/>
  <c r="F35"/>
  <c r="AA35" s="1"/>
  <c r="J36"/>
  <c r="AC36" s="1"/>
  <c r="AC23"/>
  <c r="U9"/>
  <c r="U35"/>
  <c r="W40"/>
  <c r="W25" i="37"/>
  <c r="U30"/>
  <c r="W31"/>
  <c r="E103"/>
  <c r="F103"/>
  <c r="F39"/>
  <c r="S39" s="1"/>
  <c r="U14"/>
  <c r="S26"/>
  <c r="U29"/>
  <c r="S30"/>
  <c r="W30"/>
  <c r="W39"/>
  <c r="F29" i="36"/>
  <c r="AA29" s="1"/>
  <c r="W8"/>
  <c r="F64"/>
  <c r="G64"/>
  <c r="F16"/>
  <c r="AA16"/>
  <c r="U9"/>
  <c r="U22"/>
  <c r="S23"/>
  <c r="W28"/>
  <c r="S30"/>
  <c r="S32"/>
  <c r="U26"/>
  <c r="AA31"/>
  <c r="AC31"/>
  <c r="W31"/>
  <c r="U31"/>
  <c r="J33"/>
  <c r="W33"/>
  <c r="H22" i="35"/>
  <c r="AB22"/>
  <c r="AC27"/>
  <c r="U9"/>
  <c r="S28"/>
  <c r="W28"/>
  <c r="U31"/>
  <c r="S32"/>
  <c r="S34"/>
  <c r="W34"/>
  <c r="W36"/>
  <c r="W22"/>
  <c r="W24"/>
  <c r="S31"/>
  <c r="W31"/>
  <c r="U32"/>
  <c r="U34"/>
  <c r="U36"/>
  <c r="F36" i="34"/>
  <c r="F107"/>
  <c r="G107"/>
  <c r="H107"/>
  <c r="I107"/>
  <c r="J107"/>
  <c r="K107"/>
  <c r="L107"/>
  <c r="M107"/>
  <c r="J35"/>
  <c r="W9"/>
  <c r="S34"/>
  <c r="W34"/>
  <c r="U39"/>
  <c r="U34"/>
  <c r="H39" i="33"/>
  <c r="AB39" s="1"/>
  <c r="F26"/>
  <c r="AA26" s="1"/>
  <c r="S9"/>
  <c r="U9"/>
  <c r="U33"/>
  <c r="U35"/>
  <c r="W38"/>
  <c r="S40"/>
  <c r="W33"/>
  <c r="W39"/>
  <c r="W42"/>
  <c r="S8" i="21"/>
  <c r="H39" i="37"/>
  <c r="AB39" s="1"/>
  <c r="S27" i="35"/>
  <c r="AB27"/>
  <c r="F11" i="40"/>
  <c r="AA11" s="1"/>
  <c r="F90"/>
  <c r="H11"/>
  <c r="AB11" s="1"/>
  <c r="W8"/>
  <c r="AB39"/>
  <c r="AC40"/>
  <c r="AA9"/>
  <c r="S9"/>
  <c r="AC9"/>
  <c r="W9"/>
  <c r="U9"/>
  <c r="S34"/>
  <c r="AB38"/>
  <c r="U38"/>
  <c r="W38"/>
  <c r="S40"/>
  <c r="W31"/>
  <c r="U34"/>
  <c r="S38"/>
  <c r="S39"/>
  <c r="W39"/>
  <c r="U40"/>
  <c r="F42" i="39"/>
  <c r="H40"/>
  <c r="AB40" s="1"/>
  <c r="H39"/>
  <c r="U39" s="1"/>
  <c r="S34"/>
  <c r="H34"/>
  <c r="U34" s="1"/>
  <c r="E109"/>
  <c r="F31"/>
  <c r="AA31" s="1"/>
  <c r="E101"/>
  <c r="H19"/>
  <c r="AB19" s="1"/>
  <c r="F19"/>
  <c r="AA19" s="1"/>
  <c r="H17"/>
  <c r="AB17" s="1"/>
  <c r="F17"/>
  <c r="AA17" s="1"/>
  <c r="J23" i="40"/>
  <c r="AC23" s="1"/>
  <c r="G90"/>
  <c r="F21"/>
  <c r="AA21" s="1"/>
  <c r="J21"/>
  <c r="W21"/>
  <c r="H42" i="39"/>
  <c r="AB42" s="1"/>
  <c r="J34"/>
  <c r="AC34" s="1"/>
  <c r="F109"/>
  <c r="G109"/>
  <c r="H109" s="1"/>
  <c r="I109" s="1"/>
  <c r="J109" s="1"/>
  <c r="K109" s="1"/>
  <c r="L109" s="1"/>
  <c r="M109" s="1"/>
  <c r="F101"/>
  <c r="H27"/>
  <c r="J19"/>
  <c r="AC19" s="1"/>
  <c r="J17"/>
  <c r="J27"/>
  <c r="AC27" s="1"/>
  <c r="F27"/>
  <c r="F11" i="21"/>
  <c r="S11" s="1"/>
  <c r="AC40"/>
  <c r="S40"/>
  <c r="AA38"/>
  <c r="W36"/>
  <c r="U34"/>
  <c r="S34"/>
  <c r="S39"/>
  <c r="C25" i="39"/>
  <c r="C27"/>
  <c r="C21"/>
  <c r="S40"/>
  <c r="U19"/>
  <c r="C15"/>
  <c r="H32" i="33"/>
  <c r="AB32"/>
  <c r="H11" i="21"/>
  <c r="U11" s="1"/>
  <c r="J11"/>
  <c r="W11" s="1"/>
  <c r="G115" i="40"/>
  <c r="H37"/>
  <c r="U37"/>
  <c r="H36"/>
  <c r="AB36"/>
  <c r="F35"/>
  <c r="AA35"/>
  <c r="H23"/>
  <c r="AB23" s="1"/>
  <c r="F92"/>
  <c r="F86"/>
  <c r="H17"/>
  <c r="U17" s="1"/>
  <c r="F84"/>
  <c r="J15"/>
  <c r="W15"/>
  <c r="G76"/>
  <c r="H76"/>
  <c r="I76"/>
  <c r="J76"/>
  <c r="K76"/>
  <c r="L76"/>
  <c r="M76"/>
  <c r="J11"/>
  <c r="W11" s="1"/>
  <c r="AB8" i="39"/>
  <c r="AC12" i="33"/>
  <c r="AB12"/>
  <c r="AA12"/>
  <c r="AC12" i="34"/>
  <c r="AA12"/>
  <c r="AB12" i="35"/>
  <c r="AB12" i="36"/>
  <c r="W32" i="40"/>
  <c r="S44" i="39"/>
  <c r="F37"/>
  <c r="AA37" s="1"/>
  <c r="S29" i="36"/>
  <c r="J34"/>
  <c r="U30"/>
  <c r="J30" i="35"/>
  <c r="H30"/>
  <c r="AB30" s="1"/>
  <c r="U28"/>
  <c r="F22"/>
  <c r="AA22" s="1"/>
  <c r="H10"/>
  <c r="U10" s="1"/>
  <c r="AC16" i="36"/>
  <c r="W16"/>
  <c r="AB33"/>
  <c r="U33"/>
  <c r="F33"/>
  <c r="AA33" s="1"/>
  <c r="U23"/>
  <c r="W30"/>
  <c r="U24"/>
  <c r="H16"/>
  <c r="AB16" s="1"/>
  <c r="E85"/>
  <c r="F85"/>
  <c r="G85"/>
  <c r="H85"/>
  <c r="I85"/>
  <c r="J85"/>
  <c r="K85"/>
  <c r="L85"/>
  <c r="M85"/>
  <c r="J29"/>
  <c r="AC29" s="1"/>
  <c r="F12"/>
  <c r="F24"/>
  <c r="AA24" s="1"/>
  <c r="F34"/>
  <c r="S34" s="1"/>
  <c r="S10"/>
  <c r="AB8"/>
  <c r="S8"/>
  <c r="W9" i="35"/>
  <c r="U8"/>
  <c r="F14"/>
  <c r="AA14" s="1"/>
  <c r="F23"/>
  <c r="J32"/>
  <c r="AC32"/>
  <c r="F66"/>
  <c r="J16"/>
  <c r="AC16" s="1"/>
  <c r="H16"/>
  <c r="U16" s="1"/>
  <c r="F16"/>
  <c r="S16" s="1"/>
  <c r="F64"/>
  <c r="G64"/>
  <c r="H14"/>
  <c r="AB14" s="1"/>
  <c r="J29"/>
  <c r="H33"/>
  <c r="AB33"/>
  <c r="S8"/>
  <c r="W8"/>
  <c r="AC8"/>
  <c r="AA9"/>
  <c r="S9"/>
  <c r="G66"/>
  <c r="J20"/>
  <c r="W20" s="1"/>
  <c r="F35" i="37"/>
  <c r="S35" s="1"/>
  <c r="E101"/>
  <c r="F101"/>
  <c r="G101"/>
  <c r="H101"/>
  <c r="I101"/>
  <c r="J101"/>
  <c r="K101"/>
  <c r="L101"/>
  <c r="M101"/>
  <c r="J34"/>
  <c r="W34" s="1"/>
  <c r="AC35"/>
  <c r="S10"/>
  <c r="AA39"/>
  <c r="AB34"/>
  <c r="J33"/>
  <c r="AC33" s="1"/>
  <c r="F124" i="34"/>
  <c r="F120"/>
  <c r="G120"/>
  <c r="H120"/>
  <c r="I120"/>
  <c r="J120"/>
  <c r="K120"/>
  <c r="L120"/>
  <c r="M120"/>
  <c r="U42"/>
  <c r="H40"/>
  <c r="U40" s="1"/>
  <c r="E114"/>
  <c r="H36"/>
  <c r="U36" s="1"/>
  <c r="F109"/>
  <c r="F37"/>
  <c r="AA37" s="1"/>
  <c r="S35"/>
  <c r="F28"/>
  <c r="AA28" s="1"/>
  <c r="F90"/>
  <c r="G90"/>
  <c r="H90"/>
  <c r="I90"/>
  <c r="J90"/>
  <c r="K90"/>
  <c r="L90"/>
  <c r="M90"/>
  <c r="F27"/>
  <c r="AA27" s="1"/>
  <c r="F25"/>
  <c r="S25" s="1"/>
  <c r="F88"/>
  <c r="H23"/>
  <c r="U23"/>
  <c r="F86"/>
  <c r="J23"/>
  <c r="F19"/>
  <c r="F82"/>
  <c r="F80"/>
  <c r="H17"/>
  <c r="U17" s="1"/>
  <c r="F15"/>
  <c r="F78"/>
  <c r="G78"/>
  <c r="J15"/>
  <c r="H15"/>
  <c r="AB15"/>
  <c r="F70"/>
  <c r="F11"/>
  <c r="H10"/>
  <c r="AB10" s="1"/>
  <c r="S10"/>
  <c r="S9"/>
  <c r="W8"/>
  <c r="F92"/>
  <c r="J28"/>
  <c r="F41" i="33"/>
  <c r="AA41"/>
  <c r="H41"/>
  <c r="AB41"/>
  <c r="S38"/>
  <c r="E113"/>
  <c r="H108"/>
  <c r="I108"/>
  <c r="J108"/>
  <c r="K108"/>
  <c r="L108"/>
  <c r="M108"/>
  <c r="J35"/>
  <c r="W35" s="1"/>
  <c r="F36"/>
  <c r="AA36"/>
  <c r="F32"/>
  <c r="AA32"/>
  <c r="J32"/>
  <c r="F91"/>
  <c r="G91"/>
  <c r="H91"/>
  <c r="I91"/>
  <c r="J91"/>
  <c r="K91"/>
  <c r="L91"/>
  <c r="M91"/>
  <c r="F25"/>
  <c r="S25" s="1"/>
  <c r="F87"/>
  <c r="J25"/>
  <c r="H25"/>
  <c r="J23"/>
  <c r="AC23" s="1"/>
  <c r="F85"/>
  <c r="F23"/>
  <c r="H23"/>
  <c r="AB23" s="1"/>
  <c r="F19"/>
  <c r="S19" s="1"/>
  <c r="F81"/>
  <c r="G81"/>
  <c r="J19"/>
  <c r="AC19" s="1"/>
  <c r="J17"/>
  <c r="W17" s="1"/>
  <c r="F79"/>
  <c r="G79"/>
  <c r="H17"/>
  <c r="F77"/>
  <c r="J15"/>
  <c r="AC15"/>
  <c r="F69"/>
  <c r="F11"/>
  <c r="AA11" s="1"/>
  <c r="H10"/>
  <c r="U10" s="1"/>
  <c r="S26"/>
  <c r="W26"/>
  <c r="U40"/>
  <c r="W40"/>
  <c r="U8"/>
  <c r="S8"/>
  <c r="H115" i="40"/>
  <c r="I115"/>
  <c r="J115"/>
  <c r="K115"/>
  <c r="L115"/>
  <c r="M115"/>
  <c r="F37"/>
  <c r="AA37" s="1"/>
  <c r="I113"/>
  <c r="J113"/>
  <c r="K113"/>
  <c r="L113"/>
  <c r="M113"/>
  <c r="F36"/>
  <c r="AA36" s="1"/>
  <c r="S35"/>
  <c r="H28"/>
  <c r="U28" s="1"/>
  <c r="G92"/>
  <c r="F23"/>
  <c r="AA23"/>
  <c r="G86"/>
  <c r="F17"/>
  <c r="AA17"/>
  <c r="J17"/>
  <c r="W17"/>
  <c r="G84"/>
  <c r="F15"/>
  <c r="S15" s="1"/>
  <c r="H15"/>
  <c r="AB15" s="1"/>
  <c r="AC11"/>
  <c r="S12" i="36"/>
  <c r="AA12"/>
  <c r="AB30"/>
  <c r="U16"/>
  <c r="AC34"/>
  <c r="W34"/>
  <c r="U30" i="35"/>
  <c r="AC30"/>
  <c r="W30"/>
  <c r="S22"/>
  <c r="AB10"/>
  <c r="AA34" i="36"/>
  <c r="S24"/>
  <c r="S33"/>
  <c r="AA23" i="35"/>
  <c r="S23"/>
  <c r="W32"/>
  <c r="U33"/>
  <c r="U14"/>
  <c r="F29"/>
  <c r="S29" s="1"/>
  <c r="H29"/>
  <c r="AB29" s="1"/>
  <c r="I99" i="37"/>
  <c r="J99"/>
  <c r="K99"/>
  <c r="L99"/>
  <c r="M99"/>
  <c r="H33"/>
  <c r="AB33" s="1"/>
  <c r="F33"/>
  <c r="AA33" s="1"/>
  <c r="U34"/>
  <c r="W33"/>
  <c r="S34"/>
  <c r="AA34"/>
  <c r="U43" i="34"/>
  <c r="G124"/>
  <c r="H124"/>
  <c r="I124"/>
  <c r="J124"/>
  <c r="K124"/>
  <c r="L124"/>
  <c r="M124"/>
  <c r="J43"/>
  <c r="AB42"/>
  <c r="G118"/>
  <c r="J40"/>
  <c r="F114"/>
  <c r="G114"/>
  <c r="H114"/>
  <c r="I114"/>
  <c r="J114"/>
  <c r="K114"/>
  <c r="L114"/>
  <c r="M114"/>
  <c r="H38"/>
  <c r="AB38" s="1"/>
  <c r="G109"/>
  <c r="H109"/>
  <c r="I109"/>
  <c r="J109"/>
  <c r="K109"/>
  <c r="L109"/>
  <c r="M109"/>
  <c r="J36"/>
  <c r="W36" s="1"/>
  <c r="H37"/>
  <c r="U37" s="1"/>
  <c r="G92"/>
  <c r="H92"/>
  <c r="I92"/>
  <c r="J92"/>
  <c r="K92"/>
  <c r="L92"/>
  <c r="M92"/>
  <c r="S27"/>
  <c r="AA25"/>
  <c r="H25"/>
  <c r="AB25" s="1"/>
  <c r="G88"/>
  <c r="J25"/>
  <c r="AB23"/>
  <c r="G86"/>
  <c r="F23"/>
  <c r="AA23" s="1"/>
  <c r="G82"/>
  <c r="J19"/>
  <c r="AC19" s="1"/>
  <c r="G80"/>
  <c r="F17"/>
  <c r="J17"/>
  <c r="W17" s="1"/>
  <c r="AB17"/>
  <c r="U15"/>
  <c r="AA15"/>
  <c r="S15"/>
  <c r="H11"/>
  <c r="G70"/>
  <c r="I67"/>
  <c r="J10"/>
  <c r="AC10" s="1"/>
  <c r="S41" i="33"/>
  <c r="U41"/>
  <c r="F113"/>
  <c r="G113" s="1"/>
  <c r="H113" s="1"/>
  <c r="I113" s="1"/>
  <c r="J113" s="1"/>
  <c r="K113" s="1"/>
  <c r="L113" s="1"/>
  <c r="M113" s="1"/>
  <c r="H37"/>
  <c r="AB37" s="1"/>
  <c r="AC35"/>
  <c r="AA37"/>
  <c r="S37"/>
  <c r="H36"/>
  <c r="U36" s="1"/>
  <c r="S36"/>
  <c r="W32"/>
  <c r="AC32"/>
  <c r="S32"/>
  <c r="AA25"/>
  <c r="G87"/>
  <c r="H87"/>
  <c r="I87"/>
  <c r="J87"/>
  <c r="K87"/>
  <c r="L87"/>
  <c r="M87"/>
  <c r="AB25"/>
  <c r="U25"/>
  <c r="G85"/>
  <c r="U23"/>
  <c r="H19"/>
  <c r="AB19" s="1"/>
  <c r="W19"/>
  <c r="AC17"/>
  <c r="F17"/>
  <c r="AA17"/>
  <c r="G77"/>
  <c r="H15"/>
  <c r="AB15" s="1"/>
  <c r="W15"/>
  <c r="G69"/>
  <c r="H69"/>
  <c r="I69"/>
  <c r="J69"/>
  <c r="K69"/>
  <c r="L69"/>
  <c r="M69"/>
  <c r="H11"/>
  <c r="AB11" s="1"/>
  <c r="F28" i="40"/>
  <c r="AA28"/>
  <c r="AA29" i="35"/>
  <c r="AC42" i="34"/>
  <c r="AA42"/>
  <c r="S42"/>
  <c r="AC38"/>
  <c r="AA38"/>
  <c r="J37"/>
  <c r="AC37" s="1"/>
  <c r="H88"/>
  <c r="I88"/>
  <c r="J88"/>
  <c r="K88"/>
  <c r="L88"/>
  <c r="M88"/>
  <c r="S23"/>
  <c r="H70"/>
  <c r="I70"/>
  <c r="J70"/>
  <c r="K70"/>
  <c r="L70"/>
  <c r="M70"/>
  <c r="J11"/>
  <c r="W11" s="1"/>
  <c r="W10"/>
  <c r="J36" i="33"/>
  <c r="AC36" s="1"/>
  <c r="S17"/>
  <c r="J11"/>
  <c r="W11" s="1"/>
  <c r="S28" i="34"/>
  <c r="U23" i="40"/>
  <c r="AB39" i="21"/>
  <c r="G123"/>
  <c r="H123" s="1"/>
  <c r="I123" s="1"/>
  <c r="J123" s="1"/>
  <c r="K123" s="1"/>
  <c r="L123" s="1"/>
  <c r="M123" s="1"/>
  <c r="J42"/>
  <c r="AC42" s="1"/>
  <c r="H42"/>
  <c r="U42" s="1"/>
  <c r="F126" i="34"/>
  <c r="G126"/>
  <c r="J44"/>
  <c r="F44"/>
  <c r="AA44"/>
  <c r="I56" i="35"/>
  <c r="J10"/>
  <c r="F80"/>
  <c r="G80"/>
  <c r="H80"/>
  <c r="I80"/>
  <c r="J80"/>
  <c r="K80"/>
  <c r="L80"/>
  <c r="M80"/>
  <c r="H26"/>
  <c r="AB26"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c r="G89"/>
  <c r="H89"/>
  <c r="I89"/>
  <c r="J89"/>
  <c r="K89"/>
  <c r="L89"/>
  <c r="M89"/>
  <c r="H54" i="36"/>
  <c r="H10"/>
  <c r="AB10"/>
  <c r="G62"/>
  <c r="J14"/>
  <c r="AC14" s="1"/>
  <c r="H14"/>
  <c r="F83"/>
  <c r="G83"/>
  <c r="H83"/>
  <c r="I83"/>
  <c r="J83"/>
  <c r="K83"/>
  <c r="L83"/>
  <c r="M83"/>
  <c r="F28"/>
  <c r="AA28" s="1"/>
  <c r="J13" i="21"/>
  <c r="AC13" s="1"/>
  <c r="H27"/>
  <c r="AB27" s="1"/>
  <c r="F27"/>
  <c r="AA27" s="1"/>
  <c r="H29"/>
  <c r="U29" s="1"/>
  <c r="J31"/>
  <c r="AC31" s="1"/>
  <c r="F31"/>
  <c r="S31" s="1"/>
  <c r="F45"/>
  <c r="AA45" s="1"/>
  <c r="H27" i="33"/>
  <c r="U27" s="1"/>
  <c r="J27"/>
  <c r="W27"/>
  <c r="F27"/>
  <c r="J13"/>
  <c r="H13"/>
  <c r="AB13" s="1"/>
  <c r="F13"/>
  <c r="S13" s="1"/>
  <c r="J29"/>
  <c r="AC29" s="1"/>
  <c r="H29"/>
  <c r="U29" s="1"/>
  <c r="F29"/>
  <c r="S29" s="1"/>
  <c r="J31"/>
  <c r="W31"/>
  <c r="H31"/>
  <c r="F31"/>
  <c r="H45"/>
  <c r="U45" s="1"/>
  <c r="J45"/>
  <c r="W45" s="1"/>
  <c r="F45"/>
  <c r="AA45" s="1"/>
  <c r="J14" i="34"/>
  <c r="W14" s="1"/>
  <c r="F14"/>
  <c r="S14" s="1"/>
  <c r="H14"/>
  <c r="H30"/>
  <c r="F30"/>
  <c r="S30" s="1"/>
  <c r="J30"/>
  <c r="W30" s="1"/>
  <c r="H32"/>
  <c r="F32"/>
  <c r="J32"/>
  <c r="W32" s="1"/>
  <c r="H46"/>
  <c r="U46" s="1"/>
  <c r="F46"/>
  <c r="J46"/>
  <c r="H11" i="35"/>
  <c r="U11" s="1"/>
  <c r="J11"/>
  <c r="F11"/>
  <c r="S11"/>
  <c r="J26" i="36"/>
  <c r="W26" s="1"/>
  <c r="H28"/>
  <c r="U28" s="1"/>
  <c r="H32"/>
  <c r="AB32" s="1"/>
  <c r="J32"/>
  <c r="W32"/>
  <c r="J11"/>
  <c r="H11"/>
  <c r="U11" s="1"/>
  <c r="F11"/>
  <c r="AA11" s="1"/>
  <c r="H13"/>
  <c r="AB13"/>
  <c r="J13"/>
  <c r="F13"/>
  <c r="S13" s="1"/>
  <c r="E89" i="37"/>
  <c r="F89"/>
  <c r="G89"/>
  <c r="H89"/>
  <c r="I89"/>
  <c r="J89"/>
  <c r="K89"/>
  <c r="L89"/>
  <c r="M89"/>
  <c r="J29"/>
  <c r="W29" s="1"/>
  <c r="F29"/>
  <c r="S29" s="1"/>
  <c r="F105"/>
  <c r="H36"/>
  <c r="AB36" s="1"/>
  <c r="F107"/>
  <c r="J37"/>
  <c r="H37"/>
  <c r="U37" s="1"/>
  <c r="H40"/>
  <c r="U40" s="1"/>
  <c r="J40"/>
  <c r="AC40" s="1"/>
  <c r="F40"/>
  <c r="AA40" s="1"/>
  <c r="AC12" i="40"/>
  <c r="W12"/>
  <c r="H14" i="33"/>
  <c r="U14"/>
  <c r="F14"/>
  <c r="J14"/>
  <c r="H30"/>
  <c r="AB30" s="1"/>
  <c r="F30"/>
  <c r="J30"/>
  <c r="H44"/>
  <c r="J44"/>
  <c r="AC44" s="1"/>
  <c r="F44"/>
  <c r="S44" s="1"/>
  <c r="J46"/>
  <c r="AC46" s="1"/>
  <c r="F46"/>
  <c r="AA46"/>
  <c r="H46"/>
  <c r="AB46"/>
  <c r="H13" i="34"/>
  <c r="U13" s="1"/>
  <c r="J13"/>
  <c r="W13" s="1"/>
  <c r="F13"/>
  <c r="AA13" s="1"/>
  <c r="J29"/>
  <c r="F29"/>
  <c r="S29" s="1"/>
  <c r="H29"/>
  <c r="AB29" s="1"/>
  <c r="J31"/>
  <c r="AC31" s="1"/>
  <c r="H31"/>
  <c r="AB31" s="1"/>
  <c r="F31"/>
  <c r="S31" s="1"/>
  <c r="H45"/>
  <c r="U45" s="1"/>
  <c r="J45"/>
  <c r="W45" s="1"/>
  <c r="F45"/>
  <c r="S45" s="1"/>
  <c r="H47"/>
  <c r="U47" s="1"/>
  <c r="F47"/>
  <c r="S47" s="1"/>
  <c r="J47"/>
  <c r="AC47" s="1"/>
  <c r="F13" i="35"/>
  <c r="S13"/>
  <c r="J13"/>
  <c r="AC13"/>
  <c r="H13"/>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U12" i="39"/>
  <c r="F43"/>
  <c r="AA43" s="1"/>
  <c r="H43"/>
  <c r="J14"/>
  <c r="AC14" s="1"/>
  <c r="F14"/>
  <c r="H14"/>
  <c r="AB14" s="1"/>
  <c r="F12" i="40"/>
  <c r="S12"/>
  <c r="H12"/>
  <c r="AB12"/>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c r="J27"/>
  <c r="AC27" s="1"/>
  <c r="AA13"/>
  <c r="W13" i="35"/>
  <c r="AA29" i="34"/>
  <c r="AA44" i="33"/>
  <c r="AB14"/>
  <c r="W27" i="37"/>
  <c r="AA38"/>
  <c r="W28"/>
  <c r="AC13"/>
  <c r="AA25" i="36"/>
  <c r="AA25" i="35"/>
  <c r="AB13"/>
  <c r="U13"/>
  <c r="AA13"/>
  <c r="AA47" i="34"/>
  <c r="AA45"/>
  <c r="U31"/>
  <c r="AC13"/>
  <c r="U46" i="33"/>
  <c r="U30"/>
  <c r="AA14"/>
  <c r="S14"/>
  <c r="AB40" i="37"/>
  <c r="J36"/>
  <c r="AC36" s="1"/>
  <c r="G105"/>
  <c r="AB11" i="36"/>
  <c r="AB11" i="35"/>
  <c r="AB29" i="33"/>
  <c r="I54" i="36"/>
  <c r="J10"/>
  <c r="AC10"/>
  <c r="AA33" i="35"/>
  <c r="AB26" i="33"/>
  <c r="AB30" i="21"/>
  <c r="AA14" i="37"/>
  <c r="W31" i="34"/>
  <c r="S46" i="33"/>
  <c r="AC13" i="36"/>
  <c r="W13"/>
  <c r="S11"/>
  <c r="AC11"/>
  <c r="W11"/>
  <c r="AC26"/>
  <c r="AC11" i="35"/>
  <c r="W11"/>
  <c r="AB46" i="34"/>
  <c r="AC30"/>
  <c r="AA14"/>
  <c r="S45" i="33"/>
  <c r="AB45"/>
  <c r="AB31"/>
  <c r="U31"/>
  <c r="AA29"/>
  <c r="W29"/>
  <c r="U13"/>
  <c r="AA27"/>
  <c r="S27"/>
  <c r="AB27"/>
  <c r="AB14" i="36"/>
  <c r="U14"/>
  <c r="U10"/>
  <c r="AC28" i="21"/>
  <c r="AA14"/>
  <c r="U26" i="35"/>
  <c r="AC10"/>
  <c r="W10"/>
  <c r="S44" i="34"/>
  <c r="BA586" i="3"/>
  <c r="AZ586"/>
  <c r="BA585"/>
  <c r="F85" i="21"/>
  <c r="G85" s="1"/>
  <c r="H23"/>
  <c r="U23" s="1"/>
  <c r="F17"/>
  <c r="AA17" s="1"/>
  <c r="H17"/>
  <c r="AB17" s="1"/>
  <c r="F77"/>
  <c r="G77" s="1"/>
  <c r="F15"/>
  <c r="S15" s="1"/>
  <c r="AB11"/>
  <c r="AC45" i="39"/>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M20" i="15"/>
  <c r="S505" i="31"/>
  <c r="S503"/>
  <c r="S501"/>
  <c r="S499"/>
  <c r="O27"/>
  <c r="O28"/>
  <c r="O26"/>
  <c r="M27"/>
  <c r="M28"/>
  <c r="M26"/>
  <c r="I26"/>
  <c r="I25"/>
  <c r="S25"/>
  <c r="Q26"/>
  <c r="K26"/>
  <c r="I27"/>
  <c r="Q27"/>
  <c r="K27"/>
  <c r="I28"/>
  <c r="Q28"/>
  <c r="K28"/>
  <c r="W36" i="33"/>
  <c r="AC11" i="34"/>
  <c r="AC28"/>
  <c r="W28"/>
  <c r="S21" i="40"/>
  <c r="AA12" i="21"/>
  <c r="H25"/>
  <c r="U25" s="1"/>
  <c r="F25"/>
  <c r="S25" s="1"/>
  <c r="J25"/>
  <c r="AC25" s="1"/>
  <c r="E125" i="33"/>
  <c r="F125"/>
  <c r="H43"/>
  <c r="AB43" s="1"/>
  <c r="H17" i="37"/>
  <c r="U17" s="1"/>
  <c r="F73"/>
  <c r="F23"/>
  <c r="S23" s="1"/>
  <c r="F79"/>
  <c r="AB27"/>
  <c r="U27"/>
  <c r="U32" i="33"/>
  <c r="AA36" i="39"/>
  <c r="F39" i="33"/>
  <c r="AA39" s="1"/>
  <c r="E123"/>
  <c r="F42"/>
  <c r="AA42"/>
  <c r="H28" i="34"/>
  <c r="AB28" s="1"/>
  <c r="F75" i="37"/>
  <c r="F19"/>
  <c r="F14" i="36"/>
  <c r="AA14"/>
  <c r="F22"/>
  <c r="S22" s="1"/>
  <c r="F26"/>
  <c r="S26" s="1"/>
  <c r="H27" i="34"/>
  <c r="AB27" s="1"/>
  <c r="H35"/>
  <c r="U35" s="1"/>
  <c r="F41"/>
  <c r="S41" s="1"/>
  <c r="H41"/>
  <c r="U41"/>
  <c r="J41"/>
  <c r="F10" i="35"/>
  <c r="F24"/>
  <c r="AA24" s="1"/>
  <c r="H24"/>
  <c r="AB24" s="1"/>
  <c r="H23" i="37"/>
  <c r="AB23" s="1"/>
  <c r="J32"/>
  <c r="AC32" s="1"/>
  <c r="F36"/>
  <c r="AA36" s="1"/>
  <c r="F37"/>
  <c r="AA37" s="1"/>
  <c r="F31" i="40"/>
  <c r="AA31" s="1"/>
  <c r="H31"/>
  <c r="U31" s="1"/>
  <c r="F32"/>
  <c r="S32" s="1"/>
  <c r="H32"/>
  <c r="AB32" s="1"/>
  <c r="J36"/>
  <c r="W36" s="1"/>
  <c r="S36" i="37"/>
  <c r="U23"/>
  <c r="AC41" i="34"/>
  <c r="W41"/>
  <c r="AA41"/>
  <c r="U27"/>
  <c r="G75" i="37"/>
  <c r="J19"/>
  <c r="W19" s="1"/>
  <c r="H19"/>
  <c r="AB19" s="1"/>
  <c r="U28" i="34"/>
  <c r="F123" i="33"/>
  <c r="G123"/>
  <c r="H123"/>
  <c r="I123"/>
  <c r="J123"/>
  <c r="K123"/>
  <c r="L123"/>
  <c r="M123"/>
  <c r="H42"/>
  <c r="AB42" s="1"/>
  <c r="G125"/>
  <c r="J43"/>
  <c r="AC43" s="1"/>
  <c r="AA32" i="40"/>
  <c r="S37" i="37"/>
  <c r="AA26" i="36"/>
  <c r="S14"/>
  <c r="S42" i="33"/>
  <c r="G79" i="37"/>
  <c r="J23"/>
  <c r="W23" s="1"/>
  <c r="G73"/>
  <c r="J17"/>
  <c r="W17"/>
  <c r="F17"/>
  <c r="AA17"/>
  <c r="U43" i="33"/>
  <c r="S17" i="37"/>
  <c r="U42" i="33"/>
  <c r="S28" i="31"/>
  <c r="S27"/>
  <c r="S26"/>
  <c r="U14" i="40"/>
  <c r="AA22" i="36"/>
  <c r="AC32"/>
  <c r="U13"/>
  <c r="AC33"/>
  <c r="U35" i="35"/>
  <c r="AA11"/>
  <c r="U22"/>
  <c r="AA12"/>
  <c r="AC12"/>
  <c r="W26"/>
  <c r="W23"/>
  <c r="AC17" i="37"/>
  <c r="AB17"/>
  <c r="W14"/>
  <c r="AB28"/>
  <c r="U33"/>
  <c r="U39"/>
  <c r="W26"/>
  <c r="AC8"/>
  <c r="U26"/>
  <c r="S25"/>
  <c r="AB41" i="34"/>
  <c r="AB35"/>
  <c r="W47"/>
  <c r="AB13"/>
  <c r="W37"/>
  <c r="AB37"/>
  <c r="AC36"/>
  <c r="AB8"/>
  <c r="AC27" i="33"/>
  <c r="AA13"/>
  <c r="AC31"/>
  <c r="AC45"/>
  <c r="W44"/>
  <c r="U11"/>
  <c r="AC11" i="21"/>
  <c r="U19"/>
  <c r="W44"/>
  <c r="U26"/>
  <c r="AC46"/>
  <c r="U12"/>
  <c r="AA36"/>
  <c r="AA43"/>
  <c r="AB38"/>
  <c r="W25" i="33"/>
  <c r="AC25"/>
  <c r="S17" i="40"/>
  <c r="S39" i="33"/>
  <c r="F43"/>
  <c r="AA43" s="1"/>
  <c r="AA23" i="37"/>
  <c r="AA10" i="35"/>
  <c r="S10"/>
  <c r="W25" i="34"/>
  <c r="AC25"/>
  <c r="S23" i="33"/>
  <c r="AA23"/>
  <c r="W15" i="34"/>
  <c r="AC15"/>
  <c r="W16" i="35"/>
  <c r="S43" i="39"/>
  <c r="W10" i="36"/>
  <c r="W40" i="37"/>
  <c r="S13" i="34"/>
  <c r="W38" i="37"/>
  <c r="AC29"/>
  <c r="G107"/>
  <c r="H107"/>
  <c r="I107"/>
  <c r="J107"/>
  <c r="K107"/>
  <c r="L107"/>
  <c r="M107"/>
  <c r="S23" i="40"/>
  <c r="AC11" i="33"/>
  <c r="U29" i="35"/>
  <c r="AC17" i="40"/>
  <c r="W23" i="33"/>
  <c r="U10" i="34"/>
  <c r="H113" i="21"/>
  <c r="H37"/>
  <c r="U37" s="1"/>
  <c r="S42"/>
  <c r="H19" i="34"/>
  <c r="AB19" s="1"/>
  <c r="H60" i="37"/>
  <c r="H10"/>
  <c r="AB10" s="1"/>
  <c r="F36" i="35"/>
  <c r="S36" s="1"/>
  <c r="J9" i="37"/>
  <c r="W9" s="1"/>
  <c r="H9"/>
  <c r="AB9" s="1"/>
  <c r="F9"/>
  <c r="S9"/>
  <c r="F63"/>
  <c r="F11"/>
  <c r="S11" s="1"/>
  <c r="J12"/>
  <c r="W12" s="1"/>
  <c r="H12"/>
  <c r="AB12" s="1"/>
  <c r="F12"/>
  <c r="S12" s="1"/>
  <c r="E71"/>
  <c r="F15"/>
  <c r="AA15"/>
  <c r="E94"/>
  <c r="F31"/>
  <c r="S31" s="1"/>
  <c r="F12" i="39"/>
  <c r="S12" s="1"/>
  <c r="J42"/>
  <c r="AC42" s="1"/>
  <c r="H21" i="40"/>
  <c r="AB21"/>
  <c r="AA9" i="37"/>
  <c r="U15"/>
  <c r="AA12"/>
  <c r="AC12"/>
  <c r="H11"/>
  <c r="G63"/>
  <c r="U9"/>
  <c r="AA36" i="35"/>
  <c r="I60" i="37"/>
  <c r="J10"/>
  <c r="W10" s="1"/>
  <c r="F94"/>
  <c r="G94"/>
  <c r="H94"/>
  <c r="I94"/>
  <c r="J94"/>
  <c r="K94"/>
  <c r="L94"/>
  <c r="M94"/>
  <c r="H31"/>
  <c r="U31" s="1"/>
  <c r="F71"/>
  <c r="G71"/>
  <c r="J15"/>
  <c r="U12"/>
  <c r="AC9"/>
  <c r="U10"/>
  <c r="S43" i="33"/>
  <c r="AC10" i="37"/>
  <c r="H63"/>
  <c r="I63"/>
  <c r="J63"/>
  <c r="K63"/>
  <c r="L63"/>
  <c r="M63"/>
  <c r="J11"/>
  <c r="AC11"/>
  <c r="AB31"/>
  <c r="AB11"/>
  <c r="U11"/>
  <c r="W11"/>
  <c r="AT6" i="3"/>
  <c r="M17" i="15"/>
  <c r="AA25" i="21"/>
  <c r="C12" i="43"/>
  <c r="H19" i="40"/>
  <c r="U19"/>
  <c r="F88"/>
  <c r="F19"/>
  <c r="S19" s="1"/>
  <c r="AA19"/>
  <c r="U21"/>
  <c r="S14"/>
  <c r="AC13"/>
  <c r="AB33"/>
  <c r="AB19"/>
  <c r="W23" i="39"/>
  <c r="S17"/>
  <c r="AB27"/>
  <c r="U27"/>
  <c r="AC43"/>
  <c r="W43"/>
  <c r="U45"/>
  <c r="AB45"/>
  <c r="AB44"/>
  <c r="U44"/>
  <c r="G101"/>
  <c r="AC13"/>
  <c r="H37"/>
  <c r="AB37" s="1"/>
  <c r="AC37"/>
  <c r="W37"/>
  <c r="F99"/>
  <c r="G99"/>
  <c r="H25"/>
  <c r="AB25" s="1"/>
  <c r="J25"/>
  <c r="F25"/>
  <c r="AA25" s="1"/>
  <c r="AC12"/>
  <c r="W12"/>
  <c r="G95"/>
  <c r="J21"/>
  <c r="W21" s="1"/>
  <c r="H21"/>
  <c r="AB21" s="1"/>
  <c r="F21"/>
  <c r="S21" s="1"/>
  <c r="W42"/>
  <c r="W27"/>
  <c r="S37"/>
  <c r="AB34"/>
  <c r="AA42"/>
  <c r="S42"/>
  <c r="U14"/>
  <c r="W14"/>
  <c r="W9"/>
  <c r="S9"/>
  <c r="W8"/>
  <c r="G88" i="40"/>
  <c r="J19"/>
  <c r="AC19" s="1"/>
  <c r="U37" i="39"/>
  <c r="AA21"/>
  <c r="J50" i="40"/>
  <c r="A8" i="52"/>
  <c r="B54" i="72" s="1"/>
  <c r="B16" i="53"/>
  <c r="B33" i="72" s="1"/>
  <c r="C7" i="37"/>
  <c r="C7" i="34"/>
  <c r="C7" i="36"/>
  <c r="AB37" i="40"/>
  <c r="W35"/>
  <c r="S28"/>
  <c r="AC15"/>
  <c r="A118" i="9"/>
  <c r="A4" i="52"/>
  <c r="B41" i="72" s="1"/>
  <c r="A126" i="9"/>
  <c r="A12" i="52" s="1"/>
  <c r="B56" i="72" s="1"/>
  <c r="G4" i="4"/>
  <c r="I4"/>
  <c r="K5"/>
  <c r="B47" i="48" s="1"/>
  <c r="A2" i="9"/>
  <c r="N9" i="43"/>
  <c r="AZ550" i="3"/>
  <c r="AZ20"/>
  <c r="AZ24"/>
  <c r="AZ28"/>
  <c r="AZ32"/>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BA304"/>
  <c r="AZ304"/>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222"/>
  <c r="AZ303"/>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F29" i="6" s="1"/>
  <c r="BJ5" i="3"/>
  <c r="BF5"/>
  <c r="AZ305"/>
  <c r="AZ309"/>
  <c r="AZ313"/>
  <c r="AZ317"/>
  <c r="AZ321"/>
  <c r="AZ325"/>
  <c r="AZ329"/>
  <c r="AZ333"/>
  <c r="AZ337"/>
  <c r="AZ341"/>
  <c r="AZ345"/>
  <c r="BQ5"/>
  <c r="AC5"/>
  <c r="AZ533"/>
  <c r="AZ549"/>
  <c r="AZ535"/>
  <c r="AZ547"/>
  <c r="AZ506"/>
  <c r="AZ548"/>
  <c r="AZ496"/>
  <c r="G548"/>
  <c r="G538"/>
  <c r="G520"/>
  <c r="G502"/>
  <c r="BS5"/>
  <c r="BP5"/>
  <c r="BN5"/>
  <c r="AZ343"/>
  <c r="AZ347"/>
  <c r="BK5"/>
  <c r="BI5"/>
  <c r="BG5"/>
  <c r="BE5"/>
  <c r="BC5"/>
  <c r="G17"/>
  <c r="BT5"/>
  <c r="AZ350"/>
  <c r="AZ352"/>
  <c r="AZ356"/>
  <c r="AZ360"/>
  <c r="AZ364"/>
  <c r="AZ368"/>
  <c r="BR5"/>
  <c r="AZ380"/>
  <c r="AZ384"/>
  <c r="AZ388"/>
  <c r="AZ392"/>
  <c r="AZ396"/>
  <c r="AZ394"/>
  <c r="AZ499"/>
  <c r="AZ509"/>
  <c r="G509"/>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AC36" i="40"/>
  <c r="U36"/>
  <c r="M8" i="43"/>
  <c r="N4"/>
  <c r="F48" s="1"/>
  <c r="H52" s="1"/>
  <c r="F81"/>
  <c r="H83" s="1"/>
  <c r="N7"/>
  <c r="F70"/>
  <c r="H73" s="1"/>
  <c r="N10"/>
  <c r="M11"/>
  <c r="F35"/>
  <c r="F6" i="1"/>
  <c r="U17" i="39"/>
  <c r="S16" i="36"/>
  <c r="S15" i="33"/>
  <c r="AC20" i="35"/>
  <c r="AB16"/>
  <c r="S14"/>
  <c r="AB10" i="33"/>
  <c r="W43" i="21"/>
  <c r="U43"/>
  <c r="U35"/>
  <c r="AC35"/>
  <c r="U10"/>
  <c r="AB8"/>
  <c r="F48" i="9"/>
  <c r="O52" s="1"/>
  <c r="AC15" i="37"/>
  <c r="W15"/>
  <c r="AA19"/>
  <c r="S19"/>
  <c r="AZ553" i="3"/>
  <c r="AZ563"/>
  <c r="S17" i="34"/>
  <c r="AA17"/>
  <c r="W43" i="33"/>
  <c r="AZ501" i="3"/>
  <c r="W37" i="37"/>
  <c r="AC37"/>
  <c r="W14" i="36"/>
  <c r="W44" i="34"/>
  <c r="AC44"/>
  <c r="AB17" i="33"/>
  <c r="U17"/>
  <c r="S15" i="37"/>
  <c r="U13"/>
  <c r="U12" i="40"/>
  <c r="AA12"/>
  <c r="AB36" i="33"/>
  <c r="J37"/>
  <c r="W37" s="1"/>
  <c r="AC17" i="34"/>
  <c r="F106" i="33"/>
  <c r="G106"/>
  <c r="H106"/>
  <c r="I106"/>
  <c r="J106"/>
  <c r="K106"/>
  <c r="L106"/>
  <c r="M106"/>
  <c r="J34"/>
  <c r="AC27" i="34"/>
  <c r="W27"/>
  <c r="F33"/>
  <c r="S33" s="1"/>
  <c r="G102"/>
  <c r="W12" i="36"/>
  <c r="AC12"/>
  <c r="H20"/>
  <c r="U20" s="1"/>
  <c r="J20"/>
  <c r="W20" s="1"/>
  <c r="F68"/>
  <c r="W24"/>
  <c r="AC24"/>
  <c r="AB34"/>
  <c r="U34"/>
  <c r="G81"/>
  <c r="J27"/>
  <c r="W27" s="1"/>
  <c r="AB25" i="37"/>
  <c r="U25"/>
  <c r="AC33" i="40"/>
  <c r="F111"/>
  <c r="G111"/>
  <c r="H111"/>
  <c r="I111"/>
  <c r="J111"/>
  <c r="K111"/>
  <c r="L111"/>
  <c r="M111"/>
  <c r="H35"/>
  <c r="AB35" s="1"/>
  <c r="AC29" i="35"/>
  <c r="W29"/>
  <c r="G103" i="37"/>
  <c r="H103"/>
  <c r="I103"/>
  <c r="J103"/>
  <c r="K103"/>
  <c r="L103"/>
  <c r="M103"/>
  <c r="H35"/>
  <c r="U35" s="1"/>
  <c r="AC10" i="33"/>
  <c r="W10"/>
  <c r="AC14" i="35"/>
  <c r="W14"/>
  <c r="F70"/>
  <c r="G70"/>
  <c r="H20"/>
  <c r="U20" s="1"/>
  <c r="F20"/>
  <c r="U23"/>
  <c r="AB23"/>
  <c r="AB29" i="36"/>
  <c r="U29"/>
  <c r="H32" i="37"/>
  <c r="F96"/>
  <c r="H27" i="40"/>
  <c r="U27" s="1"/>
  <c r="F96"/>
  <c r="G96"/>
  <c r="H96"/>
  <c r="I96"/>
  <c r="J96"/>
  <c r="K96"/>
  <c r="L96"/>
  <c r="M96"/>
  <c r="J27"/>
  <c r="AC27" s="1"/>
  <c r="F27"/>
  <c r="S27" s="1"/>
  <c r="F100"/>
  <c r="G100"/>
  <c r="H100"/>
  <c r="I100"/>
  <c r="J100"/>
  <c r="K100"/>
  <c r="L100"/>
  <c r="M100"/>
  <c r="J30"/>
  <c r="AC30" s="1"/>
  <c r="F30"/>
  <c r="AA30" s="1"/>
  <c r="AC21"/>
  <c r="S11"/>
  <c r="E98"/>
  <c r="F98"/>
  <c r="G98"/>
  <c r="H98"/>
  <c r="I98"/>
  <c r="J98"/>
  <c r="K98"/>
  <c r="L98"/>
  <c r="M98"/>
  <c r="AZ424" i="3"/>
  <c r="AZ440"/>
  <c r="AZ448"/>
  <c r="AZ456"/>
  <c r="AZ464"/>
  <c r="AZ472"/>
  <c r="F10" i="33"/>
  <c r="S10" s="1"/>
  <c r="F34"/>
  <c r="H34"/>
  <c r="U34" s="1"/>
  <c r="F35"/>
  <c r="F39" i="34"/>
  <c r="S39" s="1"/>
  <c r="J39"/>
  <c r="W39" s="1"/>
  <c r="F40"/>
  <c r="S40" s="1"/>
  <c r="F43"/>
  <c r="AA43" s="1"/>
  <c r="H44"/>
  <c r="AB44" s="1"/>
  <c r="F39" i="39"/>
  <c r="S39" s="1"/>
  <c r="J39"/>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C7" i="43"/>
  <c r="AC39" i="39"/>
  <c r="W39"/>
  <c r="F23"/>
  <c r="AA23" s="1"/>
  <c r="F97"/>
  <c r="S43" i="34"/>
  <c r="AC39"/>
  <c r="S35" i="33"/>
  <c r="AA35"/>
  <c r="S34"/>
  <c r="AA34"/>
  <c r="S30" i="40"/>
  <c r="AB27"/>
  <c r="AB32" i="37"/>
  <c r="U32"/>
  <c r="H27" i="36"/>
  <c r="U27" s="1"/>
  <c r="H81"/>
  <c r="I81"/>
  <c r="J81"/>
  <c r="K81"/>
  <c r="L81"/>
  <c r="M81"/>
  <c r="F27"/>
  <c r="AA27" s="1"/>
  <c r="H102" i="34"/>
  <c r="H33"/>
  <c r="U33" s="1"/>
  <c r="AC34" i="33"/>
  <c r="W34"/>
  <c r="U44" i="34"/>
  <c r="AA39"/>
  <c r="AA10" i="33"/>
  <c r="AA27" i="40"/>
  <c r="F32" i="37"/>
  <c r="G96"/>
  <c r="H96"/>
  <c r="I96"/>
  <c r="J96"/>
  <c r="K96"/>
  <c r="L96"/>
  <c r="M96"/>
  <c r="S20" i="35"/>
  <c r="AA20"/>
  <c r="U35" i="40"/>
  <c r="AC27" i="36"/>
  <c r="G68"/>
  <c r="F20"/>
  <c r="AA20" s="1"/>
  <c r="AB20"/>
  <c r="AA33" i="34"/>
  <c r="S32" i="37"/>
  <c r="AA32"/>
  <c r="S27" i="36"/>
  <c r="AB27"/>
  <c r="I102" i="34"/>
  <c r="J102"/>
  <c r="K102"/>
  <c r="L102"/>
  <c r="M102"/>
  <c r="J33"/>
  <c r="AC33" s="1"/>
  <c r="H23" i="39"/>
  <c r="U23" s="1"/>
  <c r="G97"/>
  <c r="D48" i="9"/>
  <c r="M52" s="1"/>
  <c r="B41" i="1"/>
  <c r="F54" i="9" s="1"/>
  <c r="K9" i="1"/>
  <c r="F3" i="35"/>
  <c r="D93" i="9"/>
  <c r="J51" i="15"/>
  <c r="M29" i="75"/>
  <c r="F43"/>
  <c r="L48"/>
  <c r="F7"/>
  <c r="L47"/>
  <c r="G3" i="43" l="1"/>
  <c r="F22" s="1"/>
  <c r="F8" i="1"/>
  <c r="I20" i="43" s="1"/>
  <c r="C20" s="1"/>
  <c r="E100"/>
  <c r="M100"/>
  <c r="L100"/>
  <c r="I100"/>
  <c r="H100"/>
  <c r="F34" i="77"/>
  <c r="F62" s="1"/>
  <c r="M20"/>
  <c r="M20" i="75"/>
  <c r="F34" i="76"/>
  <c r="F62" s="1"/>
  <c r="M20"/>
  <c r="F34" i="75"/>
  <c r="F62" s="1"/>
  <c r="F34" i="67"/>
  <c r="F62" s="1"/>
  <c r="M20"/>
  <c r="BL14" i="3"/>
  <c r="G28" i="6"/>
  <c r="G29"/>
  <c r="E29" s="1"/>
  <c r="K15" i="1" s="1"/>
  <c r="BA17" i="3"/>
  <c r="M6" i="43"/>
  <c r="N8"/>
  <c r="N2"/>
  <c r="M3"/>
  <c r="M1"/>
  <c r="F39"/>
  <c r="J17"/>
  <c r="E17"/>
  <c r="H113"/>
  <c r="I17"/>
  <c r="F36"/>
  <c r="G15" i="3"/>
  <c r="H5"/>
  <c r="BA13"/>
  <c r="AZ13" s="1"/>
  <c r="D68" i="9"/>
  <c r="F32" i="77"/>
  <c r="F60" s="1"/>
  <c r="M18"/>
  <c r="F28"/>
  <c r="C28" s="1"/>
  <c r="F32" i="76"/>
  <c r="F60" s="1"/>
  <c r="M18"/>
  <c r="F32" i="75"/>
  <c r="F60" s="1"/>
  <c r="M18"/>
  <c r="F28"/>
  <c r="C28" s="1"/>
  <c r="F28" i="76"/>
  <c r="C28" s="1"/>
  <c r="F28" i="15"/>
  <c r="C28" s="1"/>
  <c r="F53" i="9"/>
  <c r="U25" i="39"/>
  <c r="S25"/>
  <c r="G1" i="77"/>
  <c r="G1" i="76"/>
  <c r="BA15" i="3"/>
  <c r="AZ15" s="1"/>
  <c r="C7" i="12"/>
  <c r="BD5" i="3"/>
  <c r="M9" i="1"/>
  <c r="O9" s="1"/>
  <c r="P9" s="1"/>
  <c r="H74" i="43"/>
  <c r="H82"/>
  <c r="H49"/>
  <c r="H87"/>
  <c r="H48"/>
  <c r="H75"/>
  <c r="H86"/>
  <c r="H50"/>
  <c r="F107" i="39"/>
  <c r="F32"/>
  <c r="AA32" s="1"/>
  <c r="F124"/>
  <c r="G124" s="1"/>
  <c r="J41"/>
  <c r="W41" s="1"/>
  <c r="H41"/>
  <c r="AB41" s="1"/>
  <c r="S31"/>
  <c r="J31"/>
  <c r="AC31" s="1"/>
  <c r="H31"/>
  <c r="G9" i="1"/>
  <c r="C10" i="75"/>
  <c r="AZ16" i="3"/>
  <c r="F28" i="6"/>
  <c r="BA14" i="3"/>
  <c r="AZ14" s="1"/>
  <c r="C6" i="75"/>
  <c r="M7"/>
  <c r="F50"/>
  <c r="F71"/>
  <c r="M8" i="1"/>
  <c r="M6"/>
  <c r="L58" i="75"/>
  <c r="G8" i="1"/>
  <c r="J51" i="67"/>
  <c r="J51" i="76"/>
  <c r="J51" i="75"/>
  <c r="AC21" i="39"/>
  <c r="U21"/>
  <c r="W19"/>
  <c r="S19"/>
  <c r="U40"/>
  <c r="S32"/>
  <c r="H11"/>
  <c r="U11" s="1"/>
  <c r="F81"/>
  <c r="F11"/>
  <c r="J15"/>
  <c r="F15"/>
  <c r="H15"/>
  <c r="F89"/>
  <c r="G89" s="1"/>
  <c r="AA12"/>
  <c r="N101" i="43"/>
  <c r="N102" s="1"/>
  <c r="K101"/>
  <c r="K103" s="1"/>
  <c r="E22"/>
  <c r="G14" i="3"/>
  <c r="G13"/>
  <c r="N104" i="46"/>
  <c r="J101" i="43"/>
  <c r="J104" s="1"/>
  <c r="C101"/>
  <c r="C104" s="1"/>
  <c r="G101"/>
  <c r="G105" s="1"/>
  <c r="BB5" i="3"/>
  <c r="BL17"/>
  <c r="BL5" s="1"/>
  <c r="A15" i="62"/>
  <c r="B61" i="72" s="1"/>
  <c r="U29" i="34"/>
  <c r="E5" i="6"/>
  <c r="D9" i="11" s="1"/>
  <c r="C9" s="1"/>
  <c r="P10" i="1"/>
  <c r="H22" i="43"/>
  <c r="L101"/>
  <c r="L109" s="1"/>
  <c r="H101"/>
  <c r="D101"/>
  <c r="D109" s="1"/>
  <c r="M101"/>
  <c r="M109" s="1"/>
  <c r="I101"/>
  <c r="I109" s="1"/>
  <c r="E101"/>
  <c r="G22"/>
  <c r="E32" i="6"/>
  <c r="L19" s="1"/>
  <c r="G1" i="68"/>
  <c r="K1" i="12"/>
  <c r="F30" i="6"/>
  <c r="E28"/>
  <c r="AZ17" i="3"/>
  <c r="AR13" i="1"/>
  <c r="AQ13"/>
  <c r="T13"/>
  <c r="AR11"/>
  <c r="AQ11"/>
  <c r="T11"/>
  <c r="AR12"/>
  <c r="AQ12"/>
  <c r="T12"/>
  <c r="AR10"/>
  <c r="AQ10"/>
  <c r="T10"/>
  <c r="E19" i="69"/>
  <c r="E19" i="68"/>
  <c r="E19" i="11"/>
  <c r="F52" i="9"/>
  <c r="M18" i="15"/>
  <c r="F30" i="11"/>
  <c r="F32" i="15"/>
  <c r="F60" s="1"/>
  <c r="F31" i="12"/>
  <c r="F30" i="69"/>
  <c r="F30" i="68"/>
  <c r="F32" i="67"/>
  <c r="F60" s="1"/>
  <c r="F28"/>
  <c r="C28" s="1"/>
  <c r="M18"/>
  <c r="S22" i="31"/>
  <c r="E1" i="73"/>
  <c r="K1" s="1"/>
  <c r="G41" i="69"/>
  <c r="G22"/>
  <c r="G41" i="68"/>
  <c r="G22"/>
  <c r="G27" i="12"/>
  <c r="G26"/>
  <c r="G41" i="11"/>
  <c r="G22"/>
  <c r="G25" i="12"/>
  <c r="C100" i="43"/>
  <c r="E11"/>
  <c r="E10"/>
  <c r="E9"/>
  <c r="E8"/>
  <c r="E81"/>
  <c r="B79" s="1"/>
  <c r="S2"/>
  <c r="AJ11"/>
  <c r="AJ13" s="1"/>
  <c r="AH11"/>
  <c r="AH13" s="1"/>
  <c r="AF11"/>
  <c r="AF13" s="1"/>
  <c r="AD11"/>
  <c r="AD13" s="1"/>
  <c r="AB11"/>
  <c r="AB13" s="1"/>
  <c r="Z11"/>
  <c r="Z13" s="1"/>
  <c r="Z7"/>
  <c r="S7"/>
  <c r="S5"/>
  <c r="S3"/>
  <c r="AI11"/>
  <c r="AI13" s="1"/>
  <c r="AG11"/>
  <c r="AG13" s="1"/>
  <c r="AE11"/>
  <c r="AE13" s="1"/>
  <c r="AC11"/>
  <c r="AC13" s="1"/>
  <c r="AA11"/>
  <c r="AA13" s="1"/>
  <c r="Y11"/>
  <c r="Y13" s="1"/>
  <c r="S6"/>
  <c r="S4"/>
  <c r="E48"/>
  <c r="B46" s="1"/>
  <c r="C24" s="1"/>
  <c r="E70"/>
  <c r="B68" s="1"/>
  <c r="F100"/>
  <c r="C23" s="1"/>
  <c r="C21" s="1"/>
  <c r="H17"/>
  <c r="G6" i="1"/>
  <c r="H85" i="43"/>
  <c r="H81"/>
  <c r="H84"/>
  <c r="H88"/>
  <c r="H53"/>
  <c r="H54"/>
  <c r="H78"/>
  <c r="H70"/>
  <c r="H71"/>
  <c r="C17"/>
  <c r="F33"/>
  <c r="G17"/>
  <c r="F34"/>
  <c r="M7"/>
  <c r="N6"/>
  <c r="F59" s="1"/>
  <c r="M2"/>
  <c r="M10"/>
  <c r="N3"/>
  <c r="N11"/>
  <c r="F38"/>
  <c r="F37"/>
  <c r="M9"/>
  <c r="N12"/>
  <c r="N5"/>
  <c r="M5"/>
  <c r="M12"/>
  <c r="M4"/>
  <c r="B19" i="53"/>
  <c r="B37" i="72" s="1"/>
  <c r="C7" i="39"/>
  <c r="C68" s="1"/>
  <c r="C70" s="1"/>
  <c r="C7" i="35"/>
  <c r="C7" i="33"/>
  <c r="C7" i="21"/>
  <c r="C7" i="40"/>
  <c r="C63" s="1"/>
  <c r="M47" i="9"/>
  <c r="G19" i="43"/>
  <c r="P23" s="1"/>
  <c r="B71" i="39" s="1"/>
  <c r="T35" i="4"/>
  <c r="C46" i="36"/>
  <c r="D46" s="1"/>
  <c r="E46" s="1"/>
  <c r="C59" i="34"/>
  <c r="D59" s="1"/>
  <c r="C52" i="37"/>
  <c r="D52" s="1"/>
  <c r="A4" i="51"/>
  <c r="B6" i="72" s="1"/>
  <c r="D68" i="39"/>
  <c r="D70" s="1"/>
  <c r="C48" i="35"/>
  <c r="D48" s="1"/>
  <c r="C58" i="33"/>
  <c r="D58" s="1"/>
  <c r="E58" s="1"/>
  <c r="F58" s="1"/>
  <c r="G58" s="1"/>
  <c r="H58" s="1"/>
  <c r="I58" s="1"/>
  <c r="J58" s="1"/>
  <c r="K58" s="1"/>
  <c r="L58" s="1"/>
  <c r="M58" s="1"/>
  <c r="N58" s="1"/>
  <c r="O58" s="1"/>
  <c r="C58" i="21"/>
  <c r="D58" s="1"/>
  <c r="C94" i="9"/>
  <c r="C92"/>
  <c r="H55" i="43"/>
  <c r="H51"/>
  <c r="H56"/>
  <c r="H76"/>
  <c r="H72"/>
  <c r="H77"/>
  <c r="L20" i="6"/>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U42"/>
  <c r="AB23"/>
  <c r="W25"/>
  <c r="AC25"/>
  <c r="U13"/>
  <c r="AB13"/>
  <c r="AA13"/>
  <c r="S13"/>
  <c r="S14"/>
  <c r="AA14"/>
  <c r="U43"/>
  <c r="AB43"/>
  <c r="AA27"/>
  <c r="S27"/>
  <c r="W17"/>
  <c r="AC17"/>
  <c r="S23"/>
  <c r="AA45"/>
  <c r="AB39"/>
  <c r="W34"/>
  <c r="S8"/>
  <c r="S20" i="36"/>
  <c r="AC25"/>
  <c r="S28"/>
  <c r="U32"/>
  <c r="W29"/>
  <c r="AC20"/>
  <c r="U25"/>
  <c r="AB28"/>
  <c r="AA13"/>
  <c r="W9"/>
  <c r="W22"/>
  <c r="W23"/>
  <c r="S9"/>
  <c r="AB20" i="35"/>
  <c r="AC25"/>
  <c r="U25"/>
  <c r="S24"/>
  <c r="W33"/>
  <c r="AA30"/>
  <c r="S26"/>
  <c r="U24"/>
  <c r="S35"/>
  <c r="W35"/>
  <c r="AA16"/>
  <c r="AA35" i="37"/>
  <c r="AC19"/>
  <c r="W36"/>
  <c r="S27"/>
  <c r="S28"/>
  <c r="W32"/>
  <c r="U36"/>
  <c r="S40"/>
  <c r="U38"/>
  <c r="AB37"/>
  <c r="S33"/>
  <c r="AC34"/>
  <c r="AB35"/>
  <c r="AA11"/>
  <c r="AA31"/>
  <c r="U19"/>
  <c r="AC23"/>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U11"/>
  <c r="AB11"/>
  <c r="AC43"/>
  <c r="W43"/>
  <c r="AA11"/>
  <c r="S11"/>
  <c r="W23"/>
  <c r="AC23"/>
  <c r="AC35"/>
  <c r="W35"/>
  <c r="U12"/>
  <c r="AB12"/>
  <c r="AB28" i="33"/>
  <c r="AC37"/>
  <c r="W46"/>
  <c r="U39"/>
  <c r="U38"/>
  <c r="S33"/>
  <c r="AB34"/>
  <c r="U44"/>
  <c r="AB44"/>
  <c r="S30"/>
  <c r="AA30"/>
  <c r="AC14"/>
  <c r="W14"/>
  <c r="AC30"/>
  <c r="W30"/>
  <c r="S31"/>
  <c r="AA31"/>
  <c r="W13"/>
  <c r="AC13"/>
  <c r="U15"/>
  <c r="U19"/>
  <c r="S11"/>
  <c r="U37"/>
  <c r="AC28"/>
  <c r="S28"/>
  <c r="AA19"/>
  <c r="W9"/>
  <c r="W8"/>
  <c r="S44" i="21"/>
  <c r="AB42"/>
  <c r="U28"/>
  <c r="AA11"/>
  <c r="S45"/>
  <c r="I101"/>
  <c r="J101" s="1"/>
  <c r="K101" s="1"/>
  <c r="L101" s="1"/>
  <c r="M101" s="1"/>
  <c r="F33"/>
  <c r="J33"/>
  <c r="H33"/>
  <c r="AB33" s="1"/>
  <c r="F37"/>
  <c r="AA37" s="1"/>
  <c r="AA26"/>
  <c r="AB14"/>
  <c r="AB46"/>
  <c r="U40"/>
  <c r="AB31"/>
  <c r="U31"/>
  <c r="W15"/>
  <c r="AC15"/>
  <c r="U13"/>
  <c r="AB13"/>
  <c r="AB23"/>
  <c r="W8"/>
  <c r="S35"/>
  <c r="AB37"/>
  <c r="J37"/>
  <c r="W37" s="1"/>
  <c r="H15"/>
  <c r="U15" s="1"/>
  <c r="J17"/>
  <c r="AC17" s="1"/>
  <c r="AC19"/>
  <c r="S23"/>
  <c r="W39"/>
  <c r="AC14"/>
  <c r="W30"/>
  <c r="S46"/>
  <c r="H45"/>
  <c r="U45" s="1"/>
  <c r="F29"/>
  <c r="S29" s="1"/>
  <c r="F13"/>
  <c r="AA13" s="1"/>
  <c r="AC38"/>
  <c r="H32"/>
  <c r="H9"/>
  <c r="J9"/>
  <c r="J32"/>
  <c r="F32"/>
  <c r="AA31"/>
  <c r="S37"/>
  <c r="U17"/>
  <c r="W29"/>
  <c r="S19"/>
  <c r="AC37"/>
  <c r="S9"/>
  <c r="AA9"/>
  <c r="K141"/>
  <c r="K144"/>
  <c r="K143"/>
  <c r="U27"/>
  <c r="AB25"/>
  <c r="AB44"/>
  <c r="AA30"/>
  <c r="W13"/>
  <c r="W42"/>
  <c r="AC45"/>
  <c r="F10"/>
  <c r="K145"/>
  <c r="AB15"/>
  <c r="W17"/>
  <c r="W25"/>
  <c r="AA29"/>
  <c r="AA23"/>
  <c r="W31"/>
  <c r="S27"/>
  <c r="S17"/>
  <c r="AA15"/>
  <c r="W23"/>
  <c r="AC27"/>
  <c r="AC26"/>
  <c r="AB29"/>
  <c r="S28"/>
  <c r="S13"/>
  <c r="AC34"/>
  <c r="W10"/>
  <c r="W12"/>
  <c r="U33"/>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B20"/>
  <c r="B8"/>
  <c r="E18"/>
  <c r="E4"/>
  <c r="E11"/>
  <c r="C76" i="15"/>
  <c r="F42" i="76"/>
  <c r="M9" i="77"/>
  <c r="M28" i="67"/>
  <c r="F16" i="15"/>
  <c r="F8"/>
  <c r="M22"/>
  <c r="J15" i="77"/>
  <c r="M23" i="15"/>
  <c r="F7"/>
  <c r="F37" i="67"/>
  <c r="G1" i="73"/>
  <c r="F42" i="15"/>
  <c r="F13" i="77"/>
  <c r="L48" i="15"/>
  <c r="F43"/>
  <c r="F37"/>
  <c r="F36"/>
  <c r="F7" i="77"/>
  <c r="M29" i="15"/>
  <c r="F36" i="67"/>
  <c r="F43"/>
  <c r="F40"/>
  <c r="M28" i="15"/>
  <c r="M22" i="76"/>
  <c r="F38" i="67"/>
  <c r="M24" i="77"/>
  <c r="M29" i="67"/>
  <c r="F6" i="15"/>
  <c r="F36" i="76"/>
  <c r="F13" i="15"/>
  <c r="F16" i="76"/>
  <c r="M6" i="67"/>
  <c r="M29" i="77"/>
  <c r="F9" i="67"/>
  <c r="F13" i="76"/>
  <c r="F8" i="67"/>
  <c r="F6"/>
  <c r="M6" i="15"/>
  <c r="F7" i="76"/>
  <c r="M23"/>
  <c r="C76" i="77"/>
  <c r="F6" i="76"/>
  <c r="M22" i="77"/>
  <c r="F13" i="67"/>
  <c r="L47" i="77"/>
  <c r="F40" i="76"/>
  <c r="M23" i="67"/>
  <c r="M8"/>
  <c r="M26"/>
  <c r="M24" i="15"/>
  <c r="M8"/>
  <c r="M23" i="77"/>
  <c r="F43"/>
  <c r="M28" i="76"/>
  <c r="M22" i="67"/>
  <c r="F8" i="77"/>
  <c r="F6"/>
  <c r="F16" i="67"/>
  <c r="J15"/>
  <c r="F40" i="15"/>
  <c r="M26" i="76"/>
  <c r="F42" i="77"/>
  <c r="F7" i="67"/>
  <c r="M9" i="76"/>
  <c r="F37"/>
  <c r="J15" i="15"/>
  <c r="F9" i="76"/>
  <c r="L47"/>
  <c r="L48" i="77"/>
  <c r="M6"/>
  <c r="F40"/>
  <c r="F26"/>
  <c r="M26"/>
  <c r="M24" i="67"/>
  <c r="M26" i="15"/>
  <c r="L48" i="67"/>
  <c r="M28" i="77"/>
  <c r="L47" i="67"/>
  <c r="F42"/>
  <c r="F38" i="15"/>
  <c r="M29" i="76"/>
  <c r="C76" i="67"/>
  <c r="F16" i="77"/>
  <c r="F8" i="76"/>
  <c r="M24"/>
  <c r="F26"/>
  <c r="C16" i="75"/>
  <c r="J15" i="76"/>
  <c r="F26" i="67"/>
  <c r="F38" i="76"/>
  <c r="F37" i="77"/>
  <c r="M27"/>
  <c r="L47" i="15"/>
  <c r="M8" i="77"/>
  <c r="F9" i="15"/>
  <c r="M8" i="76"/>
  <c r="L48"/>
  <c r="C76"/>
  <c r="F26" i="15"/>
  <c r="F36" i="77"/>
  <c r="M9" i="67"/>
  <c r="M6" i="76"/>
  <c r="F9" i="77"/>
  <c r="F43" i="76"/>
  <c r="M9" i="15"/>
  <c r="F38" i="77"/>
  <c r="F101" i="43" l="1"/>
  <c r="F104" s="1"/>
  <c r="B113"/>
  <c r="B115" s="1"/>
  <c r="C115" s="1"/>
  <c r="I116"/>
  <c r="J116" s="1"/>
  <c r="K116" s="1"/>
  <c r="L116" s="1"/>
  <c r="M116" s="1"/>
  <c r="B116"/>
  <c r="C116" s="1"/>
  <c r="I118"/>
  <c r="J118" s="1"/>
  <c r="K118" s="1"/>
  <c r="L118" s="1"/>
  <c r="M118" s="1"/>
  <c r="C6"/>
  <c r="D117"/>
  <c r="E117" s="1"/>
  <c r="F117" s="1"/>
  <c r="G117" s="1"/>
  <c r="H117" s="1"/>
  <c r="F109"/>
  <c r="F103"/>
  <c r="I117"/>
  <c r="J117" s="1"/>
  <c r="K117" s="1"/>
  <c r="L117" s="1"/>
  <c r="M117" s="1"/>
  <c r="D118"/>
  <c r="E118" s="1"/>
  <c r="F118" s="1"/>
  <c r="F102"/>
  <c r="F105"/>
  <c r="B117"/>
  <c r="C117" s="1"/>
  <c r="G118"/>
  <c r="H118" s="1"/>
  <c r="F106"/>
  <c r="D115"/>
  <c r="E115" s="1"/>
  <c r="F115" s="1"/>
  <c r="G115" s="1"/>
  <c r="H115" s="1"/>
  <c r="B118"/>
  <c r="C118" s="1"/>
  <c r="D116"/>
  <c r="E116" s="1"/>
  <c r="F116" s="1"/>
  <c r="G116" s="1"/>
  <c r="H116" s="1"/>
  <c r="F107"/>
  <c r="I115"/>
  <c r="J115" s="1"/>
  <c r="K115" s="1"/>
  <c r="L115" s="1"/>
  <c r="M115" s="1"/>
  <c r="K109"/>
  <c r="K106"/>
  <c r="E14" i="6"/>
  <c r="E64" i="39" s="1"/>
  <c r="E30" i="6"/>
  <c r="G30"/>
  <c r="G31" s="1"/>
  <c r="C16" i="43"/>
  <c r="N109"/>
  <c r="AB11" i="39"/>
  <c r="J106" i="43"/>
  <c r="W31" i="39"/>
  <c r="H65" i="43"/>
  <c r="H62"/>
  <c r="H60"/>
  <c r="H67"/>
  <c r="H63"/>
  <c r="H66"/>
  <c r="H64"/>
  <c r="H61"/>
  <c r="H59"/>
  <c r="K105"/>
  <c r="K104"/>
  <c r="K102"/>
  <c r="C30" i="69"/>
  <c r="C48"/>
  <c r="C30" i="68"/>
  <c r="C48"/>
  <c r="D22" i="43"/>
  <c r="BA5" i="3"/>
  <c r="U41" i="39"/>
  <c r="AC41"/>
  <c r="F65" i="76"/>
  <c r="F66"/>
  <c r="F50"/>
  <c r="M7"/>
  <c r="J6" s="1"/>
  <c r="C27"/>
  <c r="L58"/>
  <c r="Q73" s="1"/>
  <c r="F51"/>
  <c r="F68"/>
  <c r="F64"/>
  <c r="Q71"/>
  <c r="C6"/>
  <c r="C5" s="1"/>
  <c r="C38" s="1"/>
  <c r="F71"/>
  <c r="C27" i="77"/>
  <c r="C6"/>
  <c r="C5" s="1"/>
  <c r="C38" s="1"/>
  <c r="F66"/>
  <c r="F68"/>
  <c r="F64"/>
  <c r="F51"/>
  <c r="F65"/>
  <c r="L59"/>
  <c r="Q74" s="1"/>
  <c r="L58"/>
  <c r="Q60" s="1"/>
  <c r="Q71"/>
  <c r="F71"/>
  <c r="F50"/>
  <c r="M7"/>
  <c r="J6" s="1"/>
  <c r="L57"/>
  <c r="K53"/>
  <c r="L60"/>
  <c r="Q66" s="1"/>
  <c r="J57"/>
  <c r="L56"/>
  <c r="J53"/>
  <c r="F1" s="1"/>
  <c r="L57" i="76"/>
  <c r="G5" i="3"/>
  <c r="B3" s="1"/>
  <c r="E266" s="1"/>
  <c r="N107" i="43"/>
  <c r="K14" i="1"/>
  <c r="M14" s="1"/>
  <c r="O14" s="1"/>
  <c r="P14" s="1"/>
  <c r="G106" i="43"/>
  <c r="N105"/>
  <c r="N103"/>
  <c r="N104"/>
  <c r="K107"/>
  <c r="J103"/>
  <c r="G103"/>
  <c r="N106"/>
  <c r="D9" i="69"/>
  <c r="C9" s="1"/>
  <c r="C4" i="4"/>
  <c r="B4" i="62" s="1"/>
  <c r="B71" i="72" s="1"/>
  <c r="P24" i="43"/>
  <c r="B66" i="40" s="1"/>
  <c r="G107" i="39"/>
  <c r="H32"/>
  <c r="F41"/>
  <c r="H124"/>
  <c r="I124" s="1"/>
  <c r="J124" s="1"/>
  <c r="K124" s="1"/>
  <c r="L124" s="1"/>
  <c r="M124" s="1"/>
  <c r="AB31"/>
  <c r="U31"/>
  <c r="C5" i="75"/>
  <c r="C38" s="1"/>
  <c r="O8" i="1"/>
  <c r="P8" s="1"/>
  <c r="C49" i="75"/>
  <c r="C53"/>
  <c r="C106" i="43"/>
  <c r="O6" i="1"/>
  <c r="P6" s="1"/>
  <c r="J6" i="75"/>
  <c r="J10"/>
  <c r="J53"/>
  <c r="K53"/>
  <c r="J57"/>
  <c r="L59"/>
  <c r="Q60"/>
  <c r="Q73"/>
  <c r="K53" i="76"/>
  <c r="L59"/>
  <c r="L60" s="1"/>
  <c r="J53"/>
  <c r="J57"/>
  <c r="L57" i="75"/>
  <c r="L56"/>
  <c r="L56" i="76"/>
  <c r="J11" i="39"/>
  <c r="G81"/>
  <c r="H81" s="1"/>
  <c r="I81" s="1"/>
  <c r="J81" s="1"/>
  <c r="K81" s="1"/>
  <c r="L81" s="1"/>
  <c r="M81" s="1"/>
  <c r="AA11"/>
  <c r="S11"/>
  <c r="AA15"/>
  <c r="S15"/>
  <c r="AB15"/>
  <c r="U15"/>
  <c r="W15"/>
  <c r="AC15"/>
  <c r="C109" i="43"/>
  <c r="C105"/>
  <c r="C102"/>
  <c r="C103"/>
  <c r="C107"/>
  <c r="E59" i="40"/>
  <c r="AZ5" i="3"/>
  <c r="E3" i="6" s="1"/>
  <c r="E4" i="4"/>
  <c r="B5" i="62" s="1"/>
  <c r="B73" i="72" s="1"/>
  <c r="G109" i="43"/>
  <c r="J109"/>
  <c r="D9" i="68"/>
  <c r="C9" s="1"/>
  <c r="G104" i="43"/>
  <c r="G107"/>
  <c r="J102"/>
  <c r="J107"/>
  <c r="G102"/>
  <c r="J105"/>
  <c r="E11" i="6"/>
  <c r="E10"/>
  <c r="E15"/>
  <c r="E8"/>
  <c r="E12"/>
  <c r="E13"/>
  <c r="P21" i="43"/>
  <c r="M20"/>
  <c r="C19" s="1"/>
  <c r="E102"/>
  <c r="E104"/>
  <c r="E106"/>
  <c r="E107"/>
  <c r="E103"/>
  <c r="E105"/>
  <c r="M102"/>
  <c r="M104"/>
  <c r="M106"/>
  <c r="M107"/>
  <c r="M103"/>
  <c r="M105"/>
  <c r="H102"/>
  <c r="H107"/>
  <c r="H103"/>
  <c r="H106"/>
  <c r="H104"/>
  <c r="H105"/>
  <c r="E109"/>
  <c r="H109"/>
  <c r="I102"/>
  <c r="I104"/>
  <c r="I106"/>
  <c r="I107"/>
  <c r="I103"/>
  <c r="I105"/>
  <c r="D103"/>
  <c r="D105"/>
  <c r="D104"/>
  <c r="D106"/>
  <c r="D107"/>
  <c r="D102"/>
  <c r="L102"/>
  <c r="L106"/>
  <c r="L105"/>
  <c r="L107"/>
  <c r="L104"/>
  <c r="L103"/>
  <c r="E354" i="3"/>
  <c r="E102"/>
  <c r="E83"/>
  <c r="C48" i="11"/>
  <c r="C30"/>
  <c r="B20" i="31"/>
  <c r="R22"/>
  <c r="B21" s="1"/>
  <c r="B40" i="1"/>
  <c r="F24" i="77" s="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C10" i="15"/>
  <c r="L27" i="6"/>
  <c r="G16" i="1"/>
  <c r="H10" i="40" s="1"/>
  <c r="U10" s="1"/>
  <c r="C27" i="67"/>
  <c r="L56"/>
  <c r="J57"/>
  <c r="L57"/>
  <c r="J53"/>
  <c r="K53"/>
  <c r="F70"/>
  <c r="F51"/>
  <c r="F68"/>
  <c r="L59"/>
  <c r="L58"/>
  <c r="F71"/>
  <c r="F66"/>
  <c r="F50"/>
  <c r="M7"/>
  <c r="J6" s="1"/>
  <c r="Q71"/>
  <c r="F64"/>
  <c r="C6"/>
  <c r="F65"/>
  <c r="F71" i="15"/>
  <c r="L59"/>
  <c r="Q74" s="1"/>
  <c r="L58"/>
  <c r="Q73" s="1"/>
  <c r="C27"/>
  <c r="Q71"/>
  <c r="F64"/>
  <c r="F51"/>
  <c r="F65"/>
  <c r="J57"/>
  <c r="L56"/>
  <c r="F68"/>
  <c r="M7"/>
  <c r="J6" s="1"/>
  <c r="F50"/>
  <c r="F66"/>
  <c r="C6"/>
  <c r="C10" i="67"/>
  <c r="AP7" i="1"/>
  <c r="C36" i="69" s="1"/>
  <c r="M7" i="1"/>
  <c r="O7" s="1"/>
  <c r="Q16"/>
  <c r="F27" i="69" s="1"/>
  <c r="H16" i="1"/>
  <c r="AB45" i="21"/>
  <c r="AC33"/>
  <c r="W33"/>
  <c r="S33"/>
  <c r="AA33"/>
  <c r="W32"/>
  <c r="AC32"/>
  <c r="AB9"/>
  <c r="U9"/>
  <c r="AA32"/>
  <c r="S32"/>
  <c r="W9"/>
  <c r="AC9"/>
  <c r="AB32"/>
  <c r="U32"/>
  <c r="AA10"/>
  <c r="S10"/>
  <c r="C16" i="15"/>
  <c r="AE9" i="1"/>
  <c r="C16" i="76"/>
  <c r="D19" i="12"/>
  <c r="C16" i="67"/>
  <c r="C16" i="77"/>
  <c r="D113" i="43" l="1"/>
  <c r="J22" s="1"/>
  <c r="E374" i="3"/>
  <c r="K16" i="1"/>
  <c r="B29" s="1"/>
  <c r="C8" i="68" s="1"/>
  <c r="E326" i="3"/>
  <c r="E370"/>
  <c r="E195"/>
  <c r="E287"/>
  <c r="E232"/>
  <c r="E384"/>
  <c r="E113"/>
  <c r="E34"/>
  <c r="E121"/>
  <c r="E128"/>
  <c r="E156"/>
  <c r="E576"/>
  <c r="E448"/>
  <c r="E416"/>
  <c r="E558"/>
  <c r="E498"/>
  <c r="E520"/>
  <c r="E88"/>
  <c r="E178"/>
  <c r="E211"/>
  <c r="E273"/>
  <c r="E377"/>
  <c r="E572"/>
  <c r="E109"/>
  <c r="E484"/>
  <c r="E46"/>
  <c r="E142"/>
  <c r="E267"/>
  <c r="E300"/>
  <c r="E386"/>
  <c r="E392"/>
  <c r="E23"/>
  <c r="E24"/>
  <c r="E48"/>
  <c r="E87"/>
  <c r="E127"/>
  <c r="E250"/>
  <c r="E284"/>
  <c r="E341"/>
  <c r="Y6"/>
  <c r="E51"/>
  <c r="E19"/>
  <c r="E154"/>
  <c r="E179"/>
  <c r="E222"/>
  <c r="E323"/>
  <c r="E373"/>
  <c r="E82"/>
  <c r="Z6"/>
  <c r="E443"/>
  <c r="E413"/>
  <c r="E25"/>
  <c r="E272"/>
  <c r="E291"/>
  <c r="AM6"/>
  <c r="E29"/>
  <c r="E103"/>
  <c r="E209"/>
  <c r="E307"/>
  <c r="E492"/>
  <c r="E36"/>
  <c r="E112"/>
  <c r="E147"/>
  <c r="E340"/>
  <c r="E50"/>
  <c r="E62"/>
  <c r="E218"/>
  <c r="E265"/>
  <c r="E524"/>
  <c r="E578"/>
  <c r="E122"/>
  <c r="E204"/>
  <c r="AG6"/>
  <c r="P6"/>
  <c r="E490"/>
  <c r="E500"/>
  <c r="E444"/>
  <c r="E463"/>
  <c r="E57"/>
  <c r="E166"/>
  <c r="E295"/>
  <c r="E316"/>
  <c r="E334"/>
  <c r="E30"/>
  <c r="E480"/>
  <c r="E467"/>
  <c r="E160"/>
  <c r="E200"/>
  <c r="E249"/>
  <c r="E339"/>
  <c r="E310"/>
  <c r="E584"/>
  <c r="E67"/>
  <c r="E33"/>
  <c r="E144"/>
  <c r="E518"/>
  <c r="E148"/>
  <c r="E252"/>
  <c r="E485"/>
  <c r="AH6"/>
  <c r="E404"/>
  <c r="E187"/>
  <c r="E317"/>
  <c r="E425"/>
  <c r="E163"/>
  <c r="E325"/>
  <c r="E66"/>
  <c r="E123"/>
  <c r="E289"/>
  <c r="E364"/>
  <c r="E20"/>
  <c r="E176"/>
  <c r="E365"/>
  <c r="E101"/>
  <c r="E21"/>
  <c r="E264"/>
  <c r="E68"/>
  <c r="E22"/>
  <c r="E308"/>
  <c r="E158"/>
  <c r="E80"/>
  <c r="AF6"/>
  <c r="E251"/>
  <c r="E206"/>
  <c r="E52"/>
  <c r="E441"/>
  <c r="E210"/>
  <c r="E483"/>
  <c r="AO6"/>
  <c r="E382"/>
  <c r="E513"/>
  <c r="E283"/>
  <c r="E118"/>
  <c r="E63"/>
  <c r="E381"/>
  <c r="E233"/>
  <c r="E49"/>
  <c r="AQ6"/>
  <c r="E248"/>
  <c r="E44"/>
  <c r="E186"/>
  <c r="E581"/>
  <c r="E327"/>
  <c r="E309"/>
  <c r="E81"/>
  <c r="E355"/>
  <c r="E184"/>
  <c r="E84"/>
  <c r="E371"/>
  <c r="E64"/>
  <c r="E331"/>
  <c r="E39"/>
  <c r="E422"/>
  <c r="E164"/>
  <c r="E245"/>
  <c r="E516"/>
  <c r="E319"/>
  <c r="E217"/>
  <c r="AJ6"/>
  <c r="E282"/>
  <c r="E329"/>
  <c r="E555"/>
  <c r="E410"/>
  <c r="E227"/>
  <c r="E165"/>
  <c r="E270"/>
  <c r="E390"/>
  <c r="E533"/>
  <c r="S6"/>
  <c r="AR6"/>
  <c r="E523"/>
  <c r="E561"/>
  <c r="E506"/>
  <c r="E538"/>
  <c r="E418"/>
  <c r="E439"/>
  <c r="E338"/>
  <c r="E380"/>
  <c r="E321"/>
  <c r="E231"/>
  <c r="E298"/>
  <c r="E216"/>
  <c r="E169"/>
  <c r="E185"/>
  <c r="E61"/>
  <c r="E135"/>
  <c r="E290"/>
  <c r="E161"/>
  <c r="E117"/>
  <c r="E140"/>
  <c r="E85"/>
  <c r="E223"/>
  <c r="E238"/>
  <c r="E197"/>
  <c r="E116"/>
  <c r="E173"/>
  <c r="E105"/>
  <c r="E369"/>
  <c r="E393"/>
  <c r="E525"/>
  <c r="E493"/>
  <c r="E534"/>
  <c r="E564"/>
  <c r="T6"/>
  <c r="E543"/>
  <c r="E405"/>
  <c r="E427"/>
  <c r="E456"/>
  <c r="E486"/>
  <c r="E469"/>
  <c r="E507"/>
  <c r="E565"/>
  <c r="E503"/>
  <c r="E268"/>
  <c r="E388"/>
  <c r="E579"/>
  <c r="E359"/>
  <c r="E229"/>
  <c r="E97"/>
  <c r="E397"/>
  <c r="E314"/>
  <c r="E568"/>
  <c r="E511"/>
  <c r="I6"/>
  <c r="E16"/>
  <c r="E536"/>
  <c r="AK6"/>
  <c r="E549"/>
  <c r="E434"/>
  <c r="E453"/>
  <c r="E306"/>
  <c r="E368"/>
  <c r="E296"/>
  <c r="E244"/>
  <c r="E262"/>
  <c r="E196"/>
  <c r="E304"/>
  <c r="E322"/>
  <c r="E183"/>
  <c r="E539"/>
  <c r="E569"/>
  <c r="E396"/>
  <c r="E205"/>
  <c r="E151"/>
  <c r="E311"/>
  <c r="E358"/>
  <c r="E514"/>
  <c r="E559"/>
  <c r="E570"/>
  <c r="E551"/>
  <c r="M6"/>
  <c r="V6"/>
  <c r="AB6"/>
  <c r="E407"/>
  <c r="E387"/>
  <c r="E320"/>
  <c r="E335"/>
  <c r="E294"/>
  <c r="E215"/>
  <c r="E230"/>
  <c r="E189"/>
  <c r="E130"/>
  <c r="E134"/>
  <c r="E254"/>
  <c r="E91"/>
  <c r="E221"/>
  <c r="E180"/>
  <c r="E120"/>
  <c r="E45"/>
  <c r="E277"/>
  <c r="E224"/>
  <c r="E177"/>
  <c r="E193"/>
  <c r="E133"/>
  <c r="E313"/>
  <c r="E330"/>
  <c r="E519"/>
  <c r="K6"/>
  <c r="E532"/>
  <c r="Q6"/>
  <c r="E573"/>
  <c r="E560"/>
  <c r="E529"/>
  <c r="E437"/>
  <c r="E458"/>
  <c r="E472"/>
  <c r="E474"/>
  <c r="E481"/>
  <c r="E527"/>
  <c r="E406"/>
  <c r="E438"/>
  <c r="E424"/>
  <c r="E457"/>
  <c r="E465"/>
  <c r="E288"/>
  <c r="E344"/>
  <c r="E562"/>
  <c r="E587"/>
  <c r="W6"/>
  <c r="AE6"/>
  <c r="E571"/>
  <c r="E577"/>
  <c r="E537"/>
  <c r="E429"/>
  <c r="E450"/>
  <c r="E468"/>
  <c r="E471"/>
  <c r="E496"/>
  <c r="E433"/>
  <c r="E454"/>
  <c r="E475"/>
  <c r="E55"/>
  <c r="E72"/>
  <c r="E106"/>
  <c r="E54"/>
  <c r="E73"/>
  <c r="E111"/>
  <c r="E146"/>
  <c r="E168"/>
  <c r="E203"/>
  <c r="E150"/>
  <c r="E299"/>
  <c r="E219"/>
  <c r="E234"/>
  <c r="E194"/>
  <c r="E137"/>
  <c r="E170"/>
  <c r="E100"/>
  <c r="E38"/>
  <c r="E79"/>
  <c r="E455"/>
  <c r="E15"/>
  <c r="E473"/>
  <c r="E409"/>
  <c r="E75"/>
  <c r="E32"/>
  <c r="E93"/>
  <c r="E74"/>
  <c r="E31"/>
  <c r="E580"/>
  <c r="E14"/>
  <c r="E362"/>
  <c r="E318"/>
  <c r="E394"/>
  <c r="E357"/>
  <c r="E315"/>
  <c r="E351"/>
  <c r="E274"/>
  <c r="E257"/>
  <c r="E214"/>
  <c r="E279"/>
  <c r="E256"/>
  <c r="E208"/>
  <c r="E171"/>
  <c r="E132"/>
  <c r="E198"/>
  <c r="E162"/>
  <c r="E95"/>
  <c r="E41"/>
  <c r="E27"/>
  <c r="E56"/>
  <c r="E26"/>
  <c r="E447"/>
  <c r="E417"/>
  <c r="E470"/>
  <c r="E476"/>
  <c r="E435"/>
  <c r="E494"/>
  <c r="AS6"/>
  <c r="E554"/>
  <c r="E497"/>
  <c r="E505"/>
  <c r="I3" i="6"/>
  <c r="E360" i="3"/>
  <c r="E477"/>
  <c r="E449"/>
  <c r="E408"/>
  <c r="E414"/>
  <c r="E541"/>
  <c r="E466"/>
  <c r="E442"/>
  <c r="E502"/>
  <c r="R6"/>
  <c r="E499"/>
  <c r="E575"/>
  <c r="E286"/>
  <c r="E199"/>
  <c r="E253"/>
  <c r="E77"/>
  <c r="E181"/>
  <c r="E188"/>
  <c r="E191"/>
  <c r="E301"/>
  <c r="E350"/>
  <c r="E586"/>
  <c r="E495"/>
  <c r="E201"/>
  <c r="E138"/>
  <c r="E65"/>
  <c r="E98"/>
  <c r="E47"/>
  <c r="E446"/>
  <c r="E521"/>
  <c r="E462"/>
  <c r="E540"/>
  <c r="E59"/>
  <c r="E110"/>
  <c r="E76"/>
  <c r="E58"/>
  <c r="E544"/>
  <c r="E504"/>
  <c r="E389"/>
  <c r="E375"/>
  <c r="E349"/>
  <c r="E378"/>
  <c r="E363"/>
  <c r="E348"/>
  <c r="E292"/>
  <c r="E259"/>
  <c r="E241"/>
  <c r="E297"/>
  <c r="E258"/>
  <c r="E240"/>
  <c r="E192"/>
  <c r="E155"/>
  <c r="E119"/>
  <c r="E182"/>
  <c r="E131"/>
  <c r="E108"/>
  <c r="E70"/>
  <c r="E90"/>
  <c r="E40"/>
  <c r="E28"/>
  <c r="E436"/>
  <c r="E401"/>
  <c r="E489"/>
  <c r="E460"/>
  <c r="E419"/>
  <c r="E531"/>
  <c r="E582"/>
  <c r="J6"/>
  <c r="E557"/>
  <c r="E566"/>
  <c r="E376"/>
  <c r="E345"/>
  <c r="E459"/>
  <c r="E440"/>
  <c r="E400"/>
  <c r="E398"/>
  <c r="E548"/>
  <c r="E478"/>
  <c r="E411"/>
  <c r="E515"/>
  <c r="U6"/>
  <c r="E585"/>
  <c r="E379"/>
  <c r="E107"/>
  <c r="E145"/>
  <c r="E271"/>
  <c r="E207"/>
  <c r="E89"/>
  <c r="E269"/>
  <c r="E236"/>
  <c r="E136"/>
  <c r="E263"/>
  <c r="E423"/>
  <c r="AI6"/>
  <c r="E385"/>
  <c r="E337"/>
  <c r="E361"/>
  <c r="E86"/>
  <c r="E35"/>
  <c r="E522"/>
  <c r="E342"/>
  <c r="E383"/>
  <c r="E324"/>
  <c r="E235"/>
  <c r="E275"/>
  <c r="E220"/>
  <c r="E174"/>
  <c r="E190"/>
  <c r="E129"/>
  <c r="E78"/>
  <c r="E96"/>
  <c r="E18"/>
  <c r="E412"/>
  <c r="E482"/>
  <c r="E428"/>
  <c r="E488"/>
  <c r="E43"/>
  <c r="E94"/>
  <c r="E60"/>
  <c r="E42"/>
  <c r="L6"/>
  <c r="AL6"/>
  <c r="E372"/>
  <c r="E356"/>
  <c r="E333"/>
  <c r="E391"/>
  <c r="E346"/>
  <c r="E332"/>
  <c r="E276"/>
  <c r="E243"/>
  <c r="E226"/>
  <c r="E281"/>
  <c r="E242"/>
  <c r="E225"/>
  <c r="E202"/>
  <c r="E139"/>
  <c r="E126"/>
  <c r="E152"/>
  <c r="E115"/>
  <c r="E92"/>
  <c r="E37"/>
  <c r="E104"/>
  <c r="E71"/>
  <c r="E479"/>
  <c r="E420"/>
  <c r="E546"/>
  <c r="E491"/>
  <c r="E452"/>
  <c r="E403"/>
  <c r="E517"/>
  <c r="E13"/>
  <c r="E547"/>
  <c r="AP6"/>
  <c r="E556"/>
  <c r="E367"/>
  <c r="E255"/>
  <c r="E451"/>
  <c r="E432"/>
  <c r="E430"/>
  <c r="E512"/>
  <c r="E487"/>
  <c r="E464"/>
  <c r="E421"/>
  <c r="E552"/>
  <c r="E542"/>
  <c r="AD6"/>
  <c r="E312"/>
  <c r="E141"/>
  <c r="E167"/>
  <c r="E212"/>
  <c r="E149"/>
  <c r="E157"/>
  <c r="E228"/>
  <c r="E99"/>
  <c r="E159"/>
  <c r="E303"/>
  <c r="E402"/>
  <c r="AN6"/>
  <c r="E353"/>
  <c r="E510"/>
  <c r="E237"/>
  <c r="J10" i="77"/>
  <c r="J5" s="1"/>
  <c r="J26" s="1"/>
  <c r="Q73"/>
  <c r="E143" i="3"/>
  <c r="E247"/>
  <c r="E461"/>
  <c r="E567"/>
  <c r="O6"/>
  <c r="E239"/>
  <c r="E172"/>
  <c r="N6"/>
  <c r="E278"/>
  <c r="E366"/>
  <c r="E293"/>
  <c r="E124"/>
  <c r="E285"/>
  <c r="E352"/>
  <c r="E431"/>
  <c r="E574"/>
  <c r="E545"/>
  <c r="E509"/>
  <c r="E213"/>
  <c r="E17"/>
  <c r="E302"/>
  <c r="E563"/>
  <c r="E501"/>
  <c r="Q60" i="76"/>
  <c r="C19" i="12"/>
  <c r="C32" i="76"/>
  <c r="Q57" i="77"/>
  <c r="Q61"/>
  <c r="Q52"/>
  <c r="C49"/>
  <c r="J10" i="76"/>
  <c r="J5" s="1"/>
  <c r="J24" s="1"/>
  <c r="C53"/>
  <c r="C32" i="77"/>
  <c r="C49" i="76"/>
  <c r="C53" i="77"/>
  <c r="C32" i="75"/>
  <c r="E260" i="3"/>
  <c r="E445"/>
  <c r="E550"/>
  <c r="E535"/>
  <c r="E114"/>
  <c r="E415"/>
  <c r="E395"/>
  <c r="E526"/>
  <c r="E343"/>
  <c r="E246"/>
  <c r="E280"/>
  <c r="E336"/>
  <c r="E399"/>
  <c r="X6"/>
  <c r="AA6"/>
  <c r="E583"/>
  <c r="E347"/>
  <c r="E153"/>
  <c r="E305"/>
  <c r="E426"/>
  <c r="E508"/>
  <c r="E328"/>
  <c r="E261"/>
  <c r="E528"/>
  <c r="E125"/>
  <c r="E553"/>
  <c r="E53"/>
  <c r="E175"/>
  <c r="E530"/>
  <c r="E69"/>
  <c r="AY6"/>
  <c r="AY111" s="1"/>
  <c r="H9" i="68"/>
  <c r="U32" i="39"/>
  <c r="AB32"/>
  <c r="H107"/>
  <c r="I107" s="1"/>
  <c r="J107" s="1"/>
  <c r="K107" s="1"/>
  <c r="L107" s="1"/>
  <c r="M107" s="1"/>
  <c r="J32"/>
  <c r="S41"/>
  <c r="AA41"/>
  <c r="K4" i="4"/>
  <c r="B46" i="48" s="1"/>
  <c r="B4" i="72" s="1"/>
  <c r="C24" i="77"/>
  <c r="J5" i="75"/>
  <c r="C48"/>
  <c r="C60" s="1"/>
  <c r="L60"/>
  <c r="Q66" i="76"/>
  <c r="Q57"/>
  <c r="Q52"/>
  <c r="F1"/>
  <c r="Q74" i="75"/>
  <c r="Q61"/>
  <c r="Q74" i="76"/>
  <c r="Q61"/>
  <c r="Q52" i="75"/>
  <c r="F1"/>
  <c r="W11" i="39"/>
  <c r="AC11"/>
  <c r="F24" i="75"/>
  <c r="C24" s="1"/>
  <c r="F24" i="76"/>
  <c r="E58" i="40"/>
  <c r="E63" i="39"/>
  <c r="F27" i="6"/>
  <c r="E16"/>
  <c r="E56" i="39"/>
  <c r="E51" i="40"/>
  <c r="E57"/>
  <c r="E62" i="39"/>
  <c r="E60" i="40"/>
  <c r="E65" i="39"/>
  <c r="E61"/>
  <c r="E56" i="40"/>
  <c r="F7" i="36"/>
  <c r="H7" i="37"/>
  <c r="U7" s="1"/>
  <c r="J10" i="15"/>
  <c r="J5" s="1"/>
  <c r="J24" s="1"/>
  <c r="C5"/>
  <c r="C32" s="1"/>
  <c r="E6" i="6"/>
  <c r="D19" i="11"/>
  <c r="C19" s="1"/>
  <c r="C20" s="1"/>
  <c r="C17" i="4"/>
  <c r="B4" i="52" s="1"/>
  <c r="B43" i="72" s="1"/>
  <c r="D37" i="11"/>
  <c r="L18" i="9"/>
  <c r="D3" i="37"/>
  <c r="M18" i="9"/>
  <c r="B118" s="1"/>
  <c r="C47" i="69"/>
  <c r="D45" s="1"/>
  <c r="C29"/>
  <c r="D27" s="1"/>
  <c r="F27" i="68"/>
  <c r="C29" s="1"/>
  <c r="D27" s="1"/>
  <c r="P7" i="1"/>
  <c r="O16"/>
  <c r="C38" i="43"/>
  <c r="G38" s="1"/>
  <c r="I38" s="1"/>
  <c r="F24" i="15"/>
  <c r="C24" s="1"/>
  <c r="F22" i="11"/>
  <c r="F25" i="12"/>
  <c r="F22" i="69"/>
  <c r="F24" i="67"/>
  <c r="C24" s="1"/>
  <c r="F22" i="68"/>
  <c r="C35" i="43"/>
  <c r="C29"/>
  <c r="T11"/>
  <c r="V11" s="1"/>
  <c r="T16"/>
  <c r="V16" s="1"/>
  <c r="T14"/>
  <c r="V14" s="1"/>
  <c r="T12"/>
  <c r="V12" s="1"/>
  <c r="T9"/>
  <c r="V9" s="1"/>
  <c r="T3"/>
  <c r="V3" s="1"/>
  <c r="T7"/>
  <c r="V7" s="1"/>
  <c r="T2"/>
  <c r="V2" s="1"/>
  <c r="T8"/>
  <c r="V8" s="1"/>
  <c r="T15"/>
  <c r="V15" s="1"/>
  <c r="T13"/>
  <c r="V13" s="1"/>
  <c r="T10"/>
  <c r="V10" s="1"/>
  <c r="T5"/>
  <c r="V5" s="1"/>
  <c r="T6"/>
  <c r="V6" s="1"/>
  <c r="T4"/>
  <c r="V4" s="1"/>
  <c r="L60" i="67"/>
  <c r="F1" i="15"/>
  <c r="Q52"/>
  <c r="C39" i="43"/>
  <c r="E39" s="1"/>
  <c r="C33"/>
  <c r="G33" s="1"/>
  <c r="I33" s="1"/>
  <c r="C36"/>
  <c r="E36" s="1"/>
  <c r="C34"/>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E68" i="39"/>
  <c r="F68" s="1"/>
  <c r="G68" s="1"/>
  <c r="H68" s="1"/>
  <c r="I68" s="1"/>
  <c r="J68" s="1"/>
  <c r="K68" s="1"/>
  <c r="L68" s="1"/>
  <c r="M68" s="1"/>
  <c r="N68" s="1"/>
  <c r="O68" s="1"/>
  <c r="J10" i="40"/>
  <c r="W10" s="1"/>
  <c r="C53" i="15"/>
  <c r="J10" i="67"/>
  <c r="J5" s="1"/>
  <c r="C53"/>
  <c r="C5"/>
  <c r="F10" i="40"/>
  <c r="AA10" s="1"/>
  <c r="H10" i="39"/>
  <c r="J10"/>
  <c r="Q61" i="15"/>
  <c r="C49"/>
  <c r="Q60"/>
  <c r="M16" i="1"/>
  <c r="N16" s="1"/>
  <c r="Q60" i="67"/>
  <c r="Q73"/>
  <c r="F27" i="11"/>
  <c r="Q61" i="67"/>
  <c r="Q74"/>
  <c r="C49"/>
  <c r="F1"/>
  <c r="Q52"/>
  <c r="F28" i="12"/>
  <c r="C6" i="68" l="1"/>
  <c r="G39" i="43"/>
  <c r="I39" s="1"/>
  <c r="AB7" i="37"/>
  <c r="T42" s="1"/>
  <c r="G42" s="1"/>
  <c r="G46" s="1"/>
  <c r="H46" s="1"/>
  <c r="AY248" i="3"/>
  <c r="BG6"/>
  <c r="AY195"/>
  <c r="AY498"/>
  <c r="AY373"/>
  <c r="AY119"/>
  <c r="AY506"/>
  <c r="AY306"/>
  <c r="AY545"/>
  <c r="AY291"/>
  <c r="AY459"/>
  <c r="AY359"/>
  <c r="AY496"/>
  <c r="AY416"/>
  <c r="AY256"/>
  <c r="AY547"/>
  <c r="AY493"/>
  <c r="AY369"/>
  <c r="AY333"/>
  <c r="H6"/>
  <c r="AC6"/>
  <c r="AY504"/>
  <c r="AY213"/>
  <c r="AY107"/>
  <c r="AY301"/>
  <c r="AY476"/>
  <c r="AY488"/>
  <c r="AY209"/>
  <c r="AY267"/>
  <c r="BF6"/>
  <c r="AY166"/>
  <c r="AY182"/>
  <c r="BC6"/>
  <c r="AY367"/>
  <c r="AY159"/>
  <c r="AY408"/>
  <c r="AY62"/>
  <c r="AY410"/>
  <c r="AY158"/>
  <c r="AY430"/>
  <c r="AY93"/>
  <c r="BE6"/>
  <c r="AY550"/>
  <c r="AY323"/>
  <c r="AY273"/>
  <c r="AY54"/>
  <c r="AY485"/>
  <c r="AY172"/>
  <c r="AY515"/>
  <c r="AY344"/>
  <c r="AY80"/>
  <c r="AY503"/>
  <c r="AY243"/>
  <c r="AY254"/>
  <c r="AY390"/>
  <c r="BT6"/>
  <c r="AY566"/>
  <c r="AY521"/>
  <c r="AY400"/>
  <c r="AY443"/>
  <c r="AY477"/>
  <c r="AY307"/>
  <c r="AY351"/>
  <c r="AY386"/>
  <c r="AY240"/>
  <c r="AY257"/>
  <c r="AY293"/>
  <c r="AY143"/>
  <c r="AY179"/>
  <c r="AY22"/>
  <c r="AY86"/>
  <c r="AY512"/>
  <c r="AY405"/>
  <c r="AY466"/>
  <c r="AY331"/>
  <c r="AY221"/>
  <c r="AY280"/>
  <c r="AY167"/>
  <c r="AY35"/>
  <c r="AY94"/>
  <c r="AY531"/>
  <c r="AY509"/>
  <c r="AY14"/>
  <c r="AY423"/>
  <c r="AY445"/>
  <c r="AY312"/>
  <c r="AY345"/>
  <c r="AY250"/>
  <c r="AY137"/>
  <c r="AY37"/>
  <c r="AY523"/>
  <c r="AY501"/>
  <c r="AY546"/>
  <c r="AY580"/>
  <c r="AY398"/>
  <c r="AY457"/>
  <c r="AY340"/>
  <c r="AY215"/>
  <c r="AY130"/>
  <c r="AY72"/>
  <c r="AY360"/>
  <c r="AY227"/>
  <c r="AY278"/>
  <c r="AY154"/>
  <c r="AY92"/>
  <c r="AY310"/>
  <c r="AY473"/>
  <c r="AY207"/>
  <c r="AY567"/>
  <c r="AY583"/>
  <c r="AY15"/>
  <c r="AY413"/>
  <c r="AY432"/>
  <c r="AY474"/>
  <c r="AY322"/>
  <c r="AY339"/>
  <c r="AY375"/>
  <c r="AY208"/>
  <c r="AY272"/>
  <c r="AY288"/>
  <c r="AY136"/>
  <c r="AY175"/>
  <c r="AY200"/>
  <c r="AY70"/>
  <c r="AY587"/>
  <c r="AY517"/>
  <c r="AY424"/>
  <c r="AY314"/>
  <c r="AY376"/>
  <c r="AY264"/>
  <c r="AY127"/>
  <c r="AY187"/>
  <c r="AY78"/>
  <c r="BA6"/>
  <c r="BR6"/>
  <c r="AY502"/>
  <c r="AY505"/>
  <c r="AY426"/>
  <c r="AY484"/>
  <c r="AY305"/>
  <c r="AY380"/>
  <c r="AY282"/>
  <c r="AY174"/>
  <c r="AY65"/>
  <c r="AY514"/>
  <c r="AY552"/>
  <c r="AY534"/>
  <c r="AY581"/>
  <c r="AY438"/>
  <c r="AY475"/>
  <c r="AY341"/>
  <c r="AY259"/>
  <c r="AY186"/>
  <c r="AY109"/>
  <c r="AY389"/>
  <c r="AY270"/>
  <c r="AY117"/>
  <c r="AY20"/>
  <c r="AY562"/>
  <c r="AY300"/>
  <c r="AY83"/>
  <c r="AY98"/>
  <c r="AY34"/>
  <c r="AY160"/>
  <c r="AY289"/>
  <c r="AY31"/>
  <c r="AY281"/>
  <c r="AY168"/>
  <c r="AY252"/>
  <c r="AY387"/>
  <c r="AY334"/>
  <c r="AY103"/>
  <c r="AY50"/>
  <c r="AY191"/>
  <c r="AY124"/>
  <c r="AY42"/>
  <c r="AY123"/>
  <c r="AY75"/>
  <c r="AY237"/>
  <c r="AY382"/>
  <c r="AY319"/>
  <c r="AY455"/>
  <c r="AY425"/>
  <c r="AY26"/>
  <c r="AY260"/>
  <c r="AY379"/>
  <c r="AY311"/>
  <c r="AY447"/>
  <c r="AY401"/>
  <c r="AY573"/>
  <c r="AY539"/>
  <c r="AY89"/>
  <c r="AY69"/>
  <c r="AY76"/>
  <c r="AY36"/>
  <c r="AY198"/>
  <c r="AY185"/>
  <c r="AY146"/>
  <c r="AY141"/>
  <c r="AY125"/>
  <c r="AY302"/>
  <c r="AY255"/>
  <c r="AY262"/>
  <c r="AY222"/>
  <c r="AY384"/>
  <c r="AY374"/>
  <c r="BS6"/>
  <c r="BB6"/>
  <c r="AY73"/>
  <c r="AY40"/>
  <c r="AY181"/>
  <c r="AY145"/>
  <c r="AY279"/>
  <c r="AY258"/>
  <c r="AY388"/>
  <c r="AY356"/>
  <c r="AY309"/>
  <c r="AY316"/>
  <c r="AY467"/>
  <c r="AY464"/>
  <c r="AY454"/>
  <c r="AY422"/>
  <c r="AY435"/>
  <c r="AY403"/>
  <c r="AY525"/>
  <c r="AY516"/>
  <c r="BN6"/>
  <c r="AY527"/>
  <c r="AY518"/>
  <c r="AY559"/>
  <c r="AY508"/>
  <c r="AY556"/>
  <c r="AY577"/>
  <c r="AY112"/>
  <c r="AY49"/>
  <c r="AY32"/>
  <c r="AY205"/>
  <c r="AY142"/>
  <c r="AY122"/>
  <c r="AY298"/>
  <c r="AY235"/>
  <c r="AY218"/>
  <c r="AY385"/>
  <c r="AY352"/>
  <c r="AY321"/>
  <c r="AY336"/>
  <c r="AY304"/>
  <c r="AY492"/>
  <c r="AY461"/>
  <c r="AY450"/>
  <c r="AY418"/>
  <c r="AY431"/>
  <c r="AY399"/>
  <c r="AY17"/>
  <c r="AY564"/>
  <c r="AY575"/>
  <c r="AY51"/>
  <c r="AY139"/>
  <c r="AY163"/>
  <c r="AY284"/>
  <c r="AY350"/>
  <c r="AY444"/>
  <c r="AY43"/>
  <c r="AY244"/>
  <c r="AY343"/>
  <c r="AY478"/>
  <c r="AY535"/>
  <c r="AY540"/>
  <c r="AY97"/>
  <c r="AY61"/>
  <c r="AY52"/>
  <c r="AY25"/>
  <c r="AY178"/>
  <c r="AY165"/>
  <c r="AY134"/>
  <c r="AY286"/>
  <c r="AY239"/>
  <c r="AY230"/>
  <c r="AY397"/>
  <c r="AY368"/>
  <c r="BI6"/>
  <c r="AY57"/>
  <c r="AY202"/>
  <c r="AY161"/>
  <c r="AY275"/>
  <c r="AY226"/>
  <c r="AY353"/>
  <c r="AY348"/>
  <c r="AY483"/>
  <c r="AY472"/>
  <c r="AY446"/>
  <c r="AY406"/>
  <c r="AY411"/>
  <c r="BM6"/>
  <c r="AY572"/>
  <c r="AY571"/>
  <c r="AY510"/>
  <c r="AY543"/>
  <c r="AY494"/>
  <c r="AY519"/>
  <c r="AY81"/>
  <c r="AY48"/>
  <c r="AY189"/>
  <c r="AY153"/>
  <c r="AY287"/>
  <c r="AY266"/>
  <c r="AY396"/>
  <c r="AY364"/>
  <c r="AY313"/>
  <c r="AY320"/>
  <c r="AY471"/>
  <c r="AY453"/>
  <c r="AY434"/>
  <c r="AY439"/>
  <c r="AY579"/>
  <c r="AY538"/>
  <c r="AY524"/>
  <c r="AY537"/>
  <c r="AY530"/>
  <c r="AY548"/>
  <c r="AY563"/>
  <c r="AY110"/>
  <c r="AY47"/>
  <c r="AY30"/>
  <c r="AY203"/>
  <c r="AY140"/>
  <c r="AY120"/>
  <c r="AY296"/>
  <c r="AY233"/>
  <c r="AY216"/>
  <c r="AY383"/>
  <c r="AY347"/>
  <c r="AY330"/>
  <c r="AY482"/>
  <c r="AY440"/>
  <c r="AY421"/>
  <c r="AY13"/>
  <c r="AY528"/>
  <c r="AY576"/>
  <c r="AY102"/>
  <c r="AY39"/>
  <c r="AY18"/>
  <c r="AY95"/>
  <c r="AY261"/>
  <c r="AY236"/>
  <c r="AY489"/>
  <c r="AY441"/>
  <c r="AY116"/>
  <c r="AY212"/>
  <c r="AY327"/>
  <c r="AY436"/>
  <c r="AY549"/>
  <c r="AY533"/>
  <c r="AY100"/>
  <c r="AY53"/>
  <c r="AY44"/>
  <c r="AY190"/>
  <c r="AY162"/>
  <c r="AY157"/>
  <c r="AY67"/>
  <c r="AY171"/>
  <c r="AY183"/>
  <c r="AY147"/>
  <c r="AY366"/>
  <c r="AY460"/>
  <c r="AY526"/>
  <c r="AY269"/>
  <c r="AY372"/>
  <c r="AY481"/>
  <c r="AY417"/>
  <c r="AY574"/>
  <c r="AY555"/>
  <c r="AY85"/>
  <c r="AY68"/>
  <c r="AY33"/>
  <c r="AY193"/>
  <c r="AY173"/>
  <c r="AY126"/>
  <c r="AY283"/>
  <c r="AY247"/>
  <c r="AY238"/>
  <c r="AY211"/>
  <c r="AY365"/>
  <c r="BH6"/>
  <c r="AY88"/>
  <c r="AY29"/>
  <c r="AY150"/>
  <c r="AY295"/>
  <c r="AY242"/>
  <c r="AY370"/>
  <c r="AY325"/>
  <c r="AY308"/>
  <c r="AY480"/>
  <c r="AY462"/>
  <c r="AY414"/>
  <c r="AY419"/>
  <c r="BQ6"/>
  <c r="AY561"/>
  <c r="AY536"/>
  <c r="AY495"/>
  <c r="AY16"/>
  <c r="AY532"/>
  <c r="AY582"/>
  <c r="AY96"/>
  <c r="AY64"/>
  <c r="AY194"/>
  <c r="AY169"/>
  <c r="AY113"/>
  <c r="AY251"/>
  <c r="AY223"/>
  <c r="AY361"/>
  <c r="AY329"/>
  <c r="AY328"/>
  <c r="AY479"/>
  <c r="AY468"/>
  <c r="AY442"/>
  <c r="AY402"/>
  <c r="AY407"/>
  <c r="AY499"/>
  <c r="AY522"/>
  <c r="AY565"/>
  <c r="AY542"/>
  <c r="AY570"/>
  <c r="AY578"/>
  <c r="AY99"/>
  <c r="AY63"/>
  <c r="AY46"/>
  <c r="AY192"/>
  <c r="AY156"/>
  <c r="AY135"/>
  <c r="AY285"/>
  <c r="AY249"/>
  <c r="AY232"/>
  <c r="AY378"/>
  <c r="AY362"/>
  <c r="AY346"/>
  <c r="AY469"/>
  <c r="AY456"/>
  <c r="AY437"/>
  <c r="AY558"/>
  <c r="AY560"/>
  <c r="BL6"/>
  <c r="AY91"/>
  <c r="AY55"/>
  <c r="AY38"/>
  <c r="AY184"/>
  <c r="AY148"/>
  <c r="AY586"/>
  <c r="AY511"/>
  <c r="BD6"/>
  <c r="AY429"/>
  <c r="AY448"/>
  <c r="AY490"/>
  <c r="AY338"/>
  <c r="AY354"/>
  <c r="AY391"/>
  <c r="AY224"/>
  <c r="AY241"/>
  <c r="AY277"/>
  <c r="AY128"/>
  <c r="AY164"/>
  <c r="AY27"/>
  <c r="AY71"/>
  <c r="AY568"/>
  <c r="AY500"/>
  <c r="AY451"/>
  <c r="AY315"/>
  <c r="AY394"/>
  <c r="AY265"/>
  <c r="AY151"/>
  <c r="AY19"/>
  <c r="AY79"/>
  <c r="BP6"/>
  <c r="AY551"/>
  <c r="D3" i="6"/>
  <c r="M19" i="9" s="1"/>
  <c r="C118" s="1"/>
  <c r="AY415" i="3"/>
  <c r="AY458"/>
  <c r="AY487"/>
  <c r="AY337"/>
  <c r="AY234"/>
  <c r="AY129"/>
  <c r="AY21"/>
  <c r="AY101"/>
  <c r="AY584"/>
  <c r="AY520"/>
  <c r="AY585"/>
  <c r="AY427"/>
  <c r="AY449"/>
  <c r="AY324"/>
  <c r="AY393"/>
  <c r="AY121"/>
  <c r="AY56"/>
  <c r="AY507"/>
  <c r="AY219"/>
  <c r="AY271"/>
  <c r="AY133"/>
  <c r="AY84"/>
  <c r="AY420"/>
  <c r="AY497"/>
  <c r="AY90"/>
  <c r="AY105"/>
  <c r="BO6"/>
  <c r="AY544"/>
  <c r="AY557"/>
  <c r="AY404"/>
  <c r="AY463"/>
  <c r="AY326"/>
  <c r="AY355"/>
  <c r="AY217"/>
  <c r="AY229"/>
  <c r="AY199"/>
  <c r="AY529"/>
  <c r="AY412"/>
  <c r="AY486"/>
  <c r="AY303"/>
  <c r="AY363"/>
  <c r="AY220"/>
  <c r="AY253"/>
  <c r="AY204"/>
  <c r="AY292"/>
  <c r="AY152"/>
  <c r="AY74"/>
  <c r="AY132"/>
  <c r="AY144"/>
  <c r="AY196"/>
  <c r="AY82"/>
  <c r="AY87"/>
  <c r="AY491"/>
  <c r="AY332"/>
  <c r="AY317"/>
  <c r="AY349"/>
  <c r="AY377"/>
  <c r="AY210"/>
  <c r="AY274"/>
  <c r="AY290"/>
  <c r="AY114"/>
  <c r="AY177"/>
  <c r="AY197"/>
  <c r="AY24"/>
  <c r="AY41"/>
  <c r="AY104"/>
  <c r="BJ6"/>
  <c r="AY554"/>
  <c r="AY357"/>
  <c r="AY381"/>
  <c r="AY392"/>
  <c r="AY214"/>
  <c r="AY246"/>
  <c r="AY231"/>
  <c r="AY263"/>
  <c r="AY294"/>
  <c r="AY299"/>
  <c r="AY118"/>
  <c r="AY149"/>
  <c r="AY138"/>
  <c r="AY170"/>
  <c r="AY201"/>
  <c r="AY206"/>
  <c r="AY28"/>
  <c r="AY60"/>
  <c r="AY45"/>
  <c r="AY77"/>
  <c r="AY108"/>
  <c r="AY553"/>
  <c r="AY541"/>
  <c r="AY569"/>
  <c r="BK6"/>
  <c r="AY513"/>
  <c r="AY433"/>
  <c r="AY452"/>
  <c r="AY465"/>
  <c r="AY342"/>
  <c r="AY358"/>
  <c r="AY395"/>
  <c r="AY228"/>
  <c r="AY245"/>
  <c r="AY180"/>
  <c r="AY106"/>
  <c r="AY409"/>
  <c r="AY428"/>
  <c r="AY470"/>
  <c r="AY318"/>
  <c r="AY335"/>
  <c r="AY371"/>
  <c r="AY225"/>
  <c r="AY268"/>
  <c r="AY297"/>
  <c r="AY58"/>
  <c r="AY276"/>
  <c r="AY131"/>
  <c r="AY188"/>
  <c r="AY59"/>
  <c r="AY115"/>
  <c r="AY155"/>
  <c r="AY176"/>
  <c r="AY23"/>
  <c r="AY66"/>
  <c r="C29" i="12"/>
  <c r="D28" s="1"/>
  <c r="C48" i="76"/>
  <c r="C66" s="1"/>
  <c r="C48" i="77"/>
  <c r="C60" s="1"/>
  <c r="J18" i="76"/>
  <c r="J24" i="77"/>
  <c r="J18"/>
  <c r="AB7" i="36"/>
  <c r="T36" s="1"/>
  <c r="G36" s="1"/>
  <c r="G40" s="1"/>
  <c r="H40" s="1"/>
  <c r="E37" i="43"/>
  <c r="AC32" i="39"/>
  <c r="W32"/>
  <c r="C66" i="75"/>
  <c r="J24"/>
  <c r="J18"/>
  <c r="J38" i="39"/>
  <c r="F38"/>
  <c r="H38"/>
  <c r="Q57" i="75"/>
  <c r="Q66"/>
  <c r="C24" i="76"/>
  <c r="F31" i="6"/>
  <c r="E27"/>
  <c r="E66" i="39"/>
  <c r="S7" i="36"/>
  <c r="AA7"/>
  <c r="R36" s="1"/>
  <c r="C38" i="15"/>
  <c r="E38" i="43"/>
  <c r="C47" i="68"/>
  <c r="D45" s="1"/>
  <c r="AA10" i="39"/>
  <c r="D10" i="68"/>
  <c r="D10" i="11"/>
  <c r="C10" s="1"/>
  <c r="P16" i="1"/>
  <c r="C26" i="12"/>
  <c r="D25" s="1"/>
  <c r="F34" i="11"/>
  <c r="C37" s="1"/>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AC7" i="35"/>
  <c r="V38" s="1"/>
  <c r="I38" s="1"/>
  <c r="W7"/>
  <c r="H7" i="21"/>
  <c r="AB7" s="1"/>
  <c r="T48" s="1"/>
  <c r="H7" i="34"/>
  <c r="U7" s="1"/>
  <c r="W7" i="37"/>
  <c r="AC7"/>
  <c r="V42" s="1"/>
  <c r="I42" s="1"/>
  <c r="W7" i="34"/>
  <c r="AC7"/>
  <c r="V49" s="1"/>
  <c r="I49" s="1"/>
  <c r="I53" s="1"/>
  <c r="J53" s="1"/>
  <c r="F63" i="40"/>
  <c r="E65"/>
  <c r="AA7" i="21"/>
  <c r="R48" s="1"/>
  <c r="E48" s="1"/>
  <c r="E52" s="1"/>
  <c r="F52" s="1"/>
  <c r="E70" i="39"/>
  <c r="F70"/>
  <c r="G41" i="36"/>
  <c r="H41" s="1"/>
  <c r="S10" i="40"/>
  <c r="J18" i="67"/>
  <c r="J24"/>
  <c r="C32"/>
  <c r="C38"/>
  <c r="J18" i="15"/>
  <c r="W10" i="39"/>
  <c r="AC10"/>
  <c r="U10"/>
  <c r="AB10"/>
  <c r="F50" i="11"/>
  <c r="F50" i="69"/>
  <c r="F50" i="68"/>
  <c r="Q57" i="67"/>
  <c r="Q66"/>
  <c r="C47" i="11"/>
  <c r="D45" s="1"/>
  <c r="C29"/>
  <c r="D27" s="1"/>
  <c r="C28"/>
  <c r="C27" s="1"/>
  <c r="L16" i="1"/>
  <c r="J59" i="67"/>
  <c r="J60" s="1"/>
  <c r="F11" i="12"/>
  <c r="C13"/>
  <c r="C60" i="76" l="1"/>
  <c r="D5" i="6"/>
  <c r="D8"/>
  <c r="D10"/>
  <c r="E61" i="40"/>
  <c r="D25" i="6"/>
  <c r="D13"/>
  <c r="D6"/>
  <c r="D23"/>
  <c r="D26"/>
  <c r="D29"/>
  <c r="D11"/>
  <c r="D14"/>
  <c r="D22"/>
  <c r="D19"/>
  <c r="D28"/>
  <c r="D12"/>
  <c r="D24"/>
  <c r="C18" i="4"/>
  <c r="A7" i="51" s="1"/>
  <c r="B7" i="72" s="1"/>
  <c r="L19" i="9"/>
  <c r="D9" i="6"/>
  <c r="D16" s="1"/>
  <c r="D20"/>
  <c r="D21"/>
  <c r="D15"/>
  <c r="E6" i="3"/>
  <c r="C66" i="77"/>
  <c r="C36" i="11"/>
  <c r="AA7" i="34"/>
  <c r="R49" s="1"/>
  <c r="E49" s="1"/>
  <c r="AA38" i="39"/>
  <c r="S38"/>
  <c r="AB38"/>
  <c r="U38"/>
  <c r="W38"/>
  <c r="AC38"/>
  <c r="C34" i="11"/>
  <c r="C35" s="1"/>
  <c r="K20" i="6"/>
  <c r="K24"/>
  <c r="M24" s="1"/>
  <c r="I24" s="1"/>
  <c r="E31"/>
  <c r="K21"/>
  <c r="K22"/>
  <c r="K25"/>
  <c r="M25" s="1"/>
  <c r="I25" s="1"/>
  <c r="K26"/>
  <c r="M26" s="1"/>
  <c r="I26" s="1"/>
  <c r="K19"/>
  <c r="K23"/>
  <c r="M23" s="1"/>
  <c r="I23" s="1"/>
  <c r="E36" i="36"/>
  <c r="R37"/>
  <c r="AB7" i="34"/>
  <c r="T49" s="1"/>
  <c r="G49" s="1"/>
  <c r="G53" s="1"/>
  <c r="H53" s="1"/>
  <c r="W7" i="21"/>
  <c r="C4" i="52"/>
  <c r="B45" i="72" s="1"/>
  <c r="A10" i="51"/>
  <c r="B9" i="72" s="1"/>
  <c r="D19" i="68"/>
  <c r="C10"/>
  <c r="C34"/>
  <c r="C36"/>
  <c r="U7" i="21"/>
  <c r="C22" i="11"/>
  <c r="C31" s="1"/>
  <c r="C26" i="43"/>
  <c r="B2" s="1"/>
  <c r="C27"/>
  <c r="I52" i="21"/>
  <c r="J52" s="1"/>
  <c r="I53"/>
  <c r="J53" s="1"/>
  <c r="I40" i="36"/>
  <c r="J40" s="1"/>
  <c r="R43" i="37"/>
  <c r="E42"/>
  <c r="I47" s="1"/>
  <c r="J47" s="1"/>
  <c r="G43" i="35"/>
  <c r="H43" s="1"/>
  <c r="I42"/>
  <c r="J42" s="1"/>
  <c r="R39"/>
  <c r="E38"/>
  <c r="I43" s="1"/>
  <c r="J43" s="1"/>
  <c r="G47" i="37"/>
  <c r="H47" s="1"/>
  <c r="I46"/>
  <c r="J46" s="1"/>
  <c r="G63" i="40"/>
  <c r="F65"/>
  <c r="R49" i="21"/>
  <c r="G48"/>
  <c r="R50" i="34"/>
  <c r="G70" i="39"/>
  <c r="Q48" i="67"/>
  <c r="L46"/>
  <c r="B3" i="43" l="1"/>
  <c r="D27" i="6"/>
  <c r="D30"/>
  <c r="G54" i="34"/>
  <c r="H54" s="1"/>
  <c r="C38" i="11"/>
  <c r="C33" s="1"/>
  <c r="C42" s="1"/>
  <c r="M22" i="6"/>
  <c r="I22" s="1"/>
  <c r="S22" s="1"/>
  <c r="S9" i="1"/>
  <c r="M20" i="6"/>
  <c r="I20" s="1"/>
  <c r="S20" s="1"/>
  <c r="S7" i="1"/>
  <c r="E7" i="70" s="1"/>
  <c r="M21" i="6"/>
  <c r="I21" s="1"/>
  <c r="S21" s="1"/>
  <c r="S8" i="1"/>
  <c r="D31" i="6"/>
  <c r="I5" s="1"/>
  <c r="S23"/>
  <c r="H23"/>
  <c r="R23" s="1"/>
  <c r="S26"/>
  <c r="H26"/>
  <c r="R26" s="1"/>
  <c r="S6" i="1"/>
  <c r="M19" i="6"/>
  <c r="K27"/>
  <c r="S25"/>
  <c r="H25"/>
  <c r="R25" s="1"/>
  <c r="S24"/>
  <c r="H24"/>
  <c r="R24" s="1"/>
  <c r="E40" i="36"/>
  <c r="F40" s="1"/>
  <c r="E41"/>
  <c r="F41" s="1"/>
  <c r="C37"/>
  <c r="B3" s="1"/>
  <c r="C36"/>
  <c r="I41"/>
  <c r="J41" s="1"/>
  <c r="C19" i="68"/>
  <c r="D37"/>
  <c r="C37" s="1"/>
  <c r="C38"/>
  <c r="C35"/>
  <c r="E47" i="37"/>
  <c r="F47" s="1"/>
  <c r="E46"/>
  <c r="F46" s="1"/>
  <c r="C43"/>
  <c r="B3" s="1"/>
  <c r="C42"/>
  <c r="C39" i="35"/>
  <c r="C38"/>
  <c r="E43"/>
  <c r="F43" s="1"/>
  <c r="E42"/>
  <c r="F42" s="1"/>
  <c r="E54" i="34"/>
  <c r="F54" s="1"/>
  <c r="I54"/>
  <c r="J54" s="1"/>
  <c r="E53"/>
  <c r="F53" s="1"/>
  <c r="G52" i="21"/>
  <c r="H52" s="1"/>
  <c r="G53"/>
  <c r="H53" s="1"/>
  <c r="E53"/>
  <c r="F53" s="1"/>
  <c r="C49" i="34"/>
  <c r="C50"/>
  <c r="B3" s="1"/>
  <c r="C48" i="21"/>
  <c r="C49"/>
  <c r="B3" s="1"/>
  <c r="H63" i="40"/>
  <c r="G65"/>
  <c r="H70" i="39"/>
  <c r="D14" i="12"/>
  <c r="C17" i="77"/>
  <c r="C17" i="15"/>
  <c r="C17" i="76"/>
  <c r="C17" i="75"/>
  <c r="D20" i="12"/>
  <c r="I6" i="6" l="1"/>
  <c r="H20"/>
  <c r="R20" s="1"/>
  <c r="R7" i="1" s="1"/>
  <c r="D17" i="12"/>
  <c r="C17" s="1"/>
  <c r="C14"/>
  <c r="C20"/>
  <c r="C18" s="1"/>
  <c r="H22" i="6"/>
  <c r="R22" s="1"/>
  <c r="R9" i="1" s="1"/>
  <c r="H21" i="6"/>
  <c r="R21" s="1"/>
  <c r="R8" i="1" s="1"/>
  <c r="E9" i="70"/>
  <c r="AQ9" i="1"/>
  <c r="AR9"/>
  <c r="T9"/>
  <c r="AQ8"/>
  <c r="AR8"/>
  <c r="T8"/>
  <c r="AR7"/>
  <c r="T7"/>
  <c r="AQ7"/>
  <c r="I19" i="6"/>
  <c r="M27"/>
  <c r="AQ6" i="1"/>
  <c r="AR6"/>
  <c r="E6" i="70"/>
  <c r="T6" i="1"/>
  <c r="C24" i="68"/>
  <c r="C33"/>
  <c r="I63" i="40"/>
  <c r="H65"/>
  <c r="C39" i="11"/>
  <c r="C43" s="1"/>
  <c r="C41" s="1"/>
  <c r="I70" i="39"/>
  <c r="C14" i="77"/>
  <c r="F35"/>
  <c r="C11" i="12"/>
  <c r="C14" i="75"/>
  <c r="F35" i="76"/>
  <c r="C14"/>
  <c r="M21"/>
  <c r="M21" i="77"/>
  <c r="C12" i="12" l="1"/>
  <c r="C15"/>
  <c r="J20" i="77"/>
  <c r="F63"/>
  <c r="C62" s="1"/>
  <c r="C34"/>
  <c r="J20" i="76"/>
  <c r="F63"/>
  <c r="C62" s="1"/>
  <c r="C34"/>
  <c r="C18" i="77"/>
  <c r="C15"/>
  <c r="C15" i="75"/>
  <c r="C18"/>
  <c r="C15" i="76"/>
  <c r="C18"/>
  <c r="H19" i="6"/>
  <c r="I27"/>
  <c r="S19"/>
  <c r="S27" s="1"/>
  <c r="C39" i="68"/>
  <c r="C43" s="1"/>
  <c r="C42"/>
  <c r="J63" i="40"/>
  <c r="I65"/>
  <c r="C46" i="11"/>
  <c r="C45" s="1"/>
  <c r="C49" s="1"/>
  <c r="C51" s="1"/>
  <c r="C52" s="1"/>
  <c r="B2" s="1"/>
  <c r="B3" s="1"/>
  <c r="J70" i="39"/>
  <c r="C16" i="12" l="1"/>
  <c r="C21" s="1"/>
  <c r="C22" s="1"/>
  <c r="C19" i="77"/>
  <c r="C20" s="1"/>
  <c r="C19" i="75"/>
  <c r="C20" s="1"/>
  <c r="C26" s="1"/>
  <c r="C19" i="76"/>
  <c r="C20" s="1"/>
  <c r="R19" i="6"/>
  <c r="H27"/>
  <c r="C41" i="68"/>
  <c r="C46"/>
  <c r="C45" s="1"/>
  <c r="K63" i="40"/>
  <c r="J65"/>
  <c r="K70" i="39"/>
  <c r="C56" i="11"/>
  <c r="C57" s="1"/>
  <c r="C26" i="77" l="1"/>
  <c r="C23"/>
  <c r="C23" i="75"/>
  <c r="C29" s="1"/>
  <c r="J59" s="1"/>
  <c r="J60" s="1"/>
  <c r="C26" i="76"/>
  <c r="C23"/>
  <c r="R27" i="6"/>
  <c r="R6" i="1"/>
  <c r="C49" i="68"/>
  <c r="C51" s="1"/>
  <c r="L63" i="40"/>
  <c r="K65"/>
  <c r="L70" i="39"/>
  <c r="E8" i="70"/>
  <c r="E2" s="1"/>
  <c r="C34" i="69"/>
  <c r="F35" i="75"/>
  <c r="M21" i="15"/>
  <c r="C17" i="67"/>
  <c r="M21"/>
  <c r="F35"/>
  <c r="F35" i="15"/>
  <c r="M21" i="75"/>
  <c r="C29" i="77" l="1"/>
  <c r="J59" s="1"/>
  <c r="J60" s="1"/>
  <c r="Q48" s="1"/>
  <c r="Q48" i="75"/>
  <c r="L46"/>
  <c r="C29" i="76"/>
  <c r="C57" i="75"/>
  <c r="J19"/>
  <c r="C33"/>
  <c r="C36"/>
  <c r="C13"/>
  <c r="J14"/>
  <c r="Q49"/>
  <c r="C34"/>
  <c r="F63"/>
  <c r="C62" s="1"/>
  <c r="J20"/>
  <c r="F63" i="15"/>
  <c r="C62" s="1"/>
  <c r="C34"/>
  <c r="J20" i="67"/>
  <c r="J20" i="15"/>
  <c r="F63" i="67"/>
  <c r="C62" s="1"/>
  <c r="C34"/>
  <c r="R16" i="1"/>
  <c r="M63" i="40"/>
  <c r="L65"/>
  <c r="M70" i="39"/>
  <c r="C35" i="69"/>
  <c r="C38"/>
  <c r="D10"/>
  <c r="J17" i="75" l="1"/>
  <c r="J14" i="77"/>
  <c r="C13"/>
  <c r="C36"/>
  <c r="C33"/>
  <c r="C31" s="1"/>
  <c r="J19"/>
  <c r="J17" s="1"/>
  <c r="C57"/>
  <c r="Q49"/>
  <c r="L46"/>
  <c r="C57" i="76"/>
  <c r="C61" s="1"/>
  <c r="C59" s="1"/>
  <c r="J59"/>
  <c r="J60" s="1"/>
  <c r="Q49"/>
  <c r="C33"/>
  <c r="C31" s="1"/>
  <c r="J19"/>
  <c r="J17" s="1"/>
  <c r="C36"/>
  <c r="C13"/>
  <c r="Q70" s="1"/>
  <c r="J14"/>
  <c r="J13" s="1"/>
  <c r="J23" s="1"/>
  <c r="Q70" i="75"/>
  <c r="C56"/>
  <c r="C65" s="1"/>
  <c r="C37"/>
  <c r="C75"/>
  <c r="C64"/>
  <c r="C61"/>
  <c r="C59" s="1"/>
  <c r="C31"/>
  <c r="C30" s="1"/>
  <c r="C39" s="1"/>
  <c r="J22"/>
  <c r="J13"/>
  <c r="J23" s="1"/>
  <c r="N63" i="40"/>
  <c r="M65"/>
  <c r="O70" i="39"/>
  <c r="N70"/>
  <c r="D19" i="69"/>
  <c r="C10"/>
  <c r="C8" s="1"/>
  <c r="C5" s="1"/>
  <c r="C64" i="76" l="1"/>
  <c r="J13" i="77"/>
  <c r="J23" s="1"/>
  <c r="J22"/>
  <c r="C64"/>
  <c r="C61"/>
  <c r="C59" s="1"/>
  <c r="Q70"/>
  <c r="C75"/>
  <c r="C37"/>
  <c r="C30" s="1"/>
  <c r="C39" s="1"/>
  <c r="C56"/>
  <c r="C65" s="1"/>
  <c r="J22" i="76"/>
  <c r="J16" s="1"/>
  <c r="J25" s="1"/>
  <c r="Q48"/>
  <c r="L46"/>
  <c r="C80" i="75"/>
  <c r="C79" s="1"/>
  <c r="C37" i="76"/>
  <c r="C30" s="1"/>
  <c r="C39" s="1"/>
  <c r="Q69" s="1"/>
  <c r="Q68" s="1"/>
  <c r="C75"/>
  <c r="C56"/>
  <c r="C65" s="1"/>
  <c r="J16" i="75"/>
  <c r="J25" s="1"/>
  <c r="C58"/>
  <c r="C67" s="1"/>
  <c r="Q69"/>
  <c r="Q68" s="1"/>
  <c r="O63" i="40"/>
  <c r="O65" s="1"/>
  <c r="N65"/>
  <c r="C23" i="69"/>
  <c r="C19"/>
  <c r="C24" s="1"/>
  <c r="D37"/>
  <c r="C37" s="1"/>
  <c r="C33" s="1"/>
  <c r="C14" i="67"/>
  <c r="L51" i="75"/>
  <c r="L51" i="77"/>
  <c r="L51" i="76"/>
  <c r="C58" l="1"/>
  <c r="C67" s="1"/>
  <c r="C80" i="77"/>
  <c r="C79" s="1"/>
  <c r="Q67"/>
  <c r="Q69"/>
  <c r="Q68" s="1"/>
  <c r="C58"/>
  <c r="C67" s="1"/>
  <c r="J16"/>
  <c r="J25" s="1"/>
  <c r="Q67" i="75"/>
  <c r="C80" i="76"/>
  <c r="C79" s="1"/>
  <c r="Q67"/>
  <c r="F7" i="40"/>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C42" i="40"/>
  <c r="C43"/>
  <c r="E46"/>
  <c r="F46" s="1"/>
  <c r="E47"/>
  <c r="F47" s="1"/>
  <c r="C52" i="69"/>
  <c r="Q49" i="67" l="1"/>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14" i="15"/>
  <c r="AE7" i="1"/>
  <c r="L51" i="67"/>
  <c r="AG7" i="1" l="1"/>
  <c r="C80" i="67"/>
  <c r="C79" s="1"/>
  <c r="Q69"/>
  <c r="Q68" s="1"/>
  <c r="Q67"/>
  <c r="C60"/>
  <c r="C59" s="1"/>
  <c r="C66"/>
  <c r="T16" i="1"/>
  <c r="C18" i="15"/>
  <c r="C15"/>
  <c r="F41" i="77"/>
  <c r="F69" l="1"/>
  <c r="C68" s="1"/>
  <c r="J29"/>
  <c r="C40"/>
  <c r="C58" i="67"/>
  <c r="C67" s="1"/>
  <c r="C19" i="15"/>
  <c r="Q65" i="77" l="1"/>
  <c r="Q75" s="1"/>
  <c r="B2"/>
  <c r="B3" s="1"/>
  <c r="F6" i="12" s="1"/>
  <c r="C46" i="77"/>
  <c r="C71"/>
  <c r="Q47"/>
  <c r="Q53" s="1"/>
  <c r="C83"/>
  <c r="C82" s="1"/>
  <c r="Q56"/>
  <c r="Q62" s="1"/>
  <c r="C43"/>
  <c r="C20" i="15"/>
  <c r="C26" s="1"/>
  <c r="AO9" i="1"/>
  <c r="B9" i="70" l="1"/>
  <c r="C23" i="15"/>
  <c r="C29" s="1"/>
  <c r="J59" s="1"/>
  <c r="J60" s="1"/>
  <c r="Q48" s="1"/>
  <c r="J19" l="1"/>
  <c r="J17" s="1"/>
  <c r="Q49"/>
  <c r="C57"/>
  <c r="C61" s="1"/>
  <c r="C33"/>
  <c r="C31" s="1"/>
  <c r="C13"/>
  <c r="C37" s="1"/>
  <c r="C36"/>
  <c r="J14"/>
  <c r="J22" s="1"/>
  <c r="C30" l="1"/>
  <c r="C39" s="1"/>
  <c r="Q69" s="1"/>
  <c r="C56"/>
  <c r="C48" s="1"/>
  <c r="C66" s="1"/>
  <c r="C64"/>
  <c r="Q70"/>
  <c r="C75"/>
  <c r="J13"/>
  <c r="J23" s="1"/>
  <c r="J16" s="1"/>
  <c r="J25" s="1"/>
  <c r="AE8" i="1"/>
  <c r="AE6"/>
  <c r="AG8" l="1"/>
  <c r="AG6"/>
  <c r="C80" i="15"/>
  <c r="C79" s="1"/>
  <c r="C65"/>
  <c r="C60"/>
  <c r="C59" s="1"/>
  <c r="Q68"/>
  <c r="L57"/>
  <c r="L60" s="1"/>
  <c r="F41" i="67"/>
  <c r="M27"/>
  <c r="M27" i="75"/>
  <c r="F41"/>
  <c r="F41" i="76"/>
  <c r="L51" i="15"/>
  <c r="M27" i="76"/>
  <c r="F41" i="15"/>
  <c r="M27"/>
  <c r="J26" i="76" l="1"/>
  <c r="J29" s="1"/>
  <c r="J26" i="75"/>
  <c r="J29" s="1"/>
  <c r="Q67" i="15"/>
  <c r="F69" i="76"/>
  <c r="C68" s="1"/>
  <c r="C71" s="1"/>
  <c r="C40"/>
  <c r="F69" i="75"/>
  <c r="C68" s="1"/>
  <c r="C71" s="1"/>
  <c r="C40"/>
  <c r="C83" s="1"/>
  <c r="C82" s="1"/>
  <c r="J26" i="15"/>
  <c r="J29" s="1"/>
  <c r="J26" i="67"/>
  <c r="J29" s="1"/>
  <c r="C58" i="15"/>
  <c r="C67" s="1"/>
  <c r="F69"/>
  <c r="C40"/>
  <c r="C43" s="1"/>
  <c r="L46"/>
  <c r="Q57"/>
  <c r="Q66"/>
  <c r="F69" i="67"/>
  <c r="C68" s="1"/>
  <c r="C71" s="1"/>
  <c r="C40"/>
  <c r="C83" s="1"/>
  <c r="C82" s="1"/>
  <c r="Q65" i="76" l="1"/>
  <c r="Q75" s="1"/>
  <c r="B2"/>
  <c r="B3" s="1"/>
  <c r="E6" i="12" s="1"/>
  <c r="Q47" i="76"/>
  <c r="Q53" s="1"/>
  <c r="C43" i="75"/>
  <c r="Q56" i="76"/>
  <c r="Q62" s="1"/>
  <c r="Q56" i="75"/>
  <c r="Q62" s="1"/>
  <c r="Q47"/>
  <c r="Q53" s="1"/>
  <c r="C46" i="76"/>
  <c r="C83"/>
  <c r="C82" s="1"/>
  <c r="C43"/>
  <c r="C46" i="75"/>
  <c r="B2"/>
  <c r="C8" i="12" s="1"/>
  <c r="Q65" i="75"/>
  <c r="Q75" s="1"/>
  <c r="C68" i="15"/>
  <c r="C71" s="1"/>
  <c r="C83"/>
  <c r="C82" s="1"/>
  <c r="Q65"/>
  <c r="Q75" s="1"/>
  <c r="Q47"/>
  <c r="Q53" s="1"/>
  <c r="Q56"/>
  <c r="Q62" s="1"/>
  <c r="B2"/>
  <c r="C43" i="67"/>
  <c r="C45"/>
  <c r="C46" s="1"/>
  <c r="Q65"/>
  <c r="Q75" s="1"/>
  <c r="Q56"/>
  <c r="Q62" s="1"/>
  <c r="Q47"/>
  <c r="Q53" s="1"/>
  <c r="D2"/>
  <c r="B2" s="1"/>
  <c r="E2" i="69"/>
  <c r="D2" i="34"/>
  <c r="D2" i="33"/>
  <c r="AO8" i="1"/>
  <c r="D2" i="35"/>
  <c r="D2" i="36"/>
  <c r="AO6" i="1"/>
  <c r="D2" i="21"/>
  <c r="D2" i="37"/>
  <c r="AO7" i="1"/>
  <c r="B3" i="75" l="1"/>
  <c r="C6" i="12" s="1"/>
  <c r="B3" i="15"/>
  <c r="D6" i="12" s="1"/>
  <c r="C4"/>
  <c r="C31" s="1"/>
  <c r="C46" i="15"/>
  <c r="B2" i="36"/>
  <c r="B2" i="35"/>
  <c r="B3" s="1"/>
  <c r="B2" i="37"/>
  <c r="B2" i="34"/>
  <c r="B2" i="21"/>
  <c r="B2" i="69"/>
  <c r="B3" s="1"/>
  <c r="B8" i="70"/>
  <c r="B6"/>
  <c r="B3" i="67"/>
  <c r="B7" i="70"/>
  <c r="E2" i="68"/>
  <c r="C23" i="12" l="1"/>
  <c r="C30" s="1"/>
  <c r="C28" s="1"/>
  <c r="B2" i="70"/>
  <c r="B3" s="1"/>
  <c r="C27" i="12" l="1"/>
  <c r="C25" s="1"/>
  <c r="C32" s="1"/>
  <c r="B2" s="1"/>
  <c r="D19" i="9"/>
  <c r="D102" l="1"/>
  <c r="D21"/>
  <c r="J7" i="33"/>
  <c r="W7" s="1"/>
  <c r="F7"/>
  <c r="S7" s="1"/>
  <c r="H7"/>
  <c r="AB7" s="1"/>
  <c r="T48" s="1"/>
  <c r="G48" s="1"/>
  <c r="B3" i="12"/>
  <c r="G52" i="33" l="1"/>
  <c r="H52" s="1"/>
  <c r="AA7"/>
  <c r="R48" s="1"/>
  <c r="U7"/>
  <c r="AC7"/>
  <c r="V48" s="1"/>
  <c r="I48" s="1"/>
  <c r="D20" i="9"/>
  <c r="D103" l="1"/>
  <c r="I52" i="33"/>
  <c r="J52" s="1"/>
  <c r="R49"/>
  <c r="E48"/>
  <c r="G53"/>
  <c r="H53" s="1"/>
  <c r="E53" l="1"/>
  <c r="F53" s="1"/>
  <c r="E52"/>
  <c r="F52" s="1"/>
  <c r="I53"/>
  <c r="J53" s="1"/>
  <c r="C48"/>
  <c r="C49"/>
  <c r="B3" s="1"/>
  <c r="B2"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B63"/>
  <c r="B62"/>
  <c r="F62" s="1"/>
  <c r="F63" l="1"/>
  <c r="F57"/>
  <c r="F66" l="1"/>
  <c r="B2" s="1"/>
  <c r="B3" s="1"/>
  <c r="C38" i="9"/>
  <c r="H106" s="1"/>
  <c r="D12" i="53"/>
  <c r="B28" i="72" s="1"/>
  <c r="H103" i="9"/>
  <c r="D8" i="53" l="1"/>
  <c r="D120" i="9"/>
  <c r="C7" i="68"/>
  <c r="C5" s="1"/>
  <c r="D6" i="52" l="1"/>
  <c r="K120" i="9"/>
  <c r="A18" i="62" s="1"/>
  <c r="B64" i="72" s="1"/>
  <c r="D121" i="9"/>
  <c r="D7" i="52" s="1"/>
  <c r="B24" i="72"/>
  <c r="D9" i="53"/>
  <c r="B25" i="72" s="1"/>
  <c r="C23" i="68"/>
  <c r="C20"/>
  <c r="C28" l="1"/>
  <c r="C27" s="1"/>
  <c r="C25"/>
  <c r="C22" s="1"/>
  <c r="C31" l="1"/>
  <c r="C52" s="1"/>
  <c r="C57" s="1"/>
  <c r="C56" s="1"/>
  <c r="B2" l="1"/>
  <c r="B3" s="1"/>
  <c r="C19" i="9"/>
  <c r="C20"/>
  <c r="D35"/>
  <c r="D34"/>
  <c r="C21" l="1"/>
  <c r="D22"/>
  <c r="C102"/>
  <c r="G19"/>
  <c r="C32" s="1"/>
  <c r="C103"/>
  <c r="G20"/>
  <c r="G21" l="1"/>
  <c r="H118"/>
  <c r="D14" i="80" s="1"/>
  <c r="B5" s="1"/>
  <c r="C35" i="9"/>
  <c r="F118" s="1"/>
  <c r="E14" i="80" l="1"/>
  <c r="F14"/>
  <c r="C34" i="9"/>
  <c r="D118" s="1"/>
  <c r="D4" i="52" s="1"/>
  <c r="B47" i="72" s="1"/>
  <c r="G118" i="9"/>
  <c r="G4" i="52" s="1"/>
  <c r="B52" i="72" s="1"/>
  <c r="F4" i="52"/>
  <c r="B51" i="72" s="1"/>
  <c r="F119" i="9"/>
  <c r="F5" i="52" s="1"/>
  <c r="B53" i="72" s="1"/>
  <c r="I118" i="9"/>
  <c r="C104"/>
  <c r="H101"/>
  <c r="H119"/>
  <c r="H5" i="52" s="1"/>
  <c r="H4"/>
  <c r="D5" i="80" l="1"/>
  <c r="D7"/>
  <c r="C5"/>
  <c r="C7"/>
  <c r="D119" i="9"/>
  <c r="D5" i="52" s="1"/>
  <c r="B49" i="72" s="1"/>
  <c r="H109" i="9"/>
  <c r="D5" i="53"/>
  <c r="H107" i="9"/>
  <c r="D45"/>
  <c r="M48"/>
  <c r="C105"/>
  <c r="H102"/>
  <c r="D7" i="53" s="1"/>
  <c r="B21" i="72" s="1"/>
  <c r="I4" i="52"/>
  <c r="E118" i="9"/>
  <c r="E4" i="52" s="1"/>
  <c r="B48" i="72" s="1"/>
  <c r="H108" i="9" l="1"/>
  <c r="D15" i="53" s="1"/>
  <c r="B31" i="72" s="1"/>
  <c r="D13" i="53"/>
  <c r="D122" i="9"/>
  <c r="C78"/>
  <c r="C73" s="1"/>
  <c r="D55"/>
  <c r="M53" s="1"/>
  <c r="C93"/>
  <c r="C86" s="1"/>
  <c r="C72"/>
  <c r="C64"/>
  <c r="C63" s="1"/>
  <c r="C67" s="1"/>
  <c r="C68" s="1"/>
  <c r="D54" s="1"/>
  <c r="D52"/>
  <c r="D53"/>
  <c r="C85"/>
  <c r="D6" i="53"/>
  <c r="B22" i="72" s="1"/>
  <c r="B20"/>
  <c r="M49" i="9"/>
  <c r="H110"/>
  <c r="D18" i="53" s="1"/>
  <c r="B35" i="72" s="1"/>
  <c r="D16" i="53"/>
  <c r="D124" i="9"/>
  <c r="H14" i="80" s="1"/>
  <c r="B7" s="1"/>
  <c r="C95" i="9" l="1"/>
  <c r="C96" s="1"/>
  <c r="E96" s="1"/>
  <c r="E97" s="1"/>
  <c r="C79"/>
  <c r="C80" s="1"/>
  <c r="E80" s="1"/>
  <c r="E81" s="1"/>
  <c r="B30" i="72"/>
  <c r="D14" i="53"/>
  <c r="B32" i="72" s="1"/>
  <c r="B34"/>
  <c r="D17" i="53"/>
  <c r="B36" i="72" s="1"/>
  <c r="D10" i="52"/>
  <c r="D125" i="9"/>
  <c r="D11" i="52" s="1"/>
  <c r="D8"/>
  <c r="D123" i="9"/>
  <c r="D9" i="52" s="1"/>
  <c r="C81" i="9" l="1"/>
  <c r="C97"/>
  <c r="D58" s="1"/>
  <c r="D56" s="1"/>
  <c r="M54" s="1"/>
  <c r="N56" s="1"/>
  <c r="N57" l="1"/>
  <c r="N58"/>
  <c r="H111" l="1"/>
  <c r="N59"/>
  <c r="N60"/>
  <c r="H112" s="1"/>
  <c r="D21" i="53" s="1"/>
  <c r="B39" i="72" s="1"/>
  <c r="D19" i="53" l="1"/>
  <c r="D126" i="9"/>
  <c r="D127" l="1"/>
  <c r="D13" i="52" s="1"/>
  <c r="D12"/>
  <c r="D20" i="53"/>
  <c r="B40" i="72" s="1"/>
  <c r="B3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<sst xmlns="http://schemas.openxmlformats.org/spreadsheetml/2006/main" count="9495" uniqueCount="3499">
  <si>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</si>
  <si>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</si>
  <si>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</si>
  <si>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</si>
  <si>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</si>
  <si>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</si>
  <si>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</si>
  <si>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</si>
  <si>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</si>
  <si>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</si>
  <si>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</si>
  <si>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</si>
  <si>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</si>
  <si>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</si>
  <si>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</si>
  <si>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</si>
  <si>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</si>
  <si>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</si>
  <si>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</si>
  <si>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</si>
  <si>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</si>
  <si>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</si>
  <si>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</si>
  <si>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</si>
  <si>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</si>
  <si>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</si>
  <si>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</si>
  <si>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</si>
  <si>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</si>
  <si>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</si>
  <si>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</si>
  <si>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</si>
  <si>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</si>
  <si>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</si>
  <si>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</si>
  <si>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</si>
  <si>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</si>
  <si>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</si>
  <si>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</si>
  <si>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</si>
  <si>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</si>
  <si>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</si>
  <si>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</si>
  <si>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</si>
  <si>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</si>
  <si>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</si>
  <si>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</si>
  <si>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</si>
  <si>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</si>
  <si>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</si>
  <si>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</si>
  <si>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</si>
  <si>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</si>
  <si>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</si>
  <si>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</si>
  <si>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</si>
  <si>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</si>
  <si>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</si>
  <si>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</si>
  <si>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</si>
  <si>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</si>
  <si>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</si>
  <si>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</si>
  <si>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</si>
  <si>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</si>
  <si>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</si>
  <si>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</si>
  <si>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</si>
  <si>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</si>
  <si>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</si>
  <si>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</si>
  <si>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</si>
  <si>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</si>
  <si>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</si>
  <si>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</si>
  <si>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</si>
  <si>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</si>
  <si>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</si>
  <si>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</si>
  <si>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</si>
  <si>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</si>
  <si>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</si>
  <si>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</si>
  <si>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</si>
  <si>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</si>
  <si>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</si>
  <si>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</si>
  <si>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</si>
  <si>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</si>
  <si>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</si>
  <si>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</si>
  <si>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</si>
  <si>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</si>
  <si>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</si>
  <si>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</si>
  <si>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</si>
  <si>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</si>
  <si>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</si>
  <si>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</si>
  <si>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</si>
  <si>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</si>
  <si>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</si>
  <si>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</si>
  <si>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</si>
  <si>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</si>
  <si>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</si>
  <si>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</si>
  <si>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</si>
  <si>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</si>
  <si>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</si>
  <si>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</si>
  <si>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</si>
  <si>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</si>
  <si>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</si>
  <si>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</si>
  <si>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</si>
  <si>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</si>
  <si>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</si>
  <si>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</si>
  <si>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</si>
  <si>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</si>
  <si>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</si>
  <si>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</si>
  <si>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</si>
  <si>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</si>
  <si>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</si>
  <si>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</si>
  <si>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</si>
  <si>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</si>
  <si>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</si>
  <si>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</si>
  <si>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</si>
  <si>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</si>
  <si>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</si>
  <si>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</si>
  <si>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</si>
  <si>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</si>
  <si>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</si>
  <si>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</si>
  <si>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</si>
  <si>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</si>
  <si>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</si>
  <si>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</si>
  <si>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</si>
  <si>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</si>
  <si>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</si>
  <si>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</si>
  <si>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</si>
  <si>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</si>
  <si>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</si>
  <si>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</si>
  <si>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</si>
  <si>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</si>
  <si>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</si>
  <si>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</si>
  <si>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</si>
  <si>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</si>
  <si>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</si>
  <si>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</si>
  <si>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</si>
  <si>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</si>
  <si>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</si>
  <si>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</si>
  <si>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</si>
  <si>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</si>
  <si>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</si>
  <si>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</si>
  <si>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</si>
  <si>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</si>
  <si>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</si>
  <si>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</si>
  <si>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</si>
  <si>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</si>
  <si>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</si>
  <si>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</si>
  <si>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</si>
  <si>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</si>
  <si>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</si>
  <si>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</si>
  <si>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</si>
  <si>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</si>
  <si>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</si>
  <si>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</si>
  <si>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</si>
  <si>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</si>
  <si>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</si>
  <si>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</si>
  <si>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</si>
  <si>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</si>
  <si>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</si>
  <si>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</si>
  <si>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</si>
  <si>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</si>
  <si>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</si>
  <si>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</si>
  <si>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</si>
  <si>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</si>
  <si>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</si>
  <si>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</si>
  <si>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</si>
  <si>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</si>
  <si>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</si>
  <si>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</si>
  <si>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</si>
  <si>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</si>
  <si>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</si>
  <si>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</si>
  <si>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</si>
  <si>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</si>
  <si>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</si>
  <si>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</si>
  <si>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</si>
  <si>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</si>
  <si>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</si>
  <si>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</si>
  <si>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</si>
  <si>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</si>
  <si>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</si>
  <si>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</si>
  <si>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</si>
  <si>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</si>
  <si>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</si>
  <si>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</si>
  <si>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</si>
  <si>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</si>
  <si>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</si>
  <si>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</si>
  <si>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</si>
  <si>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</si>
  <si>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</si>
  <si>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</si>
  <si>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</si>
  <si>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</si>
  <si>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</si>
  <si>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</si>
  <si>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</si>
  <si>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</si>
  <si>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</si>
  <si>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</si>
  <si>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</si>
  <si>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</si>
  <si>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</si>
  <si>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</si>
  <si>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</si>
  <si>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</si>
  <si>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</si>
  <si>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</si>
  <si>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</si>
  <si>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</si>
  <si>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</si>
  <si>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</si>
  <si>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</si>
  <si>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</si>
  <si>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</si>
  <si>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</si>
  <si>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</si>
  <si>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</si>
  <si>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</si>
  <si>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</si>
  <si>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</si>
  <si>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</si>
  <si>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</si>
  <si>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</si>
  <si>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</si>
  <si>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</si>
  <si>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</si>
  <si>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</si>
  <si>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</si>
  <si>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</si>
  <si>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</si>
  <si>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</si>
  <si>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</si>
  <si>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</si>
  <si>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</si>
  <si>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</si>
  <si>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</si>
  <si>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</si>
  <si>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</si>
  <si>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</si>
  <si>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</si>
  <si>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</si>
  <si>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</si>
  <si>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</si>
  <si>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</si>
  <si>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</si>
  <si>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</si>
  <si>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</si>
  <si>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</si>
  <si>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</si>
  <si>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</si>
  <si>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</si>
  <si>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</si>
  <si>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</si>
  <si>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</si>
  <si>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</si>
  <si>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</si>
  <si>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</si>
  <si>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</si>
  <si>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</si>
  <si>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</si>
  <si>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</si>
  <si>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</si>
  <si>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</si>
  <si>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</si>
  <si>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</si>
  <si>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</si>
  <si>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</si>
  <si>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</si>
  <si>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</si>
  <si>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</si>
  <si>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</si>
  <si>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</si>
  <si>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</si>
  <si>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</si>
  <si>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</si>
  <si>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</si>
  <si>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</si>
  <si>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</si>
  <si>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</si>
  <si>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</si>
  <si>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</si>
  <si>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</si>
  <si>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</si>
  <si>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</si>
  <si>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</si>
  <si>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</si>
  <si>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</si>
  <si>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</si>
  <si>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</si>
  <si>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</si>
  <si>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</si>
  <si>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</si>
  <si>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</si>
  <si>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</si>
  <si>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</si>
  <si>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</si>
  <si>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</si>
  <si>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</si>
  <si>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</si>
  <si>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</si>
  <si>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</si>
  <si>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</si>
  <si>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</si>
  <si>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</si>
  <si>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</si>
  <si>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</si>
  <si>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</si>
  <si>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</si>
  <si>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</si>
  <si>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</si>
  <si>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</si>
  <si>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</si>
  <si>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</si>
  <si>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</si>
  <si>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</si>
  <si>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</si>
  <si>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</si>
  <si>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</si>
  <si>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</si>
  <si>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</si>
  <si>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</si>
  <si>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</si>
  <si>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</si>
  <si>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</si>
  <si>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</si>
  <si>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</si>
  <si>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</si>
  <si>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</si>
  <si>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</si>
  <si>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</si>
  <si>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</si>
  <si>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</si>
  <si>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</si>
  <si>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</si>
  <si>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</si>
  <si>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</si>
  <si>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</si>
  <si>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</si>
  <si>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</si>
  <si>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</si>
  <si>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</si>
  <si>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</si>
  <si>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</si>
  <si>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</si>
  <si>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</si>
  <si>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</si>
  <si>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</si>
  <si>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</si>
  <si>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</si>
  <si>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</si>
  <si>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</si>
  <si>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</si>
  <si>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</si>
  <si>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</si>
  <si>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</si>
  <si>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</si>
  <si>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</si>
  <si>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</si>
  <si>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</si>
  <si>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</si>
  <si>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</si>
  <si>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</si>
  <si>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</si>
  <si>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</si>
  <si>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</si>
  <si>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</si>
  <si>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</si>
  <si>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</si>
  <si>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</si>
  <si>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</si>
  <si>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</si>
  <si>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</si>
  <si>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</si>
  <si>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</si>
  <si>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</si>
  <si>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</si>
  <si>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</si>
  <si>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</si>
  <si>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</si>
  <si>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</si>
  <si>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</si>
  <si>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</si>
  <si>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</si>
  <si>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</si>
  <si>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</si>
  <si>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</si>
  <si>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</si>
  <si>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</si>
  <si>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</si>
  <si>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</si>
  <si>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</si>
  <si>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</si>
  <si>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</si>
  <si>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</si>
  <si>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</si>
  <si>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</si>
  <si>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</si>
  <si>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</si>
  <si>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</si>
  <si>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</si>
  <si>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</si>
  <si>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</si>
  <si>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</si>
  <si>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</si>
  <si>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</si>
  <si>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</si>
  <si>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</si>
  <si>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</si>
  <si>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</si>
  <si>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</si>
  <si>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</si>
  <si>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</si>
  <si>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</si>
  <si>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</si>
  <si>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</si>
  <si>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</si>
  <si>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</si>
  <si>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</si>
  <si>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</si>
  <si>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</si>
  <si>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</si>
  <si>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</si>
  <si>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</si>
  <si>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</si>
  <si>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</si>
  <si>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</si>
  <si>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</si>
  <si>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</si>
  <si>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</si>
  <si>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</si>
  <si>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</si>
  <si>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</si>
  <si>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</si>
  <si>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</si>
  <si>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</si>
  <si>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</si>
  <si>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</si>
  <si>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</si>
  <si>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</si>
  <si>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</si>
  <si>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</si>
  <si>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</si>
  <si>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</si>
  <si>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</si>
  <si>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</si>
  <si>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</si>
  <si>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</si>
  <si>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</si>
  <si>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</si>
  <si>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</si>
  <si>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</si>
  <si>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</si>
  <si>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</si>
  <si>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</si>
  <si>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</si>
  <si>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</si>
  <si>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</si>
  <si>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</si>
  <si>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</si>
  <si>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</si>
  <si>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</si>
  <si>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</si>
  <si>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</si>
  <si>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</si>
  <si>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</si>
  <si>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</si>
  <si>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</si>
  <si>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</si>
  <si>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</si>
  <si>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</si>
  <si>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</si>
  <si>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</si>
  <si>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</si>
  <si>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</si>
  <si>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</si>
  <si>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</si>
  <si>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</si>
  <si>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</si>
  <si>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</si>
  <si>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</si>
  <si>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</si>
  <si>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</si>
  <si>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</si>
  <si>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</si>
  <si>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</si>
  <si>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</si>
  <si>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</si>
  <si>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</si>
  <si>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</si>
  <si>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</si>
  <si>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</si>
  <si>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</si>
  <si>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</si>
  <si>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</si>
  <si>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</si>
  <si>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</si>
  <si>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</si>
  <si>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</si>
  <si>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</si>
  <si>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</si>
  <si>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</si>
  <si>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</si>
  <si>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</si>
  <si>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</si>
  <si>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</si>
  <si>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</si>
  <si>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</si>
  <si>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</si>
  <si>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</si>
  <si>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</si>
  <si>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</si>
  <si>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</si>
  <si>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</si>
  <si>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</si>
  <si>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</si>
  <si>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</si>
  <si>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</si>
  <si>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</si>
  <si>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</si>
  <si>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</si>
  <si>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</si>
  <si>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</si>
  <si>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</si>
  <si>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</si>
  <si>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</si>
  <si>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</si>
  <si>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</si>
  <si>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</si>
  <si>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</si>
  <si>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</si>
  <si>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</si>
  <si>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</si>
  <si>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</si>
  <si>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</si>
  <si>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</si>
  <si>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</si>
  <si>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</si>
  <si>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</si>
  <si>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</si>
  <si>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</si>
  <si>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</si>
  <si>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</si>
  <si>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</si>
  <si>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</si>
  <si>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</si>
  <si>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</si>
  <si>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</si>
  <si>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</si>
  <si>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</si>
  <si>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</si>
  <si>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</si>
  <si>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</si>
  <si>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</si>
  <si>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</si>
  <si>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</si>
  <si>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</si>
  <si>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</si>
  <si>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</si>
  <si>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</si>
  <si>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</si>
  <si>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</si>
  <si>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</si>
  <si>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</si>
  <si>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</si>
  <si>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</si>
  <si>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</si>
  <si>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</si>
  <si>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</si>
  <si>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</si>
  <si>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</si>
  <si>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</si>
  <si>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</si>
  <si>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</si>
  <si>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</si>
  <si>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</si>
  <si>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</si>
  <si>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</si>
  <si>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</si>
  <si>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</si>
  <si>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</si>
  <si>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</si>
  <si>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</si>
  <si>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</si>
  <si>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</si>
  <si>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</si>
  <si>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</si>
  <si>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</si>
  <si>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</si>
  <si>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</si>
  <si>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</si>
  <si>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</si>
  <si>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</si>
  <si>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</si>
  <si>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</si>
  <si>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</si>
  <si>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</si>
  <si>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</si>
  <si>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</si>
  <si>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</si>
  <si>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</si>
  <si>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</si>
  <si>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</si>
  <si>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</si>
  <si>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</si>
  <si>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</si>
  <si>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</si>
  <si>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</si>
  <si>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</si>
  <si>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</si>
  <si>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</si>
  <si>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</si>
  <si>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</si>
  <si>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</si>
  <si>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</si>
  <si>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</si>
  <si>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</si>
  <si>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</si>
  <si>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</si>
  <si>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</si>
  <si>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</si>
  <si>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</si>
  <si>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</si>
  <si>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</si>
  <si>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</si>
  <si>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</si>
  <si>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</si>
  <si>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</si>
  <si>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</si>
  <si>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</si>
  <si>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</si>
  <si>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</si>
  <si>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</si>
  <si>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</si>
  <si>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</si>
  <si>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</si>
  <si>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</si>
  <si>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</si>
  <si>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</si>
  <si>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</si>
  <si>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</si>
  <si>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</si>
  <si>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</si>
  <si>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</si>
  <si>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</si>
  <si>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</si>
  <si>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</si>
  <si>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</si>
  <si>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</si>
  <si>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</si>
  <si>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</si>
  <si>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</si>
  <si>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</si>
  <si>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</si>
  <si>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</si>
  <si>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</si>
  <si>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</si>
  <si>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</si>
  <si>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</si>
  <si>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</si>
  <si>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</si>
  <si>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</si>
  <si>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</si>
  <si>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</si>
  <si>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</si>
  <si>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</si>
  <si>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</si>
  <si>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</si>
  <si>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</si>
  <si>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</si>
  <si>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</si>
  <si>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</si>
  <si>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</si>
  <si>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</si>
  <si>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</si>
  <si>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</si>
  <si>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</si>
  <si>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</si>
  <si>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</si>
  <si>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</si>
  <si>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</si>
  <si>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</si>
  <si>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</si>
  <si>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</si>
  <si>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</si>
  <si>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</si>
  <si>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</si>
  <si>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</si>
  <si>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</si>
  <si>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</si>
  <si>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</si>
  <si>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</si>
  <si>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</si>
  <si>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</si>
  <si>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</si>
  <si>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</si>
  <si>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</si>
  <si>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</si>
  <si>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</si>
  <si>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</si>
  <si>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</si>
  <si>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</si>
  <si>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</si>
  <si>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</si>
  <si>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</si>
  <si>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</si>
  <si>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</si>
  <si>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</si>
  <si>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</si>
  <si>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</si>
  <si>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</si>
  <si>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</si>
  <si>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</si>
  <si>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</si>
  <si>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</si>
  <si>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</si>
  <si>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</si>
  <si>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</si>
  <si>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</si>
  <si>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</si>
  <si>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</si>
  <si>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</si>
  <si>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</si>
  <si>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</si>
  <si>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</si>
  <si>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</si>
  <si>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</si>
  <si>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</si>
  <si>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</si>
  <si>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</si>
  <si>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</si>
  <si>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</si>
  <si>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</si>
  <si>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</si>
  <si>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</si>
  <si>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</si>
  <si>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</si>
  <si>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</si>
  <si>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</si>
  <si>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</si>
  <si>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</si>
  <si>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</si>
  <si>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</si>
  <si>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</si>
  <si>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</si>
  <si>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</si>
  <si>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</si>
  <si>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</si>
  <si>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</si>
  <si>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</si>
  <si>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</si>
  <si>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</si>
  <si>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</si>
  <si>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</si>
  <si>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</si>
  <si>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</si>
  <si>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</si>
  <si>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</si>
  <si>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</si>
  <si>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</si>
  <si>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</si>
  <si>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</si>
  <si>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</si>
  <si>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</si>
  <si>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</si>
  <si>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</si>
  <si>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</si>
  <si>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</si>
  <si>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</si>
  <si>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</si>
  <si>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</si>
  <si>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</si>
  <si>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</si>
  <si>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</si>
  <si>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</si>
  <si>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</si>
  <si>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</si>
  <si>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</si>
  <si>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</si>
  <si>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</si>
  <si>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</si>
  <si>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</si>
  <si>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</si>
  <si>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</si>
  <si>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</si>
  <si>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</si>
  <si>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</si>
  <si>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</si>
  <si>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</si>
  <si>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</si>
  <si>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</si>
  <si>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</si>
  <si>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</si>
  <si>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</si>
  <si>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</si>
  <si>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</si>
  <si>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</si>
  <si>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</si>
  <si>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</si>
  <si>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</si>
  <si>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</si>
  <si>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</si>
  <si>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</si>
  <si>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</si>
  <si>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</si>
  <si>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</si>
  <si>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</si>
  <si>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</si>
  <si>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</si>
  <si>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</si>
  <si>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</si>
  <si>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</si>
  <si>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</si>
  <si>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</si>
  <si>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</si>
  <si>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</si>
  <si>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</si>
  <si>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</si>
  <si>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</si>
  <si>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</si>
  <si>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</si>
  <si>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</si>
  <si>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</si>
  <si>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</si>
  <si>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</si>
  <si>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</si>
  <si>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</si>
  <si>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</si>
  <si>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</si>
  <si>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</si>
  <si>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</si>
  <si>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</si>
  <si>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</si>
  <si>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</si>
  <si>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</si>
  <si>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</si>
  <si>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</si>
  <si>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</si>
  <si>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</si>
  <si>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</si>
  <si>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</si>
  <si>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</si>
  <si>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</si>
  <si>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</si>
  <si>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</si>
  <si>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</si>
  <si>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</si>
  <si>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</si>
  <si>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</si>
  <si>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</si>
  <si>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</si>
  <si>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</si>
  <si>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</si>
  <si>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</si>
  <si>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</si>
  <si>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</si>
  <si>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</si>
  <si>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</si>
  <si>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</si>
  <si>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</si>
  <si>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</si>
  <si>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</si>
  <si>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</si>
  <si>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</si>
  <si>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</si>
  <si>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</si>
  <si>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</si>
  <si>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</si>
  <si>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</si>
  <si>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</si>
  <si>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</si>
  <si>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</si>
  <si>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</si>
  <si>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</si>
  <si>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</si>
  <si>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</si>
  <si>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</si>
  <si>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</si>
  <si>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</si>
  <si>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</si>
  <si>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</si>
  <si>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</si>
  <si>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</si>
  <si>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</si>
  <si>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</si>
  <si>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</si>
  <si>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</si>
  <si>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</si>
  <si>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</si>
  <si>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</si>
  <si>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</si>
  <si>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</si>
  <si>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</si>
  <si>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</si>
  <si>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</si>
  <si>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</si>
  <si>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</si>
  <si>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</si>
  <si>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</si>
  <si>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</si>
  <si>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</si>
  <si>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</si>
  <si>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</si>
  <si>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</si>
  <si>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</si>
  <si>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</si>
  <si>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</si>
  <si>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</si>
  <si>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</si>
  <si>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</si>
  <si>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</si>
  <si>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</si>
  <si>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</si>
  <si>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</si>
  <si>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</si>
  <si>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</si>
  <si>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</si>
  <si>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</si>
  <si>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</si>
  <si>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</si>
  <si>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</si>
  <si>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</si>
  <si>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</si>
  <si>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</si>
  <si>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</si>
  <si>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</si>
  <si>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</si>
  <si>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</si>
  <si>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</si>
  <si>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</si>
  <si>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</si>
  <si>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</si>
  <si>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</si>
  <si>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</si>
  <si>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</si>
  <si>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</si>
  <si>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</si>
  <si>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</si>
  <si>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</si>
  <si>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</si>
  <si>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</si>
  <si>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</si>
  <si>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</si>
  <si>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</si>
  <si>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</si>
  <si>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</si>
  <si>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</si>
  <si>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</si>
  <si>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</si>
  <si>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</si>
  <si>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</si>
  <si>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</si>
  <si>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</si>
  <si>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</si>
  <si>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</si>
  <si>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</si>
  <si>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</si>
  <si>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</si>
  <si>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</si>
  <si>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</si>
  <si>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</si>
  <si>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</si>
  <si>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</si>
  <si>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</si>
  <si>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</si>
  <si>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</si>
  <si>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</si>
  <si>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</si>
  <si>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</si>
  <si>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</si>
  <si>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</si>
  <si>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</si>
  <si>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</si>
  <si>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</si>
  <si>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</si>
  <si>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</si>
  <si>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</si>
  <si>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</si>
  <si>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</si>
  <si>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</si>
  <si>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</si>
  <si>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</si>
  <si>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</si>
  <si>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</si>
  <si>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</si>
  <si>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</si>
  <si>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</si>
  <si>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</si>
  <si>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</si>
  <si>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</si>
  <si>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</si>
  <si>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</si>
  <si>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</si>
  <si>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</si>
  <si>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</si>
  <si>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</si>
  <si>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</si>
  <si>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</si>
  <si>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</si>
  <si>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</si>
  <si>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</si>
  <si>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</si>
  <si>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</si>
  <si>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</si>
  <si>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</si>
  <si>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</si>
  <si>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</si>
  <si>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</si>
  <si>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</si>
  <si>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</si>
  <si>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</si>
  <si>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</si>
  <si>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</si>
  <si>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</si>
  <si>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</si>
  <si>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</si>
  <si>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</si>
  <si>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</si>
  <si>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</si>
  <si>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</si>
  <si>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</si>
  <si>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</si>
  <si>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</si>
  <si>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</si>
  <si>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</si>
  <si>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</si>
  <si>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</si>
  <si>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</si>
  <si>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</si>
  <si>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</si>
  <si>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</si>
  <si>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</si>
  <si>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</si>
  <si>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</si>
  <si>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</si>
  <si>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</si>
  <si>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</si>
  <si>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</si>
  <si>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</si>
  <si>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</si>
  <si>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</si>
  <si>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</si>
  <si>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</si>
  <si>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</si>
  <si>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</si>
  <si>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</si>
  <si>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</si>
  <si>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</si>
  <si>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</si>
  <si>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</si>
  <si>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</si>
  <si>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</si>
  <si>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</si>
  <si>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</si>
  <si>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</si>
  <si>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</si>
  <si>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</si>
  <si>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</si>
  <si>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</si>
  <si>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</si>
  <si>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</si>
  <si>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</si>
  <si>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</si>
  <si>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</si>
  <si>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</si>
  <si>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</si>
  <si>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</si>
  <si>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</si>
  <si>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</si>
  <si>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</si>
  <si>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</si>
  <si>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</si>
  <si>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</si>
  <si>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</si>
  <si>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</si>
  <si>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</si>
  <si>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</si>
  <si>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</si>
  <si>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</si>
  <si>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</si>
  <si>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</si>
  <si>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</si>
  <si>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</si>
  <si>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</si>
  <si>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</si>
  <si>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</si>
  <si>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</si>
  <si>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</si>
  <si>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</si>
  <si>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</si>
  <si>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</si>
  <si>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</si>
  <si>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</si>
  <si>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</si>
  <si>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</si>
  <si>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</si>
  <si>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</si>
  <si>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</si>
  <si>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</si>
  <si>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</si>
  <si>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</si>
  <si>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</si>
  <si>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</si>
  <si>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</si>
  <si>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</si>
  <si>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</si>
  <si>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</si>
  <si>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</si>
  <si>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</si>
  <si>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</si>
  <si>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</si>
  <si>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</si>
  <si>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</si>
  <si>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</si>
  <si>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</si>
  <si>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</si>
  <si>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</si>
  <si>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</si>
  <si>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</si>
  <si>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</si>
  <si>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</si>
  <si>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</si>
  <si>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</si>
  <si>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</si>
  <si>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</si>
  <si>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</si>
  <si>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</si>
  <si>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</si>
  <si>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</si>
  <si>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</si>
  <si>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</si>
  <si>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</si>
  <si>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</si>
  <si>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</si>
  <si>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</si>
  <si>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</si>
  <si>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</si>
  <si>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</si>
  <si>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</si>
  <si>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</si>
  <si>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</si>
  <si>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</si>
  <si>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</si>
  <si>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</si>
  <si>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</si>
  <si>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</si>
  <si>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</si>
  <si>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</si>
  <si>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</si>
  <si>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</si>
  <si>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</si>
  <si>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</si>
  <si>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</si>
  <si>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</si>
  <si>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</si>
  <si>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</si>
  <si>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</si>
  <si>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</si>
  <si>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</si>
  <si>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</si>
  <si>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</si>
  <si>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</si>
  <si>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</si>
  <si>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</si>
  <si>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</si>
  <si>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</si>
  <si>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</si>
  <si>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</si>
  <si>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</si>
  <si>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</si>
  <si>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</si>
  <si>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</si>
  <si>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</si>
  <si>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</si>
  <si>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</si>
  <si>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</si>
  <si>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</si>
  <si>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</si>
  <si>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</si>
  <si>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</si>
  <si>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</si>
  <si>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</si>
  <si>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</si>
  <si>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</si>
  <si>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</si>
  <si>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</si>
  <si>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</si>
  <si>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</si>
  <si>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</si>
  <si>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</si>
  <si>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</si>
  <si>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</si>
  <si>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</si>
  <si>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</si>
  <si>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</si>
  <si>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</si>
  <si>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</si>
  <si>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</si>
  <si>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</si>
  <si>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</si>
  <si>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</si>
  <si>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</si>
  <si>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</si>
  <si>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</si>
  <si>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</si>
  <si>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</si>
  <si>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</si>
  <si>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</si>
  <si>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</si>
  <si>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</si>
  <si>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</si>
  <si>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</si>
  <si>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</si>
  <si>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</si>
  <si>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</si>
  <si>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</si>
  <si>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</si>
  <si>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</si>
  <si>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</si>
  <si>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</si>
  <si>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</si>
  <si>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</si>
  <si>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</si>
  <si>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</si>
  <si>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</si>
  <si>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</si>
  <si>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</si>
  <si>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</si>
  <si>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</si>
  <si>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</si>
  <si>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</si>
  <si>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</si>
  <si>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</si>
  <si>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</si>
  <si>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</si>
  <si>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</si>
  <si>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</si>
  <si>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</si>
  <si>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</si>
  <si>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</si>
  <si>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</si>
  <si>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</si>
  <si>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</si>
  <si>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</si>
  <si>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</si>
  <si>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</si>
  <si>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</si>
  <si>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</si>
  <si>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</si>
  <si>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</si>
  <si>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</si>
  <si>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</si>
  <si>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</si>
  <si>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</si>
  <si>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</si>
  <si>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</si>
  <si>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</si>
  <si>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</si>
  <si>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</si>
  <si>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</si>
  <si>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</si>
  <si>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</si>
  <si>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</si>
  <si>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</si>
  <si>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</si>
  <si>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</si>
  <si>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</si>
  <si>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</si>
  <si>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</si>
  <si>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</si>
  <si>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</si>
  <si>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</si>
  <si>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</si>
  <si>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</si>
  <si>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</si>
  <si>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</si>
  <si>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</si>
  <si>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</si>
  <si>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</si>
  <si>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</si>
  <si>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</si>
  <si>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</si>
  <si>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</si>
  <si>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</si>
  <si>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</si>
  <si>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</si>
  <si>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</si>
  <si>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</si>
  <si>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</si>
  <si>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</si>
  <si>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</si>
  <si>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</si>
  <si>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</si>
  <si>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</si>
  <si>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</si>
  <si>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</si>
  <si>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</si>
  <si>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</si>
  <si>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</si>
  <si>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</si>
  <si>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</si>
  <si>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</si>
  <si>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</si>
  <si>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</si>
  <si>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</si>
  <si>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</si>
  <si>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</si>
  <si>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</si>
  <si>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</si>
  <si>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</si>
  <si>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</si>
  <si>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</si>
  <si>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</si>
  <si>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</si>
  <si>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</si>
  <si>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</si>
  <si>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</si>
  <si>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</si>
  <si>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</si>
  <si>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</si>
  <si>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</si>
  <si>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</si>
  <si>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</si>
  <si>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</si>
  <si>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</si>
  <si>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</si>
  <si>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</si>
  <si>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</si>
  <si>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</si>
  <si>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</si>
  <si>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</si>
  <si>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</si>
  <si>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</si>
  <si>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</si>
  <si>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</si>
  <si>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</si>
  <si>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</si>
  <si>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</si>
  <si>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</si>
  <si>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</si>
  <si>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</si>
  <si>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</si>
  <si>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</si>
  <si>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</si>
  <si>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</si>
  <si>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</si>
  <si>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</si>
  <si>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</si>
  <si>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</si>
  <si>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</si>
  <si>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</si>
  <si>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</si>
  <si>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</si>
  <si>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</si>
  <si>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</si>
  <si>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</si>
  <si>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</si>
  <si>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</si>
  <si>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</si>
  <si>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</si>
  <si>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</si>
  <si>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</si>
  <si>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</si>
  <si>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</si>
  <si>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</si>
  <si>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</si>
  <si>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</si>
  <si>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</si>
  <si>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</si>
  <si>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</si>
  <si>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</si>
  <si>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</si>
  <si>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</si>
  <si>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</si>
  <si>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</si>
  <si>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</si>
  <si>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</si>
  <si>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</si>
  <si>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</si>
  <si>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</si>
  <si>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</si>
  <si>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</si>
  <si>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</si>
  <si>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</si>
  <si>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</si>
  <si>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</si>
  <si>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</si>
  <si>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</si>
  <si>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</si>
  <si>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</si>
  <si>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</si>
  <si>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</si>
  <si>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</si>
  <si>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</si>
  <si>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</si>
  <si>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</si>
  <si>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</si>
  <si>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</si>
  <si>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</si>
  <si>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</si>
  <si>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</si>
  <si>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</si>
  <si>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</si>
  <si>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</si>
  <si>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</si>
  <si>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</si>
  <si>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</si>
  <si>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</si>
  <si>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</si>
  <si>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</si>
  <si>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</si>
  <si>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</si>
  <si>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</si>
  <si>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</si>
  <si>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</si>
  <si>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</si>
  <si>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</si>
  <si>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</si>
  <si>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</si>
  <si>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</si>
  <si>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</si>
  <si>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</si>
  <si>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</si>
  <si>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</si>
  <si>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</si>
  <si>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</si>
  <si>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</si>
  <si>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</si>
  <si>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</si>
  <si>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</si>
  <si>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</si>
  <si>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</si>
  <si>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</si>
  <si>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</si>
  <si>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</si>
  <si>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</si>
  <si>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</si>
  <si>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</si>
  <si>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</si>
  <si>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</si>
  <si>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</si>
  <si>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</si>
  <si>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</si>
  <si>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</si>
  <si>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</si>
  <si>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</si>
  <si>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</si>
  <si>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</si>
  <si>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</si>
  <si>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</si>
  <si>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</si>
  <si>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</si>
  <si>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</si>
  <si>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</si>
  <si>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</si>
  <si>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</si>
  <si>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</si>
  <si>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</si>
  <si>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</si>
  <si>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</si>
  <si>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</si>
  <si>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</si>
  <si>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</si>
  <si>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</si>
  <si>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</si>
  <si>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</si>
  <si>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</si>
  <si>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</si>
  <si>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</si>
  <si>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</si>
  <si>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</si>
  <si>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</si>
  <si>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</si>
  <si>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</si>
  <si>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</si>
  <si>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</si>
  <si>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</si>
  <si>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</si>
  <si>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</si>
  <si>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</si>
  <si>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</si>
  <si>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</si>
  <si>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</si>
  <si>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</si>
  <si>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</si>
  <si>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</si>
  <si>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</si>
  <si>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</si>
  <si>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</si>
  <si>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</si>
  <si>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</si>
  <si>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</si>
  <si>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</si>
  <si>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</si>
  <si>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</si>
  <si>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</si>
  <si>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</si>
  <si>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</si>
  <si>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</si>
  <si>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</si>
  <si>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</si>
  <si>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</si>
  <si>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</si>
  <si>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</si>
  <si>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</si>
  <si>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</si>
  <si>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</si>
  <si>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</si>
  <si>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</si>
  <si>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</si>
  <si>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</si>
  <si>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</si>
  <si>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</si>
  <si>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</si>
  <si>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</si>
  <si>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</si>
  <si>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</si>
  <si>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</si>
  <si>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</si>
  <si>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</si>
  <si>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</si>
  <si>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</si>
  <si>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</si>
  <si>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</si>
  <si>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</si>
  <si>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</si>
  <si>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</si>
  <si>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</si>
  <si>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</si>
  <si>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</si>
  <si>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</si>
  <si>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</si>
  <si>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</si>
  <si>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</si>
  <si>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</si>
  <si>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</si>
  <si>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</si>
  <si>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</si>
  <si>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</si>
  <si>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</si>
  <si>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</si>
  <si>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</si>
  <si>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</si>
  <si>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</si>
  <si>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</si>
  <si>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</si>
  <si>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</si>
  <si>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</si>
  <si>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</si>
  <si>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</si>
  <si>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</si>
  <si>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</si>
  <si>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</si>
  <si>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</si>
  <si>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</si>
  <si>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</si>
  <si>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</si>
  <si>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</si>
  <si>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</si>
  <si>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</si>
  <si>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</si>
  <si>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</si>
  <si>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</si>
  <si>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</si>
  <si>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</si>
  <si>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</si>
  <si>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</si>
  <si>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</si>
  <si>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</si>
  <si>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</si>
  <si>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</si>
  <si>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</si>
  <si>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</si>
  <si>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</si>
  <si>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</si>
  <si>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</si>
  <si>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</si>
  <si>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</si>
  <si>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</si>
  <si>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</si>
  <si>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</si>
  <si>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</si>
  <si>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</si>
  <si>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</si>
  <si>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</si>
  <si>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</si>
  <si>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</si>
  <si>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</si>
  <si>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</si>
  <si>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</si>
  <si>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</si>
  <si>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</si>
  <si>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</si>
  <si>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</si>
  <si>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</si>
  <si>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</si>
  <si>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</si>
  <si>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</si>
  <si>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</si>
  <si>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</si>
  <si>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</si>
  <si>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</si>
  <si>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</si>
  <si>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</si>
  <si>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</si>
  <si>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</si>
  <si>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</si>
  <si>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</si>
  <si>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</si>
  <si>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</si>
  <si>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</si>
  <si>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</si>
  <si>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</si>
  <si>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</si>
  <si>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</si>
  <si>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</si>
  <si>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</si>
  <si>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</si>
  <si>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</si>
  <si>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</si>
  <si>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</si>
  <si>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</si>
  <si>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</si>
  <si>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</si>
  <si>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</si>
  <si>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</si>
  <si>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</si>
  <si>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</si>
  <si>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</si>
  <si>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</si>
  <si>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</si>
  <si>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</si>
  <si>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</si>
  <si>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</si>
  <si>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</si>
  <si>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</si>
  <si>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</si>
  <si>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</si>
  <si>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</si>
  <si>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</si>
  <si>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</si>
  <si>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</si>
  <si>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</si>
  <si>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</si>
  <si>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</si>
  <si>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</si>
  <si>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</si>
  <si>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</si>
  <si>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</si>
  <si>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</si>
  <si>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</si>
  <si>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</si>
  <si>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</si>
  <si>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</si>
  <si>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</si>
  <si>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</si>
  <si>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</si>
  <si>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</si>
  <si>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</si>
  <si>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</si>
  <si>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</si>
  <si>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</si>
  <si>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</si>
  <si>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</si>
  <si>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</si>
  <si>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</si>
  <si>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</si>
  <si>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</si>
  <si>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</si>
  <si>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</si>
  <si>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</si>
  <si>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</si>
  <si>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</si>
  <si>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</si>
  <si>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</si>
  <si>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</si>
  <si>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</si>
  <si>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</si>
  <si>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</si>
  <si>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</si>
  <si>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</si>
  <si>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</si>
  <si>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</si>
  <si>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</si>
  <si>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</si>
  <si>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</si>
  <si>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</si>
  <si>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</si>
  <si>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</si>
  <si>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</si>
  <si>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</si>
  <si>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</si>
  <si>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</si>
  <si>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</si>
  <si>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</si>
  <si>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</si>
  <si>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</si>
  <si>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</si>
  <si>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</si>
  <si>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</si>
  <si>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</si>
  <si>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</si>
  <si>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</si>
  <si>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</si>
  <si>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</si>
  <si>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</si>
  <si>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</si>
  <si>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</si>
  <si>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</si>
  <si>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</si>
  <si>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</si>
  <si>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</si>
  <si>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</si>
  <si>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</si>
  <si>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</si>
  <si>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</si>
  <si>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</si>
  <si>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</si>
  <si>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</si>
  <si>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</si>
  <si>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</si>
  <si>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</si>
  <si>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</si>
  <si>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</si>
  <si>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</si>
  <si>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</si>
  <si>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</si>
  <si>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</si>
  <si>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</si>
  <si>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</si>
  <si>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</si>
  <si>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</si>
  <si>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</si>
  <si>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</si>
  <si>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</si>
  <si>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</si>
  <si>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</si>
  <si>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</si>
  <si>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</si>
  <si>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</si>
  <si>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</si>
  <si>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</si>
  <si>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</si>
  <si>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</si>
  <si>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</si>
  <si>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</si>
  <si>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</si>
  <si>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</si>
  <si>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</si>
  <si>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</si>
  <si>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</si>
  <si>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</si>
  <si>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</si>
  <si>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</si>
  <si>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</si>
  <si>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</si>
  <si>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</si>
  <si>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</si>
  <si>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</si>
  <si>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</si>
  <si>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</si>
  <si>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</si>
  <si>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</si>
  <si>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</si>
  <si>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</si>
  <si>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</si>
  <si>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</si>
  <si>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</si>
  <si>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</si>
  <si>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</si>
  <si>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</si>
  <si>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</si>
  <si>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</si>
  <si>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</si>
  <si>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</si>
  <si>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</si>
  <si>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</si>
  <si>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</si>
  <si>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</si>
  <si>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</si>
  <si>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</si>
  <si>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</si>
  <si>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</si>
  <si>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</si>
  <si>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</si>
  <si>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</si>
  <si>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</si>
  <si>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</si>
  <si>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</si>
  <si>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</si>
  <si>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</si>
  <si>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</si>
  <si>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</si>
  <si>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</si>
  <si>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</si>
  <si>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</si>
  <si>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</si>
  <si>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</si>
  <si>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</si>
  <si>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</si>
  <si>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</si>
  <si>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</si>
  <si>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</si>
  <si>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</si>
  <si>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</si>
  <si>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</si>
  <si>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</si>
  <si>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</si>
  <si>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</si>
  <si>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</si>
  <si>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</si>
  <si>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</si>
  <si>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</si>
  <si>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</si>
  <si>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</si>
  <si>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</si>
  <si>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</si>
  <si>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</si>
  <si>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</si>
  <si>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</si>
  <si>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</si>
  <si>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</si>
  <si>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</si>
  <si>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</si>
  <si>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</si>
  <si>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</si>
  <si>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</si>
  <si>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</si>
  <si>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</si>
  <si>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</si>
  <si>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</si>
  <si>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</si>
  <si>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</si>
  <si>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</si>
  <si>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</si>
  <si>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</si>
  <si>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</si>
  <si>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</si>
  <si>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</si>
  <si>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</si>
  <si>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</si>
  <si>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</si>
  <si>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</si>
  <si>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</si>
  <si>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</si>
  <si>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</si>
  <si>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</si>
  <si>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</si>
  <si>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</si>
  <si>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</si>
  <si>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</si>
  <si>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</si>
  <si>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</si>
  <si>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</si>
  <si>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</si>
  <si>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</si>
  <si>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</si>
  <si>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</si>
  <si>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</si>
  <si>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</si>
  <si>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</si>
  <si>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</si>
  <si>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</si>
  <si>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</si>
  <si>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</si>
  <si>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</si>
  <si>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</si>
  <si>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</si>
  <si>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</si>
  <si>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</si>
  <si>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</si>
  <si>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</si>
  <si>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</si>
  <si>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</si>
  <si>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</si>
  <si>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</si>
  <si>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</si>
  <si>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</si>
  <si>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</si>
  <si>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</si>
  <si>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</si>
  <si>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</si>
  <si>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</si>
  <si>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</si>
  <si>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</si>
  <si>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</si>
  <si>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</si>
  <si>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</si>
  <si>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</si>
  <si>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</si>
  <si>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</si>
  <si>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</si>
  <si>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</si>
  <si>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</si>
  <si>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</si>
  <si>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</si>
  <si>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</si>
  <si>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</si>
  <si>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</si>
  <si>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</si>
  <si>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</si>
  <si>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</si>
  <si>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</si>
  <si>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</si>
  <si>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</si>
  <si>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</si>
  <si>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</si>
  <si>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</si>
  <si>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</si>
  <si>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</si>
  <si>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</si>
  <si>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</si>
  <si>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</si>
  <si>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</si>
  <si>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</si>
  <si>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</si>
  <si>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</si>
  <si>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</si>
  <si>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</si>
  <si>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</si>
  <si>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</si>
  <si>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</si>
  <si>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</si>
  <si>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</si>
  <si>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</si>
  <si>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</si>
  <si>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</si>
  <si>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</si>
  <si>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</si>
  <si>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</si>
  <si>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</si>
  <si>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</si>
  <si>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</si>
  <si>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</si>
  <si>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</si>
  <si>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</si>
  <si>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</si>
  <si>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</si>
  <si>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</si>
  <si>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</si>
  <si>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</si>
  <si>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</si>
  <si>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</si>
  <si>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</si>
  <si>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</si>
  <si>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</si>
  <si>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</si>
  <si>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</si>
  <si>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</si>
  <si>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</si>
  <si>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</si>
  <si>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</si>
  <si>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</si>
  <si>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</si>
  <si>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</si>
  <si>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</si>
  <si>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</si>
  <si>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</si>
  <si>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</si>
  <si>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</si>
  <si>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</si>
  <si>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</si>
  <si>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</si>
  <si>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</si>
  <si>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</si>
  <si>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</si>
  <si>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</si>
  <si>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</si>
  <si>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</si>
  <si>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</si>
  <si>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</si>
  <si>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</si>
  <si>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</si>
  <si>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</si>
  <si>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</si>
  <si>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</si>
  <si>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</si>
  <si>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</si>
  <si>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</si>
  <si>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</si>
  <si>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</si>
  <si>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</si>
  <si>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</si>
  <si>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</si>
  <si>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</si>
  <si>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</si>
  <si>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</si>
  <si>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</si>
  <si>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</si>
  <si>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</si>
  <si>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</si>
  <si>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</si>
  <si>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</si>
  <si>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</si>
  <si>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</si>
  <si>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</si>
  <si>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</si>
  <si>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</si>
  <si>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</si>
  <si>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</si>
  <si>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</si>
  <si>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</si>
  <si>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</si>
  <si>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</si>
  <si>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</si>
  <si>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</si>
  <si>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</si>
  <si>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</si>
  <si>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</si>
  <si>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</si>
  <si>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</si>
  <si>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</si>
  <si>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</si>
  <si>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</si>
  <si>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</si>
  <si>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</si>
  <si>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</si>
  <si>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</si>
  <si>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</si>
  <si>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</si>
  <si>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</si>
  <si>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</si>
  <si>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</si>
  <si>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</si>
  <si>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</si>
  <si>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</si>
  <si>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</si>
  <si>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</si>
  <si>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</si>
  <si>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</si>
  <si>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</si>
  <si>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</si>
  <si>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</si>
  <si>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</si>
  <si>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</si>
  <si>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</si>
  <si>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</si>
  <si>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</si>
  <si>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</si>
  <si>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</si>
  <si>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</si>
  <si>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</si>
  <si>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</si>
  <si>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</si>
  <si>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</si>
  <si>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</si>
  <si>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</si>
  <si>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</si>
  <si>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</si>
  <si>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</si>
  <si>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</si>
  <si>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</si>
  <si>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</si>
  <si>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</si>
  <si>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</si>
  <si>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</si>
  <si>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</si>
  <si>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</si>
  <si>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</si>
  <si>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</si>
  <si>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</si>
  <si>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</si>
  <si>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</si>
  <si>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</si>
  <si>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</si>
  <si>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</si>
  <si>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</si>
  <si>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</si>
  <si>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</si>
  <si>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</si>
  <si>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</si>
  <si>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</si>
  <si>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</si>
  <si>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</si>
  <si>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</si>
  <si>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</si>
  <si>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</si>
  <si>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</si>
  <si>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</si>
  <si>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</si>
  <si>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</si>
  <si>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</si>
  <si>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</si>
  <si>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</si>
  <si>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</si>
  <si>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</si>
  <si>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</si>
  <si>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</si>
  <si>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</si>
  <si>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</si>
  <si>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</si>
  <si>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</si>
  <si>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</si>
  <si>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</si>
  <si>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</si>
  <si>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</si>
  <si>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</si>
  <si>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</si>
  <si>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</si>
  <si>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</si>
  <si>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</si>
  <si>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</si>
  <si>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</si>
  <si>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</si>
  <si>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</si>
  <si>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</si>
  <si>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</si>
  <si>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</si>
  <si>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</si>
  <si>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</si>
  <si>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</si>
  <si>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</si>
  <si>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</si>
  <si>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</si>
  <si>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</si>
  <si>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</si>
  <si>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</si>
  <si>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</si>
  <si>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</si>
  <si>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</si>
  <si>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</si>
  <si>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</si>
  <si>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</si>
  <si>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</si>
  <si>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</si>
  <si>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</si>
  <si>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</si>
  <si>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</si>
  <si>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</si>
  <si>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</si>
  <si>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</si>
  <si>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</si>
  <si>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</si>
  <si>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</si>
  <si>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</si>
  <si>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</si>
  <si>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</si>
  <si>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</si>
  <si>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</si>
  <si>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</si>
  <si>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</si>
  <si>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</si>
  <si>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</si>
  <si>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</si>
  <si>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</si>
  <si>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</si>
  <si>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</si>
  <si>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</si>
  <si>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</si>
  <si>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</si>
  <si>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</si>
  <si>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</si>
  <si>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</si>
  <si>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</si>
  <si>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</si>
  <si>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</si>
  <si>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</si>
  <si>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</si>
  <si>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</si>
  <si>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</si>
  <si>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</si>
  <si>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</si>
  <si>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</si>
  <si>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</si>
  <si>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</si>
  <si>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</si>
  <si>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</si>
  <si>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</si>
  <si>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</si>
  <si>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</si>
  <si>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</si>
  <si>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</si>
  <si>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</si>
  <si>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</si>
  <si>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</si>
  <si>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</si>
  <si>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</si>
  <si>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</si>
  <si>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</si>
  <si>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</si>
  <si>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</si>
  <si>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</si>
  <si>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</si>
  <si>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</si>
  <si>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</si>
  <si>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</si>
  <si>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</si>
  <si>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</si>
  <si>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</si>
  <si>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</si>
  <si>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</si>
  <si>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</si>
  <si>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</si>
  <si>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</si>
  <si>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</si>
  <si>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</si>
  <si>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</si>
  <si>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</si>
  <si>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</si>
  <si>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</si>
  <si>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</si>
  <si>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</si>
  <si>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</si>
  <si>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</si>
  <si>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</si>
  <si>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</si>
  <si>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</si>
  <si>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</si>
  <si>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</si>
  <si>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</si>
  <si>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</si>
  <si>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</si>
  <si>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</si>
  <si>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</si>
  <si>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</si>
  <si>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</si>
  <si>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</si>
  <si>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</si>
  <si>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</si>
  <si>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</si>
  <si>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</si>
  <si>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</si>
  <si>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</si>
  <si>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</si>
  <si>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</si>
  <si>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</si>
  <si>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</si>
  <si>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</si>
  <si>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</si>
  <si>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</si>
  <si>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</si>
  <si>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</si>
  <si>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</si>
  <si>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</si>
  <si>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</si>
  <si>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</si>
  <si>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</si>
  <si>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</si>
  <si>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</si>
  <si>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</si>
  <si>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</si>
  <si>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</si>
  <si>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</si>
  <si>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</si>
  <si>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</si>
  <si>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</si>
  <si>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</si>
  <si>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</si>
  <si>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</si>
  <si>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</si>
  <si>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</si>
  <si>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</si>
  <si>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</si>
  <si>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</si>
  <si>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</si>
  <si>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</si>
  <si>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</si>
  <si>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</si>
  <si>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</si>
  <si>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</si>
  <si>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</si>
  <si>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</si>
  <si>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</si>
  <si>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</si>
  <si>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</si>
  <si>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</si>
  <si>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</si>
  <si>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</si>
  <si>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</si>
  <si>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</si>
  <si>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</si>
  <si>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</si>
  <si>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</si>
  <si>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</si>
  <si>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</si>
  <si>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</si>
  <si>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</si>
  <si>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</si>
  <si>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</si>
  <si>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</si>
  <si>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</si>
  <si>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</si>
  <si>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</si>
  <si>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</si>
  <si>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</si>
  <si>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</si>
  <si>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</si>
  <si>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</si>
  <si>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</si>
  <si>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</si>
  <si>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</si>
  <si>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</si>
  <si>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</si>
  <si>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</si>
  <si>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</si>
  <si>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</si>
  <si>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</si>
  <si>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</si>
  <si>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</si>
  <si>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</si>
  <si>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</si>
  <si>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</si>
  <si>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</si>
  <si>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</si>
  <si>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</si>
  <si>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</si>
  <si>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</si>
  <si>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</si>
  <si>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</si>
  <si>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</si>
  <si>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</si>
  <si>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</si>
  <si>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</si>
  <si>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</si>
  <si>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</si>
  <si>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</si>
  <si>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</si>
  <si>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</si>
  <si>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</si>
  <si>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</si>
  <si>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</si>
  <si>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</si>
  <si>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</si>
  <si>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</si>
  <si>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</si>
  <si>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</si>
  <si>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</si>
  <si>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</si>
  <si>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</si>
  <si>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</si>
  <si>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</si>
  <si>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</si>
  <si>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</si>
  <si>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</si>
  <si>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</si>
  <si>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</si>
  <si>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</si>
  <si>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</si>
  <si>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</si>
  <si>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</si>
  <si>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</si>
  <si>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</si>
  <si>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</si>
  <si>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</si>
  <si>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</si>
  <si>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</si>
  <si>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</si>
  <si>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</si>
  <si>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</si>
  <si>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</si>
  <si>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</si>
  <si>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</si>
  <si>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</si>
  <si>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</si>
  <si>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</si>
  <si>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</si>
  <si>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</si>
  <si>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</si>
  <si>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</si>
  <si>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</si>
  <si>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</si>
  <si>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</si>
  <si>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</si>
  <si>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</si>
  <si>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</si>
  <si>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</si>
  <si>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</si>
  <si>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</si>
  <si>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</si>
  <si>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</si>
  <si>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</si>
  <si>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</si>
  <si>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</si>
  <si>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</si>
  <si>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</si>
  <si>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</si>
  <si>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</si>
  <si>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</si>
  <si>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</si>
  <si>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</si>
  <si>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</si>
  <si>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</si>
  <si>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</si>
  <si>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</si>
  <si>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</si>
  <si>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</si>
  <si>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</si>
  <si>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</si>
  <si>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</si>
  <si>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</si>
  <si>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</si>
  <si>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</si>
  <si>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</si>
  <si>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</si>
  <si>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</si>
  <si>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</si>
  <si>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</si>
  <si>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</si>
  <si>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</si>
  <si>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</si>
  <si>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</si>
  <si>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</si>
  <si>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</si>
  <si>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</si>
  <si>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</si>
  <si>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</si>
  <si>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</si>
  <si>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</si>
  <si>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</si>
  <si>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</si>
  <si>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</si>
  <si>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</si>
  <si>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</si>
  <si>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</si>
  <si>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</si>
  <si>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</si>
  <si>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</si>
  <si>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</si>
  <si>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</si>
  <si>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</si>
  <si>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</si>
  <si>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</si>
  <si>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</si>
  <si>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</si>
  <si>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</si>
  <si>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</si>
  <si>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</si>
  <si>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</si>
  <si>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</si>
  <si>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</si>
  <si>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</si>
  <si>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</si>
  <si>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</si>
  <si>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</si>
  <si>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</si>
  <si>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</si>
  <si>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</si>
  <si>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</si>
  <si>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</si>
  <si>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</si>
  <si>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</si>
  <si>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</si>
  <si>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</si>
  <si>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</si>
  <si>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</si>
  <si>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</si>
  <si>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</si>
  <si>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</si>
  <si>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</si>
  <si>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</si>
  <si>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</si>
  <si>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</si>
  <si>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</si>
  <si>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</si>
  <si>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</si>
  <si>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</si>
  <si>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</si>
  <si>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</si>
  <si>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</si>
  <si>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</si>
  <si>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</si>
  <si>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</si>
  <si>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</si>
  <si>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</si>
  <si>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</si>
  <si>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</si>
  <si>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</si>
  <si>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</si>
  <si>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</si>
  <si>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</si>
  <si>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</si>
  <si>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</si>
  <si>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</si>
  <si>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</si>
  <si>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</si>
  <si>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</si>
  <si>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</si>
  <si>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</si>
  <si>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</si>
  <si>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</si>
  <si>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</si>
  <si>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</si>
  <si>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</si>
  <si>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</si>
  <si>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</si>
  <si>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</si>
  <si>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</si>
  <si>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</si>
  <si>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</si>
  <si>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</si>
  <si>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</si>
  <si>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</si>
  <si>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</si>
  <si>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</si>
  <si>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</si>
  <si>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</si>
  <si>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</si>
  <si>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</si>
  <si>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</si>
  <si>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</si>
  <si>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</si>
  <si>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</si>
  <si>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</si>
  <si>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</si>
  <si>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</si>
  <si>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</si>
  <si>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</si>
  <si>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</si>
  <si>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</si>
  <si>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</si>
  <si>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</si>
  <si>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</si>
  <si>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</si>
  <si>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</si>
  <si>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</si>
  <si>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</si>
  <si>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</si>
  <si>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</si>
  <si>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</si>
  <si>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</si>
  <si>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</si>
  <si>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</si>
  <si>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</si>
  <si>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</si>
  <si>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</si>
  <si>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</si>
  <si>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</si>
  <si>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</si>
  <si>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</si>
  <si>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</si>
  <si>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</si>
  <si>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</si>
  <si>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</si>
  <si>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</si>
  <si>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</si>
  <si>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</si>
  <si>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</si>
  <si>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</si>
  <si>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</si>
  <si>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</si>
  <si>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</si>
  <si>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</si>
  <si>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</si>
  <si>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</si>
  <si>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</si>
  <si>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</si>
  <si>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</si>
  <si>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</si>
  <si>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</si>
  <si>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</si>
  <si>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</si>
  <si>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</si>
  <si>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</si>
  <si>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</si>
  <si>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</si>
  <si>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</si>
  <si>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</si>
  <si>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</si>
  <si>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</si>
  <si>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</si>
  <si>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</si>
  <si>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</si>
  <si>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</si>
  <si>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</si>
  <si>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</si>
  <si>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</si>
  <si>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</si>
  <si>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</si>
  <si>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</si>
  <si>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</si>
  <si>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</si>
  <si>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</si>
  <si>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</si>
  <si>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</si>
  <si>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</si>
  <si>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</si>
  <si>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</si>
  <si>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</si>
  <si>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</si>
  <si>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</si>
  <si>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</si>
  <si>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</si>
  <si>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</si>
  <si>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</si>
  <si>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</si>
  <si>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</si>
  <si>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</si>
  <si>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</si>
  <si>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</si>
  <si>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</si>
  <si>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</si>
  <si>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</si>
  <si>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</si>
  <si>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</si>
  <si>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</si>
  <si>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</si>
  <si>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</si>
  <si>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</si>
  <si>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</si>
  <si>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</si>
  <si>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</si>
  <si>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</si>
  <si>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</si>
  <si>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</si>
  <si>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</si>
  <si>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</si>
  <si>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</si>
  <si>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</si>
  <si>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</si>
  <si>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</si>
  <si>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</si>
  <si>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</si>
  <si>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</si>
  <si>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</si>
  <si>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</si>
  <si>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</si>
  <si>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</si>
  <si>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</si>
  <si>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</si>
  <si>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</si>
  <si>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</si>
  <si>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</si>
  <si>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</si>
  <si>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</si>
  <si>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</si>
  <si>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</si>
  <si>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</si>
  <si>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</si>
  <si>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</si>
  <si>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</si>
  <si>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</si>
  <si>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</si>
  <si>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</si>
  <si>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</si>
  <si>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</si>
  <si>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</si>
  <si>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</si>
  <si>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</si>
  <si>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</si>
  <si>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</si>
  <si>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</si>
  <si>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</si>
  <si>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</si>
  <si>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</si>
  <si>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</si>
  <si>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</si>
  <si>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</si>
  <si>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</si>
  <si>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</si>
  <si>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</si>
  <si>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</si>
  <si>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</si>
  <si>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</si>
  <si>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</si>
  <si>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</si>
  <si>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</si>
  <si>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</si>
  <si>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</si>
  <si>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</si>
  <si>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</si>
  <si>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</si>
  <si>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</si>
  <si>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</si>
  <si>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</si>
  <si>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</si>
  <si>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</si>
  <si>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</si>
  <si>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</si>
  <si>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</si>
  <si>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</si>
  <si>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</si>
  <si>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</si>
  <si>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</si>
  <si>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</si>
  <si>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</si>
  <si>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</si>
  <si>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</si>
  <si>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</si>
  <si>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</si>
  <si>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</si>
  <si>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</si>
  <si>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</si>
  <si>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</si>
  <si>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</si>
  <si>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</si>
  <si>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</si>
  <si>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</si>
  <si>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</si>
  <si>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</si>
  <si>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</si>
  <si>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</si>
  <si>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</si>
  <si>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</si>
  <si>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</si>
  <si>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</si>
  <si>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</si>
  <si>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</si>
  <si>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</si>
  <si>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</si>
  <si>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</si>
  <si>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</si>
  <si>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</si>
  <si>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</si>
  <si>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</si>
  <si>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</si>
  <si>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</si>
  <si>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</si>
  <si>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</si>
  <si>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</si>
  <si>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</si>
  <si>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</si>
  <si>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</si>
  <si>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</si>
  <si>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</si>
  <si>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</si>
  <si>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</si>
  <si>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</si>
  <si>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</si>
  <si>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</si>
  <si>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</si>
  <si>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</si>
  <si>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</si>
  <si>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</si>
  <si>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</si>
  <si>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</si>
  <si>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</si>
  <si>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</si>
  <si>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</si>
  <si>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</si>
  <si>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</si>
  <si>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</si>
  <si>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</si>
  <si>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</si>
  <si>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</si>
  <si>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</si>
  <si>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</si>
  <si>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</si>
  <si>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</si>
  <si>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</si>
  <si>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</si>
  <si>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</si>
  <si>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</si>
  <si>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</si>
  <si>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</si>
  <si>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</si>
  <si>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</si>
  <si>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</si>
  <si>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</si>
  <si>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</si>
  <si>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</si>
  <si>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</si>
  <si>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</si>
  <si>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</si>
  <si>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</si>
  <si>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</si>
  <si>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</si>
  <si>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</si>
  <si>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</si>
  <si>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</si>
  <si>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</si>
  <si>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</si>
  <si>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</si>
  <si>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</si>
  <si>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</si>
  <si>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</si>
  <si>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</si>
  <si>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</si>
  <si>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</si>
  <si>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</si>
  <si>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</si>
  <si>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</si>
  <si>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</si>
  <si>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</si>
  <si>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</si>
  <si>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</si>
  <si>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</si>
  <si>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</si>
  <si>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</si>
  <si>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</si>
  <si>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</si>
  <si>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</si>
  <si>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</si>
  <si>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</si>
  <si>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</si>
  <si>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</si>
  <si>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</si>
  <si>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</si>
  <si>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</si>
  <si>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</si>
  <si>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</si>
  <si>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</si>
  <si>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</si>
  <si>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</si>
  <si>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</si>
  <si>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</si>
  <si>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</si>
  <si>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</si>
  <si>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</si>
  <si>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</si>
  <si>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</si>
  <si>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</si>
  <si>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</si>
  <si>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</si>
  <si>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</si>
  <si>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</si>
  <si>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</si>
  <si>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</si>
  <si>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</si>
  <si>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</si>
  <si>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</si>
  <si>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</si>
  <si>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</si>
  <si>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</si>
  <si>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</si>
  <si>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</si>
  <si>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</si>
  <si>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</si>
  <si>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</si>
  <si>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</si>
  <si>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</si>
  <si>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</si>
  <si>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</si>
  <si>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</si>
  <si>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</si>
  <si>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</si>
  <si>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</si>
  <si>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</si>
  <si>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</si>
  <si>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</si>
  <si>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</si>
  <si>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</si>
  <si>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</si>
  <si>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</si>
  <si>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</si>
  <si>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</si>
  <si>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</si>
  <si>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</si>
  <si>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</si>
  <si>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</si>
  <si>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</si>
  <si>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</si>
  <si>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</si>
  <si>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</si>
  <si>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</si>
  <si>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</si>
  <si>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</si>
  <si>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</si>
  <si>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</si>
  <si>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</si>
  <si>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</si>
  <si>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</si>
  <si>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</si>
  <si>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</si>
  <si>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</si>
  <si>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</si>
  <si>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</si>
  <si>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</si>
  <si>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</si>
  <si>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</si>
  <si>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</si>
  <si>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</si>
  <si>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</si>
  <si>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</si>
  <si>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</si>
  <si>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</si>
  <si>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</si>
  <si>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</si>
  <si>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</si>
  <si>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</si>
  <si>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</si>
  <si>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</si>
  <si>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</si>
  <si>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</si>
  <si>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</si>
  <si>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</si>
  <si>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</si>
  <si>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</si>
  <si>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</si>
  <si>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</si>
  <si>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</si>
  <si>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</si>
  <si>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</si>
  <si>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</si>
  <si>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</si>
  <si>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</si>
  <si>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</si>
  <si>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</si>
  <si>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</si>
  <si>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</si>
  <si>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</si>
  <si>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</si>
  <si>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</si>
  <si>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</si>
  <si>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</si>
  <si>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</si>
  <si>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</si>
  <si>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</si>
  <si>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</si>
  <si>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</si>
  <si>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</si>
  <si>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</si>
  <si>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</si>
  <si>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</si>
  <si>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</si>
  <si>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</si>
  <si>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</si>
  <si>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</si>
  <si>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</si>
  <si>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</si>
  <si>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</si>
  <si>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</si>
  <si>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</si>
  <si>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</si>
  <si>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</si>
  <si>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</si>
  <si>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</si>
  <si>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</si>
  <si>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</si>
  <si>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</si>
  <si>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</si>
  <si>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</si>
  <si>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</si>
  <si>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</si>
  <si>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</si>
  <si>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</si>
  <si>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</si>
  <si>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</si>
  <si>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</si>
  <si>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</si>
  <si>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</si>
  <si>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</si>
  <si>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</si>
  <si>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</si>
  <si>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</si>
  <si>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</si>
  <si>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</si>
  <si>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</si>
  <si>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</si>
  <si>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</si>
  <si>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</si>
  <si>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</si>
  <si>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</si>
  <si>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</si>
  <si>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</si>
  <si>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</si>
  <si>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</si>
  <si>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</si>
  <si>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</si>
  <si>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</si>
  <si>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</si>
  <si>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</si>
  <si>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</si>
  <si>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</si>
  <si>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</si>
  <si>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</si>
  <si>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</si>
  <si>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</si>
  <si>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</si>
  <si>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</si>
  <si>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</si>
  <si>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</si>
  <si>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</si>
  <si>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</si>
  <si>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</si>
  <si>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</si>
  <si>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</si>
  <si>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</si>
  <si>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</si>
  <si>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</si>
  <si>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</si>
  <si>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</si>
  <si>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</si>
  <si>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</si>
  <si>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</si>
  <si>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</si>
  <si>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</si>
  <si>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</si>
  <si>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</si>
  <si>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</si>
  <si>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</si>
  <si>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</si>
  <si>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</si>
  <si>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</si>
  <si>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</si>
  <si>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</si>
  <si>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</si>
  <si>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</si>
  <si>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</si>
  <si>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</si>
  <si>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</si>
  <si>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</si>
  <si>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</si>
  <si>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</si>
  <si>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</si>
  <si>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</si>
  <si>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</si>
  <si>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</si>
  <si>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</si>
  <si>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</si>
  <si>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</si>
  <si>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</si>
  <si>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</si>
  <si>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</si>
  <si>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</si>
  <si>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</si>
  <si>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</si>
  <si>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</si>
  <si>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</si>
  <si>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</si>
  <si>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</si>
  <si>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</si>
  <si>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</si>
  <si>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</si>
  <si>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</si>
  <si>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</si>
  <si>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</si>
  <si>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</si>
  <si>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</si>
  <si>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</si>
  <si>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</si>
  <si>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</si>
  <si>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</si>
  <si>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</si>
  <si>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</si>
  <si>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</si>
  <si>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</si>
  <si>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</si>
  <si>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</si>
  <si>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</si>
  <si>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</si>
  <si>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</si>
  <si>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</si>
  <si>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</si>
  <si>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</si>
  <si>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</si>
  <si>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</si>
  <si>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</si>
  <si>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</si>
  <si>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</si>
  <si>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</si>
  <si>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</si>
  <si>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</si>
  <si>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</si>
  <si>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</si>
  <si>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</si>
  <si>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</si>
  <si>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</si>
  <si>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</si>
  <si>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</si>
  <si>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</si>
  <si>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</si>
  <si>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</si>
  <si>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</si>
  <si>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</si>
  <si>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</si>
  <si>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</si>
  <si>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</si>
  <si>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</si>
  <si>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</si>
  <si>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</si>
  <si>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</si>
  <si>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</si>
  <si>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</si>
  <si>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</si>
  <si>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</si>
  <si>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</si>
  <si>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</si>
  <si>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</si>
  <si>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</si>
  <si>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</si>
  <si>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</si>
  <si>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</si>
  <si>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</si>
  <si>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</si>
  <si>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</si>
  <si>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</si>
  <si>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</si>
  <si>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</si>
  <si>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</si>
  <si>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</si>
  <si>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</si>
  <si>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</si>
  <si>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</si>
  <si>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</si>
  <si>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</si>
  <si>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</si>
  <si>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</si>
  <si>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</si>
  <si>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</si>
  <si>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</si>
  <si>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</si>
  <si>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</si>
  <si>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</si>
  <si>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</si>
  <si>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</si>
  <si>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</si>
  <si>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</si>
  <si>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</si>
  <si>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</si>
  <si>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</si>
  <si>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</si>
  <si>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</si>
  <si>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</si>
  <si>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</si>
  <si>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</si>
  <si>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</si>
  <si>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</si>
  <si>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</si>
  <si>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</si>
  <si>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</si>
  <si>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</si>
  <si>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</si>
  <si>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</si>
  <si>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</si>
  <si>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</si>
  <si>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</si>
  <si>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</si>
  <si>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</si>
  <si>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</si>
  <si>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</si>
  <si>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</si>
  <si>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</si>
  <si>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</si>
  <si>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</si>
  <si>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</si>
  <si>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</si>
  <si>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</si>
  <si>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</si>
  <si>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</si>
  <si>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</si>
  <si>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</si>
  <si>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</si>
  <si>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</si>
  <si>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</si>
  <si>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</si>
  <si>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</si>
  <si>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</si>
  <si>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</si>
  <si>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</si>
  <si>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</si>
  <si>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</si>
  <si>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</si>
  <si>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</si>
  <si>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</si>
  <si>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</si>
  <si>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</si>
  <si>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</si>
  <si>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</si>
  <si>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</si>
  <si>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</si>
  <si>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</si>
  <si>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</si>
  <si>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</si>
  <si>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</si>
  <si>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</si>
  <si>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</si>
  <si>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</si>
  <si>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</si>
  <si>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</si>
  <si>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</si>
  <si>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</si>
  <si>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</si>
  <si>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</si>
  <si>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</si>
  <si>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</si>
  <si>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</si>
  <si>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</si>
  <si>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</si>
  <si>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</si>
  <si>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</si>
  <si>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</si>
  <si>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</si>
  <si>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</si>
  <si>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</si>
  <si>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</si>
  <si>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</si>
  <si>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</si>
  <si>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</si>
  <si>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</si>
  <si>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</si>
  <si>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</si>
  <si>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</si>
  <si>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</si>
  <si>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</si>
  <si>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</si>
  <si>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</si>
  <si>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</si>
  <si>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</si>
  <si>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</si>
  <si>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</si>
  <si>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</si>
  <si>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</si>
  <si>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</si>
  <si>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</si>
  <si>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</si>
  <si>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</si>
  <si>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</si>
  <si>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</si>
  <si>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</si>
  <si>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</si>
  <si>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</si>
  <si>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</si>
  <si>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</si>
  <si>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</si>
  <si>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</si>
  <si>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</si>
  <si>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</si>
  <si>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</si>
  <si>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</si>
  <si>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</si>
  <si>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</si>
  <si>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</si>
  <si>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</si>
  <si>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</si>
  <si>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</si>
  <si>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</si>
  <si>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</si>
  <si>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</si>
  <si>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</si>
  <si>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</si>
  <si>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</si>
  <si>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</si>
  <si>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</si>
  <si>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</si>
  <si>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</si>
  <si>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</si>
  <si>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</si>
  <si>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</si>
  <si>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</si>
  <si>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</si>
  <si>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</si>
  <si>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</si>
  <si>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</si>
  <si>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</si>
  <si>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</si>
  <si>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</si>
  <si>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</si>
  <si>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</si>
  <si>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</si>
  <si>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</si>
  <si>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</si>
  <si>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</si>
  <si>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</si>
  <si>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</si>
  <si>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</si>
  <si>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</si>
  <si>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</si>
  <si>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</si>
  <si>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</si>
  <si>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</si>
  <si>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</si>
  <si>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</si>
  <si>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</si>
  <si>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</si>
  <si>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</si>
  <si>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</si>
  <si>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</si>
  <si>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</si>
  <si>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</si>
  <si>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</si>
  <si>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</si>
  <si>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</si>
  <si>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</si>
  <si>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</si>
  <si>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</si>
  <si>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</si>
  <si>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</si>
  <si>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</si>
  <si>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</si>
  <si>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</si>
  <si>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</si>
  <si>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</si>
  <si>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</si>
  <si>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</si>
  <si>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</si>
  <si>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</si>
  <si>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</si>
  <si>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</si>
  <si>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</si>
  <si>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</si>
  <si>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</si>
  <si>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</si>
  <si>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</si>
  <si>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</si>
  <si>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</si>
  <si>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</si>
  <si>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</si>
  <si>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</si>
  <si>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</si>
  <si>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</si>
  <si>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</si>
  <si>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</si>
  <si>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</si>
  <si>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</si>
  <si>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</si>
  <si>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</si>
  <si>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</si>
  <si>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</si>
  <si>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</si>
  <si>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</si>
  <si>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</si>
  <si>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</si>
  <si>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</si>
  <si>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</si>
  <si>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</si>
  <si>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</si>
  <si>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</si>
  <si>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</si>
  <si>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</si>
  <si>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</si>
  <si>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</si>
  <si>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</si>
  <si>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</si>
  <si>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</si>
  <si>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</si>
  <si>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</si>
  <si>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</si>
  <si>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</si>
  <si>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</si>
  <si>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</si>
  <si>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</si>
  <si>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</si>
  <si>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</si>
  <si>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</si>
  <si>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</si>
  <si>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</si>
  <si>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</si>
  <si>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</si>
  <si>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</si>
  <si>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</si>
  <si>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</si>
  <si>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</si>
  <si>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</si>
  <si>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</si>
  <si>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</si>
  <si>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</si>
  <si>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</si>
  <si>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</si>
  <si>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办公楼</t>
  </si>
  <si>
    <t>独立商业</t>
  </si>
  <si>
    <t>办公</t>
    <phoneticPr fontId="7" type="noConversion"/>
  </si>
  <si>
    <t>收益法 (车位)</t>
    <phoneticPr fontId="17" type="noConversion"/>
  </si>
  <si>
    <t>收益法 (办公)</t>
  </si>
  <si>
    <t>收益法 (办公)</t>
    <phoneticPr fontId="17" type="noConversion"/>
  </si>
  <si>
    <t>收益法（商业）</t>
  </si>
  <si>
    <t>收益法（商业）</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</si>
  <si>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</si>
  <si>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</si>
  <si>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</si>
  <si>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</si>
  <si>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</si>
  <si>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</si>
  <si>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</si>
  <si>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</si>
  <si>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2.估价师知悉的法定优先受偿款</t>
  </si>
  <si>
    <t>房地产抵押价值</t>
  </si>
  <si>
    <t>已注销</t>
  </si>
  <si>
    <t>地类判定</t>
  </si>
  <si>
    <t>现房</t>
  </si>
  <si>
    <t>项目局部</t>
  </si>
  <si>
    <t>Ⅵ-海淀环保园</t>
  </si>
  <si>
    <r>
      <t>37.28</t>
    </r>
    <r>
      <rPr>
        <sz val="11"/>
        <color indexed="8"/>
        <rFont val="宋体"/>
        <family val="3"/>
        <charset val="134"/>
      </rPr>
      <t>、</t>
    </r>
    <r>
      <rPr>
        <sz val="11"/>
        <color indexed="8"/>
        <rFont val="Arial"/>
        <family val="2"/>
      </rPr>
      <t>47.28</t>
    </r>
    <phoneticPr fontId="45" type="noConversion"/>
  </si>
  <si>
    <t>土地证面积</t>
    <phoneticPr fontId="206" type="noConversion"/>
  </si>
  <si>
    <t>房产证面积</t>
    <phoneticPr fontId="206" type="noConversion"/>
  </si>
  <si>
    <t>2号楼</t>
    <phoneticPr fontId="206" type="noConversion"/>
  </si>
  <si>
    <t>1号楼</t>
    <phoneticPr fontId="206" type="noConversion"/>
  </si>
  <si>
    <t>证载面积</t>
    <phoneticPr fontId="206" type="noConversion"/>
  </si>
  <si>
    <t>抵押面积</t>
    <phoneticPr fontId="206" type="noConversion"/>
  </si>
  <si>
    <t>证载面积</t>
    <phoneticPr fontId="206" type="noConversion"/>
  </si>
  <si>
    <t>自行计算分摊</t>
    <phoneticPr fontId="206" type="noConversion"/>
  </si>
  <si>
    <t>企业提供分摊</t>
    <phoneticPr fontId="206" type="noConversion"/>
  </si>
  <si>
    <t>抵押物清单</t>
    <phoneticPr fontId="206" type="noConversion"/>
  </si>
  <si>
    <t>房号</t>
    <phoneticPr fontId="206" type="noConversion"/>
  </si>
  <si>
    <t>建筑面积</t>
    <phoneticPr fontId="206" type="noConversion"/>
  </si>
  <si>
    <t>用途</t>
    <phoneticPr fontId="206" type="noConversion"/>
  </si>
  <si>
    <t>北大荒</t>
    <phoneticPr fontId="206" type="noConversion"/>
  </si>
  <si>
    <t>租户</t>
    <phoneticPr fontId="206" type="noConversion"/>
  </si>
  <si>
    <t>商业</t>
    <phoneticPr fontId="206" type="noConversion"/>
  </si>
  <si>
    <t>泰济堂</t>
    <phoneticPr fontId="206" type="noConversion"/>
  </si>
  <si>
    <r>
      <t>102</t>
    </r>
    <r>
      <rPr>
        <sz val="11"/>
        <color theme="1"/>
        <rFont val="宋体"/>
        <family val="3"/>
        <charset val="134"/>
        <scheme val="minor"/>
      </rPr>
      <t>A</t>
    </r>
    <phoneticPr fontId="206" type="noConversion"/>
  </si>
  <si>
    <t>非同</t>
    <phoneticPr fontId="206" type="noConversion"/>
  </si>
  <si>
    <t>二房东</t>
    <phoneticPr fontId="206" type="noConversion"/>
  </si>
  <si>
    <t>大喜龙虾</t>
    <phoneticPr fontId="206" type="noConversion"/>
  </si>
  <si>
    <t>游龙之</t>
    <phoneticPr fontId="206" type="noConversion"/>
  </si>
  <si>
    <t>老家肉饼</t>
    <phoneticPr fontId="206" type="noConversion"/>
  </si>
  <si>
    <t>酒店大堂</t>
    <phoneticPr fontId="206" type="noConversion"/>
  </si>
  <si>
    <r>
      <t>1</t>
    </r>
    <r>
      <rPr>
        <sz val="11"/>
        <color theme="1"/>
        <rFont val="宋体"/>
        <family val="3"/>
        <charset val="134"/>
        <scheme val="minor"/>
      </rPr>
      <t>02D</t>
    </r>
    <phoneticPr fontId="206" type="noConversion"/>
  </si>
  <si>
    <t>酒店餐厅</t>
    <phoneticPr fontId="206" type="noConversion"/>
  </si>
  <si>
    <t>酒店</t>
  </si>
  <si>
    <t>酒店</t>
    <phoneticPr fontId="206" type="noConversion"/>
  </si>
  <si>
    <t>办公</t>
    <phoneticPr fontId="206" type="noConversion"/>
  </si>
  <si>
    <t>美发</t>
    <phoneticPr fontId="206" type="noConversion"/>
  </si>
  <si>
    <t>写字楼大堂+快印</t>
    <phoneticPr fontId="206" type="noConversion"/>
  </si>
  <si>
    <t>药店</t>
    <phoneticPr fontId="206" type="noConversion"/>
  </si>
  <si>
    <t>我爱我家</t>
    <phoneticPr fontId="206" type="noConversion"/>
  </si>
  <si>
    <t>麦田</t>
    <phoneticPr fontId="206" type="noConversion"/>
  </si>
  <si>
    <t>各用途</t>
    <phoneticPr fontId="206" type="noConversion"/>
  </si>
  <si>
    <t>合计</t>
    <phoneticPr fontId="206" type="noConversion"/>
  </si>
  <si>
    <t>工商银行</t>
    <phoneticPr fontId="116" type="noConversion"/>
  </si>
  <si>
    <t>中矿宏业（北京）房地产开发有限公司</t>
    <phoneticPr fontId="6" type="noConversion"/>
  </si>
  <si>
    <t>海淀区彰化路138号院</t>
    <phoneticPr fontId="6" type="noConversion"/>
  </si>
  <si>
    <t>办公</t>
    <phoneticPr fontId="3" type="noConversion"/>
  </si>
  <si>
    <t>商业</t>
    <phoneticPr fontId="3" type="noConversion"/>
  </si>
  <si>
    <t>酒店</t>
    <phoneticPr fontId="3" type="noConversion"/>
  </si>
  <si>
    <t>商业</t>
    <phoneticPr fontId="7" type="noConversion"/>
  </si>
  <si>
    <t>酒店</t>
    <phoneticPr fontId="7" type="noConversion"/>
  </si>
  <si>
    <t>收益法 (酒店)</t>
  </si>
  <si>
    <t>收益法 (酒店)</t>
    <phoneticPr fontId="17" type="noConversion"/>
  </si>
  <si>
    <t>收益法（汇总）</t>
  </si>
  <si>
    <t>宗地容积率</t>
  </si>
  <si>
    <t>1000米以外</t>
  </si>
  <si>
    <t>按公示增长率计算</t>
  </si>
  <si>
    <t>估价方法</t>
  </si>
  <si>
    <t>分层建筑面积</t>
    <phoneticPr fontId="206" type="noConversion"/>
  </si>
  <si>
    <t>楼层</t>
    <phoneticPr fontId="206" type="noConversion"/>
  </si>
  <si>
    <t>项目西侧临垃圾处理厂</t>
    <phoneticPr fontId="108" type="noConversion"/>
  </si>
  <si>
    <t>平整</t>
  </si>
  <si>
    <t>2017-1-0700</t>
    <phoneticPr fontId="6" type="noConversion"/>
  </si>
  <si>
    <t>1号楼</t>
  </si>
  <si>
    <t>房号</t>
  </si>
  <si>
    <t>建筑面积</t>
  </si>
  <si>
    <t>102A</t>
  </si>
  <si>
    <t>102D</t>
  </si>
  <si>
    <t>2号楼</t>
  </si>
  <si>
    <t>所在楼层</t>
  </si>
  <si>
    <t>楼号</t>
    <phoneticPr fontId="206" type="noConversion"/>
  </si>
  <si>
    <t>实际用途</t>
    <phoneticPr fontId="206" type="noConversion"/>
  </si>
  <si>
    <t>设计用途</t>
    <phoneticPr fontId="206" type="noConversion"/>
  </si>
  <si>
    <t>合计</t>
    <phoneticPr fontId="206" type="noConversion"/>
  </si>
  <si>
    <t>住宿餐饮用地</t>
  </si>
  <si>
    <t>建筑物价值</t>
  </si>
  <si>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</si>
  <si>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</si>
  <si>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</si>
  <si>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</si>
  <si>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</si>
  <si>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</si>
  <si>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</si>
  <si>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</si>
  <si>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</si>
  <si>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</si>
  <si>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</si>
  <si>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</si>
  <si>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</si>
  <si>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</si>
  <si>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（规划）建筑面积（m2）</t>
  </si>
  <si>
    <t>（分摊）土地面积（m2）</t>
  </si>
  <si>
    <t>价值时点/估价期日</t>
  </si>
  <si>
    <t>地面单价（元/平方米）</t>
  </si>
  <si>
    <t>抵押价值-已注销</t>
  </si>
  <si>
    <t>总投</t>
  </si>
  <si>
    <t>租金</t>
  </si>
  <si>
    <t>重置成新价</t>
  </si>
  <si>
    <t>项目名称</t>
  </si>
  <si>
    <t>市场价值（万元）</t>
  </si>
  <si>
    <t>抵押价值（万元）</t>
  </si>
  <si>
    <t>抵押价值-已注销（万元）</t>
  </si>
  <si>
    <t>抵押净值（万元）</t>
  </si>
  <si>
    <t>估价对象1（本表）</t>
  </si>
  <si>
    <t>估价对象2</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</si>
</sst>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
      <sz val="11"/>
      <color rgb="FF666666"/>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186" fontId="71" fillId="5" borderId="1" xfId="0" applyNumberFormat="1" applyFont="1" applyFill="1" applyBorder="1" applyAlignment="1" applyProtection="1">
      <alignment horizontal="center" vertical="center"/>
      <protection locked="0"/>
    </xf>
    <xf numFmtId="186" fontId="71" fillId="5" borderId="13"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131" fillId="0" borderId="0" xfId="0" applyFont="1" applyFill="1" applyBorder="1">
      <alignment vertical="center"/>
    </xf>
    <xf numFmtId="0" fontId="0" fillId="0" borderId="0" xfId="0" applyFont="1" applyFill="1" applyBorder="1">
      <alignment vertical="center"/>
    </xf>
    <xf numFmtId="0" fontId="0" fillId="0" borderId="0" xfId="0" applyFill="1" applyBorder="1">
      <alignment vertical="center"/>
    </xf>
    <xf numFmtId="0" fontId="245" fillId="5" borderId="0" xfId="13" applyFont="1" applyFill="1" applyBorder="1" applyAlignment="1">
      <alignment horizontal="center" vertical="center"/>
    </xf>
    <xf numFmtId="0" fontId="0" fillId="5"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10" fontId="144" fillId="16" borderId="1" xfId="1" applyNumberFormat="1" applyFont="1" applyFill="1" applyBorder="1" applyAlignment="1" applyProtection="1">
      <alignment horizontal="center" vertical="center"/>
      <protection locked="0"/>
    </xf>
    <xf numFmtId="9" fontId="213" fillId="5" borderId="5" xfId="0" applyNumberFormat="1" applyFont="1" applyFill="1" applyBorder="1" applyAlignment="1" applyProtection="1">
      <alignment horizontal="center" vertical="center"/>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xf numFmtId="0" fontId="249" fillId="6" borderId="1" xfId="13" applyFont="1" applyFill="1" applyBorder="1" applyAlignment="1">
      <alignment horizontal="center" vertical="center" wrapText="1"/>
    </xf>
    <xf numFmtId="0" fontId="249" fillId="0" borderId="0" xfId="13" applyFont="1" applyBorder="1" applyAlignment="1">
      <alignment horizontal="left" vertical="center" wrapText="1"/>
    </xf>
    <xf numFmtId="0" fontId="244" fillId="0" borderId="0" xfId="13" applyBorder="1"/>
    <xf numFmtId="0" fontId="244" fillId="0" borderId="0" xfId="13"/>
    <xf numFmtId="14" fontId="249" fillId="6" borderId="1" xfId="13" applyNumberFormat="1" applyFont="1" applyFill="1" applyBorder="1" applyAlignment="1">
      <alignment horizontal="center" vertical="center" wrapText="1"/>
    </xf>
    <xf numFmtId="0" fontId="249"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9"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9" fillId="0" borderId="1" xfId="13" applyFont="1" applyBorder="1" applyAlignment="1" applyProtection="1">
      <alignment horizontal="left" vertical="center" wrapText="1"/>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0" sqref="B10"/>
    </sheetView>
  </sheetViews>
  <sheetFormatPr defaultRowHeight="14.25"/>
  <cols>
    <col min="1" max="1" width="35.625" style="3095" customWidth="1"/>
    <col min="2" max="2" width="81" style="3112" customWidth="1"/>
    <col min="3" max="16384" width="9" style="3110"/>
  </cols>
  <sheetData>
    <row r="1" spans="1:2" s="3098" customFormat="1" ht="16.5" thickBot="1">
      <c r="A1" s="3097" t="s">
        <v>3211</v>
      </c>
      <c r="B1" s="3096" t="s">
        <v>3300</v>
      </c>
    </row>
    <row r="2" spans="1:2" s="3101" customFormat="1" ht="15" thickTop="1">
      <c r="A2" s="3099" t="s">
        <v>3212</v>
      </c>
      <c r="B2" s="3100" t="str">
        <f>'预评函-封皮'!B37:I37</f>
        <v>北京市海淀区彰化路138号院房地产抵押价值预评估</v>
      </c>
    </row>
    <row r="3" spans="1:2" s="3104" customFormat="1">
      <c r="A3" s="3102" t="s">
        <v>3213</v>
      </c>
      <c r="B3" s="3103" t="str">
        <f>'预评函-封皮'!B40</f>
        <v>中矿宏业（北京）房地产开发有限公司</v>
      </c>
    </row>
    <row r="4" spans="1:2" s="3104" customFormat="1">
      <c r="A4" s="3102" t="s">
        <v>3214</v>
      </c>
      <c r="B4" s="3103" t="str">
        <f ca="1">'预评函-封皮'!B46</f>
        <v>王鹏（注册号：1120050019)、郑燚（注册号：1120070131)</v>
      </c>
    </row>
    <row r="5" spans="1:2" s="3098" customFormat="1" ht="15" thickBot="1">
      <c r="A5" s="3105" t="s">
        <v>3215</v>
      </c>
      <c r="B5" s="3106" t="str">
        <f>'预评函-封皮'!B49</f>
        <v>康正预评字2017-1-0700号</v>
      </c>
    </row>
    <row r="6" spans="1:2" s="3101" customFormat="1" ht="15" thickTop="1">
      <c r="A6" s="3099" t="s">
        <v>3216</v>
      </c>
      <c r="B6" s="3100" t="str">
        <f>'预评函-1'!A4</f>
        <v>受贵公司委托，我公司对北京市海淀区彰化路138号院房地产抵押价值进行了预评估。</v>
      </c>
    </row>
    <row r="7" spans="1:2" s="3104" customFormat="1">
      <c r="A7" s="3102" t="s">
        <v>3256</v>
      </c>
      <c r="B7" s="3103" t="str">
        <f>'预评函-1'!A7</f>
        <v>估价对象为北京市海淀区彰化路138号院房地产，为BB公司所有。根据，估价对象（分摊）出让国有建设用地使用权面积为2992.36平方米，建筑面积为11376.31平方米。</v>
      </c>
    </row>
    <row r="8" spans="1:2" s="3104" customFormat="1">
      <c r="A8" s="3102" t="s">
        <v>3257</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3258</v>
      </c>
      <c r="B9" s="3103" t="str">
        <f>'预评函-1'!A10</f>
        <v>估价对象为北京市海淀区彰化路138号院房地产,属BB公司开发建设的综合项目（商业、办公），该项目尚在开发建设中。根据，估价对象（分摊）出让国有建设用地使用权面积为2992.36平方米，规划建筑面积为11376.31平方米。</v>
      </c>
    </row>
    <row r="10" spans="1:2" s="3104" customFormat="1">
      <c r="A10" s="3102" t="s">
        <v>3259</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3217</v>
      </c>
      <c r="B11" s="3103" t="str">
        <f>'预评函-1'!A13</f>
        <v>为估价委托人在向工商银行办理贷款手续过程中，确定房地产抵押贷款额度提供参考依据而评估房地产抵押价值。</v>
      </c>
    </row>
    <row r="12" spans="1:2" s="3104" customFormat="1">
      <c r="A12" s="3102" t="s">
        <v>3218</v>
      </c>
      <c r="B12" s="3103" t="str">
        <f>'预评函-1'!A15</f>
        <v>2017年7月14日评估专业人员实地查勘之日</v>
      </c>
    </row>
    <row r="13" spans="1:2" s="3104" customFormat="1">
      <c r="A13" s="3102" t="s">
        <v>3219</v>
      </c>
      <c r="B13" s="3103" t="str">
        <f>'预评函-1'!A18</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4" spans="1:2" s="3104" customFormat="1">
      <c r="A14" s="3102" t="s">
        <v>3220</v>
      </c>
      <c r="B14" s="3103" t="str">
        <f>'预评函-1'!A19</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04" customFormat="1">
      <c r="A15" s="3102" t="s">
        <v>3221</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3222</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3223</v>
      </c>
      <c r="B17" s="3103" t="str">
        <f>'预评函-1'!A22</f>
        <v/>
      </c>
    </row>
    <row r="18" spans="1:2" s="3098" customFormat="1" ht="15" thickBot="1">
      <c r="A18" s="3105" t="s">
        <v>3224</v>
      </c>
      <c r="B18" s="3106" t="str">
        <f>'预评函-1'!A24</f>
        <v>本次评估采用的主估价方法为成本法和收益法。</v>
      </c>
    </row>
    <row r="19" spans="1:2" s="3101" customFormat="1" ht="15" thickTop="1">
      <c r="A19" s="3099" t="s">
        <v>3225</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3226</v>
      </c>
      <c r="B20" s="3103">
        <f ca="1">'预评函-2'!D5</f>
        <v>51847</v>
      </c>
    </row>
    <row r="21" spans="1:2" s="3104" customFormat="1">
      <c r="A21" s="3102" t="s">
        <v>3227</v>
      </c>
      <c r="B21" s="3103">
        <f ca="1">'预评函-2'!D7</f>
        <v>45575</v>
      </c>
    </row>
    <row r="22" spans="1:2" s="3104" customFormat="1">
      <c r="A22" s="3102" t="s">
        <v>3228</v>
      </c>
      <c r="B22" s="3103" t="str">
        <f ca="1">'预评函-2'!D6</f>
        <v>伍亿壹仟捌佰肆拾柒万元整</v>
      </c>
    </row>
    <row r="23" spans="1:2" s="3104" customFormat="1">
      <c r="A23" s="3102" t="s">
        <v>3288</v>
      </c>
      <c r="B23" s="3103" t="str">
        <f>'预评函-2'!B8</f>
        <v>2.估价师知悉的法定优先受偿款</v>
      </c>
    </row>
    <row r="24" spans="1:2" s="3104" customFormat="1">
      <c r="A24" s="3102" t="s">
        <v>3294</v>
      </c>
      <c r="B24" s="3103">
        <f>'预评函-2'!D8</f>
        <v>0</v>
      </c>
    </row>
    <row r="25" spans="1:2" s="3104" customFormat="1">
      <c r="A25" s="3102" t="s">
        <v>3229</v>
      </c>
      <c r="B25" s="3103" t="str">
        <f>'预评函-2'!D9</f>
        <v>零元整</v>
      </c>
    </row>
    <row r="26" spans="1:2" s="3104" customFormat="1">
      <c r="A26" s="3102" t="s">
        <v>3230</v>
      </c>
      <c r="B26" s="3103">
        <f>'预评函-2'!D10</f>
        <v>0</v>
      </c>
    </row>
    <row r="27" spans="1:2" s="3104" customFormat="1">
      <c r="A27" s="3102" t="s">
        <v>3231</v>
      </c>
      <c r="B27" s="3103">
        <f>'预评函-2'!D11</f>
        <v>0</v>
      </c>
    </row>
    <row r="28" spans="1:2" s="3104" customFormat="1">
      <c r="A28" s="3102" t="s">
        <v>3232</v>
      </c>
      <c r="B28" s="3103">
        <f>'预评函-2'!D12</f>
        <v>0</v>
      </c>
    </row>
    <row r="29" spans="1:2" s="3104" customFormat="1">
      <c r="A29" s="3102" t="s">
        <v>3292</v>
      </c>
      <c r="B29" s="3103" t="str">
        <f>'预评函-2'!B13</f>
        <v>——</v>
      </c>
    </row>
    <row r="30" spans="1:2" s="3104" customFormat="1">
      <c r="A30" s="3102" t="s">
        <v>3293</v>
      </c>
      <c r="B30" s="3103" t="str">
        <f>'预评函-2'!D13</f>
        <v>——</v>
      </c>
    </row>
    <row r="31" spans="1:2" s="3104" customFormat="1">
      <c r="A31" s="3102" t="s">
        <v>3267</v>
      </c>
      <c r="B31" s="3103" t="e">
        <f>'预评函-2'!D15</f>
        <v>#VALUE!</v>
      </c>
    </row>
    <row r="32" spans="1:2" s="3104" customFormat="1">
      <c r="A32" s="3102" t="s">
        <v>3233</v>
      </c>
      <c r="B32" s="3103" t="e">
        <f>'预评函-2'!D14</f>
        <v>#VALUE!</v>
      </c>
    </row>
    <row r="33" spans="1:2" s="3104" customFormat="1">
      <c r="A33" s="3102" t="s">
        <v>3269</v>
      </c>
      <c r="B33" s="3103" t="str">
        <f>'预评函-2'!B16</f>
        <v>3.抵押担保权已注销时的房地产抵押价值</v>
      </c>
    </row>
    <row r="34" spans="1:2" s="3104" customFormat="1">
      <c r="A34" s="3102" t="s">
        <v>3295</v>
      </c>
      <c r="B34" s="3103">
        <f ca="1">'预评函-2'!D16</f>
        <v>51847</v>
      </c>
    </row>
    <row r="35" spans="1:2" s="3104" customFormat="1">
      <c r="A35" s="3102" t="s">
        <v>3268</v>
      </c>
      <c r="B35" s="3103">
        <f ca="1">'预评函-2'!D18</f>
        <v>45575</v>
      </c>
    </row>
    <row r="36" spans="1:2" s="3104" customFormat="1">
      <c r="A36" s="3102" t="s">
        <v>3234</v>
      </c>
      <c r="B36" s="3103" t="str">
        <f ca="1">'预评函-2'!D17</f>
        <v>伍亿壹仟捌佰肆拾柒万元整</v>
      </c>
    </row>
    <row r="37" spans="1:2" s="3104" customFormat="1">
      <c r="A37" s="3102" t="s">
        <v>3270</v>
      </c>
      <c r="B37" s="3103" t="str">
        <f>'预评函-2'!B19</f>
        <v>——</v>
      </c>
    </row>
    <row r="38" spans="1:2" s="3104" customFormat="1">
      <c r="A38" s="3102" t="s">
        <v>3296</v>
      </c>
      <c r="B38" s="3103" t="str">
        <f>'预评函-2'!D19</f>
        <v>——</v>
      </c>
    </row>
    <row r="39" spans="1:2" s="3104" customFormat="1">
      <c r="A39" s="3102" t="s">
        <v>3235</v>
      </c>
      <c r="B39" s="3103" t="str">
        <f>'预评函-2'!D21</f>
        <v>——</v>
      </c>
    </row>
    <row r="40" spans="1:2" s="3104" customFormat="1">
      <c r="A40" s="3102" t="s">
        <v>3236</v>
      </c>
      <c r="B40" s="3103" t="e">
        <f>'预评函-2'!D20</f>
        <v>#VALUE!</v>
      </c>
    </row>
    <row r="41" spans="1:2" s="3104" customFormat="1">
      <c r="A41" s="3102" t="s">
        <v>3291</v>
      </c>
      <c r="B41" s="3103" t="str">
        <f>'预评函-3'!A4</f>
        <v>北京市海淀区彰化路138号院房地产</v>
      </c>
    </row>
    <row r="42" spans="1:2" s="3104" customFormat="1">
      <c r="A42" s="3102" t="s">
        <v>3289</v>
      </c>
      <c r="B42" s="3103" t="str">
        <f>'预评函-3'!B2</f>
        <v>建筑面积</v>
      </c>
    </row>
    <row r="43" spans="1:2" s="3104" customFormat="1">
      <c r="A43" s="3102" t="s">
        <v>3290</v>
      </c>
      <c r="B43" s="3103">
        <f>'预评函-3'!B4</f>
        <v>11376.31</v>
      </c>
    </row>
    <row r="44" spans="1:2" s="3104" customFormat="1">
      <c r="A44" s="3102" t="s">
        <v>3266</v>
      </c>
      <c r="B44" s="3103" t="str">
        <f>'预评函-3'!C2</f>
        <v>(分摊)土地面积</v>
      </c>
    </row>
    <row r="45" spans="1:2" s="3104" customFormat="1">
      <c r="A45" s="3102" t="s">
        <v>3237</v>
      </c>
      <c r="B45" s="3103">
        <f>'预评函-3'!C4</f>
        <v>2992.36</v>
      </c>
    </row>
    <row r="46" spans="1:2" s="3104" customFormat="1">
      <c r="A46" s="3102" t="s">
        <v>3264</v>
      </c>
      <c r="B46" s="3103" t="str">
        <f>'预评函-3'!D2</f>
        <v>出让国有建设用地使用权价值</v>
      </c>
    </row>
    <row r="47" spans="1:2" s="3104" customFormat="1">
      <c r="A47" s="3102" t="s">
        <v>3238</v>
      </c>
      <c r="B47" s="3103">
        <f ca="1">'预评函-3'!D4</f>
        <v>45055</v>
      </c>
    </row>
    <row r="48" spans="1:2" s="3104" customFormat="1">
      <c r="A48" s="3102" t="s">
        <v>3239</v>
      </c>
      <c r="B48" s="3103">
        <f ca="1">'预评函-3'!E4</f>
        <v>39605</v>
      </c>
    </row>
    <row r="49" spans="1:2" s="3104" customFormat="1">
      <c r="A49" s="3102" t="s">
        <v>3240</v>
      </c>
      <c r="B49" s="3103" t="str">
        <f ca="1">'预评函-3'!D5</f>
        <v>肆亿伍仟零伍拾伍万元整</v>
      </c>
    </row>
    <row r="50" spans="1:2" s="3104" customFormat="1">
      <c r="A50" s="3102" t="s">
        <v>3265</v>
      </c>
      <c r="B50" s="3103" t="str">
        <f>'预评函-3'!F2</f>
        <v>建筑物价值</v>
      </c>
    </row>
    <row r="51" spans="1:2" s="3104" customFormat="1">
      <c r="A51" s="3102" t="s">
        <v>3241</v>
      </c>
      <c r="B51" s="3103">
        <f ca="1">'预评函-3'!F4</f>
        <v>6792</v>
      </c>
    </row>
    <row r="52" spans="1:2" s="3104" customFormat="1">
      <c r="A52" s="3102" t="s">
        <v>3242</v>
      </c>
      <c r="B52" s="3103">
        <f ca="1">'预评函-3'!G4</f>
        <v>5970</v>
      </c>
    </row>
    <row r="53" spans="1:2" s="3104" customFormat="1">
      <c r="A53" s="3102" t="s">
        <v>3271</v>
      </c>
      <c r="B53" s="3103" t="str">
        <f ca="1">'预评函-3'!F5</f>
        <v>陆仟柒佰玖拾贰万元整</v>
      </c>
    </row>
    <row r="54" spans="1:2" s="3104" customFormat="1">
      <c r="A54" s="3102" t="s">
        <v>3298</v>
      </c>
      <c r="B54" s="3103" t="str">
        <f>'预评函-3'!A8</f>
        <v/>
      </c>
    </row>
    <row r="55" spans="1:2" s="3104" customFormat="1">
      <c r="A55" s="3102" t="s">
        <v>3272</v>
      </c>
      <c r="B55" s="3103" t="str">
        <f>'预评函-3'!A10</f>
        <v>抵押担保权已注销时的房地产抵押价值</v>
      </c>
    </row>
    <row r="56" spans="1:2" s="3104" customFormat="1">
      <c r="A56" s="3102" t="s">
        <v>3273</v>
      </c>
      <c r="B56" s="3103" t="str">
        <f>'预评函-3'!A12</f>
        <v/>
      </c>
    </row>
    <row r="57" spans="1:2" s="3098" customFormat="1" ht="15" thickBot="1">
      <c r="A57" s="3105" t="s">
        <v>3299</v>
      </c>
      <c r="B57" s="3106" t="str">
        <f>'预评函-3'!A6</f>
        <v>估价师知悉的法定优先受偿款</v>
      </c>
    </row>
    <row r="58" spans="1:2" s="3101" customFormat="1" ht="15" thickTop="1">
      <c r="A58" s="3099" t="s">
        <v>3243</v>
      </c>
      <c r="B58" s="3100" t="str">
        <f>'预评函-4'!A12</f>
        <v>2.本《评估意见函》仅供金融机构进行内部审核使用，不做其他目的之用。</v>
      </c>
    </row>
    <row r="59" spans="1:2" s="3104" customFormat="1">
      <c r="A59" s="3102" t="s">
        <v>3244</v>
      </c>
      <c r="B59" s="3103" t="str">
        <f>'预评函-4'!A13</f>
        <v>3.抵押双方在办理抵押登记手续时，应使用本公司出具的正式《房地产评估报告》，特提醒报告使用者注意。</v>
      </c>
    </row>
    <row r="60" spans="1:2" s="3104" customFormat="1">
      <c r="A60" s="3102" t="s">
        <v>3245</v>
      </c>
      <c r="B60" s="3103" t="str">
        <f>'预评函-4'!A14</f>
        <v>4.本次评估估价师所知悉的法定优先受偿款情况说明如下：</v>
      </c>
    </row>
    <row r="61" spans="1:2" s="3104" customFormat="1">
      <c r="A61" s="3102" t="s">
        <v>3246</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3247</v>
      </c>
      <c r="B62" s="3103" t="str">
        <f>'预评函-4'!A16</f>
        <v>（2）根据《工程款支付情况说明》，截至价值时点，估价对象不存在应付未付工程款项。（只要没有施工方盖章的，均“设定”进行表述）</v>
      </c>
    </row>
    <row r="63" spans="1:2" s="3104" customFormat="1">
      <c r="A63" s="3102" t="s">
        <v>3248</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3260</v>
      </c>
      <c r="B64" s="3103" t="str">
        <f>'预评函-4'!A18</f>
        <v>故，本次评估不存在估价师知悉的法定优先受偿款</v>
      </c>
    </row>
    <row r="65" spans="1:2" s="3104" customFormat="1">
      <c r="A65" s="3102" t="s">
        <v>3249</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3250</v>
      </c>
      <c r="B66" s="3103" t="str">
        <f>'预评函-4'!A20</f>
        <v/>
      </c>
    </row>
    <row r="67" spans="1:2" s="3104" customFormat="1">
      <c r="A67" s="3102" t="s">
        <v>3261</v>
      </c>
      <c r="B67" s="3103" t="str">
        <f>'预评函-4'!A21</f>
        <v/>
      </c>
    </row>
    <row r="68" spans="1:2" s="3104" customFormat="1">
      <c r="A68" s="3102" t="s">
        <v>3262</v>
      </c>
      <c r="B68" s="3103" t="str">
        <f>'预评函-4'!A22</f>
        <v>8.其他需特殊说明事项：无（注意调整序号）</v>
      </c>
    </row>
    <row r="69" spans="1:2" s="3098" customFormat="1" ht="15" thickBot="1">
      <c r="A69" s="3105" t="s">
        <v>3251</v>
      </c>
      <c r="B69" s="3107">
        <f>'预评函-4'!C31</f>
        <v>42551</v>
      </c>
    </row>
    <row r="70" spans="1:2" ht="15" thickTop="1">
      <c r="A70" s="3108" t="s">
        <v>3252</v>
      </c>
      <c r="B70" s="3109" t="str">
        <f>'预评函-4'!A4</f>
        <v>王鹏</v>
      </c>
    </row>
    <row r="71" spans="1:2">
      <c r="A71" s="3102" t="s">
        <v>3253</v>
      </c>
      <c r="B71" s="3103">
        <f ca="1">'预评函-4'!B4</f>
        <v>1120050019</v>
      </c>
    </row>
    <row r="72" spans="1:2">
      <c r="A72" s="3102" t="s">
        <v>3254</v>
      </c>
      <c r="B72" s="3111" t="str">
        <f>'预评函-4'!A5</f>
        <v>郑燚</v>
      </c>
    </row>
    <row r="73" spans="1:2" s="3098" customFormat="1" ht="15" thickBot="1">
      <c r="A73" s="3105" t="s">
        <v>3255</v>
      </c>
      <c r="B73" s="3106">
        <f ca="1">'预评函-4'!B5</f>
        <v>1120070131</v>
      </c>
    </row>
    <row r="74" spans="1:2" ht="15" thickTop="1">
      <c r="A74" s="3095" t="s">
        <v>3316</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2" sqref="B22"/>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761</v>
      </c>
      <c r="B1" s="295" t="s">
        <v>425</v>
      </c>
      <c r="C1" s="1792" t="s">
        <v>2236</v>
      </c>
      <c r="D1" s="296" t="s">
        <v>426</v>
      </c>
      <c r="E1" s="296" t="s">
        <v>427</v>
      </c>
      <c r="F1" s="296" t="s">
        <v>428</v>
      </c>
      <c r="G1" s="296" t="s">
        <v>429</v>
      </c>
      <c r="H1" s="296" t="s">
        <v>430</v>
      </c>
      <c r="I1" s="296" t="s">
        <v>431</v>
      </c>
      <c r="J1" s="296" t="s">
        <v>432</v>
      </c>
      <c r="K1" s="296" t="s">
        <v>433</v>
      </c>
      <c r="L1" s="296" t="s">
        <v>434</v>
      </c>
      <c r="M1" s="296" t="s">
        <v>435</v>
      </c>
      <c r="N1" s="296" t="s">
        <v>436</v>
      </c>
      <c r="O1" s="296" t="s">
        <v>437</v>
      </c>
      <c r="P1" s="11" t="s">
        <v>2206</v>
      </c>
      <c r="Q1" s="11" t="s">
        <v>3051</v>
      </c>
      <c r="R1" s="1509" t="s">
        <v>3041</v>
      </c>
      <c r="S1" s="296" t="s">
        <v>438</v>
      </c>
      <c r="T1" s="297" t="s">
        <v>439</v>
      </c>
      <c r="U1" s="296" t="s">
        <v>440</v>
      </c>
      <c r="V1" s="296" t="s">
        <v>441</v>
      </c>
      <c r="W1" s="1509" t="s">
        <v>2209</v>
      </c>
    </row>
    <row r="2" spans="1:23">
      <c r="A2" s="2837" t="s">
        <v>164</v>
      </c>
      <c r="B2" s="2837" t="s">
        <v>809</v>
      </c>
      <c r="C2" s="1793" t="s">
        <v>2237</v>
      </c>
      <c r="D2" s="298" t="s">
        <v>399</v>
      </c>
      <c r="E2" s="298" t="s">
        <v>442</v>
      </c>
      <c r="F2" s="298" t="s">
        <v>443</v>
      </c>
      <c r="G2" s="298">
        <v>40</v>
      </c>
      <c r="H2" s="298" t="s">
        <v>444</v>
      </c>
      <c r="I2" s="298" t="s">
        <v>445</v>
      </c>
      <c r="J2" s="298" t="s">
        <v>446</v>
      </c>
      <c r="K2" s="298" t="s">
        <v>400</v>
      </c>
      <c r="L2" s="298" t="s">
        <v>400</v>
      </c>
      <c r="M2" s="298" t="s">
        <v>400</v>
      </c>
      <c r="N2" s="298" t="s">
        <v>400</v>
      </c>
      <c r="O2" s="298" t="s">
        <v>400</v>
      </c>
      <c r="P2" s="298" t="s">
        <v>400</v>
      </c>
      <c r="Q2" s="298" t="s">
        <v>400</v>
      </c>
      <c r="R2" s="2800" t="s">
        <v>3045</v>
      </c>
      <c r="S2" s="298" t="s">
        <v>400</v>
      </c>
      <c r="T2" s="298" t="s">
        <v>401</v>
      </c>
      <c r="U2" s="298" t="s">
        <v>400</v>
      </c>
      <c r="V2" s="298" t="s">
        <v>402</v>
      </c>
      <c r="W2" s="298" t="s">
        <v>400</v>
      </c>
    </row>
    <row r="3" spans="1:23">
      <c r="A3" s="2837" t="s">
        <v>808</v>
      </c>
      <c r="B3" s="2838" t="s">
        <v>3088</v>
      </c>
      <c r="C3" s="1794" t="s">
        <v>2238</v>
      </c>
      <c r="D3" s="298" t="s">
        <v>403</v>
      </c>
      <c r="E3" s="298" t="s">
        <v>54</v>
      </c>
      <c r="F3" s="298" t="s">
        <v>404</v>
      </c>
      <c r="G3" s="298">
        <v>50</v>
      </c>
      <c r="H3" s="298" t="s">
        <v>405</v>
      </c>
      <c r="I3" s="298" t="s">
        <v>406</v>
      </c>
      <c r="J3" s="298" t="s">
        <v>407</v>
      </c>
      <c r="K3" s="298" t="s">
        <v>408</v>
      </c>
      <c r="L3" s="298" t="s">
        <v>408</v>
      </c>
      <c r="M3" s="298" t="s">
        <v>408</v>
      </c>
      <c r="N3" s="298" t="s">
        <v>408</v>
      </c>
      <c r="O3" s="298" t="s">
        <v>408</v>
      </c>
      <c r="P3" s="298" t="s">
        <v>408</v>
      </c>
      <c r="Q3" s="298" t="s">
        <v>408</v>
      </c>
      <c r="R3" s="2800" t="s">
        <v>3043</v>
      </c>
      <c r="S3" s="298" t="s">
        <v>408</v>
      </c>
      <c r="T3" s="298" t="s">
        <v>409</v>
      </c>
      <c r="U3" s="298" t="s">
        <v>408</v>
      </c>
      <c r="V3" s="298" t="s">
        <v>410</v>
      </c>
      <c r="W3" s="298" t="s">
        <v>408</v>
      </c>
    </row>
    <row r="4" spans="1:23">
      <c r="A4" s="2837" t="s">
        <v>810</v>
      </c>
      <c r="B4" s="2837" t="s">
        <v>811</v>
      </c>
      <c r="C4" s="1793" t="s">
        <v>2239</v>
      </c>
      <c r="D4" s="298" t="s">
        <v>2416</v>
      </c>
      <c r="E4" s="298" t="s">
        <v>447</v>
      </c>
      <c r="F4" s="298" t="s">
        <v>448</v>
      </c>
      <c r="G4" s="298">
        <v>70</v>
      </c>
      <c r="H4" s="298" t="s">
        <v>449</v>
      </c>
      <c r="I4" s="298" t="s">
        <v>450</v>
      </c>
      <c r="K4" s="298" t="s">
        <v>411</v>
      </c>
      <c r="L4" s="298" t="s">
        <v>411</v>
      </c>
      <c r="M4" s="298" t="s">
        <v>411</v>
      </c>
      <c r="N4" s="298" t="s">
        <v>411</v>
      </c>
      <c r="O4" s="298" t="s">
        <v>411</v>
      </c>
      <c r="P4" s="298" t="s">
        <v>411</v>
      </c>
      <c r="Q4" s="298" t="s">
        <v>411</v>
      </c>
      <c r="R4" s="2800" t="s">
        <v>3046</v>
      </c>
      <c r="S4" s="298" t="s">
        <v>411</v>
      </c>
      <c r="T4" s="298" t="s">
        <v>412</v>
      </c>
      <c r="U4" s="298" t="s">
        <v>411</v>
      </c>
      <c r="W4" s="298" t="s">
        <v>411</v>
      </c>
    </row>
    <row r="5" spans="1:23">
      <c r="A5" s="2837" t="s">
        <v>812</v>
      </c>
      <c r="B5" s="2837" t="s">
        <v>813</v>
      </c>
      <c r="C5" s="1793" t="s">
        <v>2240</v>
      </c>
      <c r="F5" s="298" t="s">
        <v>413</v>
      </c>
      <c r="H5" s="298" t="s">
        <v>414</v>
      </c>
      <c r="I5" s="298" t="s">
        <v>415</v>
      </c>
      <c r="K5" s="298" t="s">
        <v>416</v>
      </c>
      <c r="L5" s="298" t="s">
        <v>416</v>
      </c>
      <c r="M5" s="298" t="s">
        <v>416</v>
      </c>
      <c r="N5" s="298" t="s">
        <v>416</v>
      </c>
      <c r="O5" s="298" t="s">
        <v>416</v>
      </c>
      <c r="P5" s="298" t="s">
        <v>416</v>
      </c>
      <c r="Q5" s="298" t="s">
        <v>416</v>
      </c>
      <c r="R5" s="2800" t="s">
        <v>3047</v>
      </c>
      <c r="S5" s="298" t="s">
        <v>416</v>
      </c>
      <c r="T5" s="298" t="s">
        <v>417</v>
      </c>
      <c r="U5" s="298" t="s">
        <v>416</v>
      </c>
      <c r="W5" s="298" t="s">
        <v>416</v>
      </c>
    </row>
    <row r="6" spans="1:23">
      <c r="A6" s="2837" t="s">
        <v>814</v>
      </c>
      <c r="B6" s="2838" t="s">
        <v>3089</v>
      </c>
      <c r="C6" s="1795" t="s">
        <v>329</v>
      </c>
      <c r="F6" s="298" t="s">
        <v>418</v>
      </c>
      <c r="H6" s="298" t="s">
        <v>419</v>
      </c>
      <c r="I6" s="298" t="s">
        <v>420</v>
      </c>
      <c r="K6" s="298" t="s">
        <v>421</v>
      </c>
      <c r="L6" s="298" t="s">
        <v>421</v>
      </c>
      <c r="M6" s="298" t="s">
        <v>421</v>
      </c>
      <c r="N6" s="298" t="s">
        <v>421</v>
      </c>
      <c r="O6" s="298" t="s">
        <v>421</v>
      </c>
      <c r="P6" s="298" t="s">
        <v>421</v>
      </c>
      <c r="Q6" s="298" t="s">
        <v>421</v>
      </c>
      <c r="R6" s="2800" t="s">
        <v>3048</v>
      </c>
      <c r="S6" s="298" t="s">
        <v>421</v>
      </c>
      <c r="T6" s="298"/>
      <c r="U6" s="298" t="s">
        <v>421</v>
      </c>
      <c r="W6" s="298" t="s">
        <v>421</v>
      </c>
    </row>
    <row r="7" spans="1:23">
      <c r="A7" s="2837" t="s">
        <v>816</v>
      </c>
      <c r="B7" s="2838" t="s">
        <v>3090</v>
      </c>
      <c r="C7" s="1793" t="s">
        <v>330</v>
      </c>
      <c r="F7" s="298" t="s">
        <v>422</v>
      </c>
      <c r="H7" s="298" t="s">
        <v>423</v>
      </c>
      <c r="I7" s="298" t="s">
        <v>424</v>
      </c>
    </row>
    <row r="8" spans="1:23">
      <c r="A8" s="2837" t="s">
        <v>818</v>
      </c>
      <c r="B8" s="2837" t="s">
        <v>815</v>
      </c>
      <c r="C8" s="1793" t="s">
        <v>2241</v>
      </c>
      <c r="F8" s="298" t="s">
        <v>451</v>
      </c>
      <c r="H8" s="298"/>
      <c r="I8" s="298" t="s">
        <v>452</v>
      </c>
    </row>
    <row r="9" spans="1:23">
      <c r="A9" s="2837" t="s">
        <v>820</v>
      </c>
      <c r="B9" s="2837" t="s">
        <v>817</v>
      </c>
      <c r="C9" s="1793" t="s">
        <v>2242</v>
      </c>
      <c r="F9" s="298" t="s">
        <v>453</v>
      </c>
      <c r="H9" s="298"/>
    </row>
    <row r="10" spans="1:23">
      <c r="A10" s="2837" t="s">
        <v>822</v>
      </c>
      <c r="B10" s="2837" t="s">
        <v>819</v>
      </c>
      <c r="C10" s="1793" t="s">
        <v>2243</v>
      </c>
      <c r="F10" s="298" t="s">
        <v>54</v>
      </c>
    </row>
    <row r="11" spans="1:23">
      <c r="A11" s="2837" t="s">
        <v>824</v>
      </c>
      <c r="B11" s="2837" t="s">
        <v>821</v>
      </c>
      <c r="C11" s="1793" t="s">
        <v>2244</v>
      </c>
    </row>
    <row r="12" spans="1:23">
      <c r="A12" s="2837" t="s">
        <v>826</v>
      </c>
      <c r="B12" s="2837" t="s">
        <v>823</v>
      </c>
      <c r="C12" s="1793" t="s">
        <v>2245</v>
      </c>
    </row>
    <row r="13" spans="1:23">
      <c r="A13" s="2837" t="s">
        <v>828</v>
      </c>
      <c r="B13" s="2837" t="s">
        <v>825</v>
      </c>
      <c r="C13" s="1793" t="s">
        <v>2246</v>
      </c>
    </row>
    <row r="14" spans="1:23">
      <c r="A14" s="2837" t="s">
        <v>830</v>
      </c>
      <c r="B14" s="2837" t="s">
        <v>827</v>
      </c>
      <c r="C14" s="298" t="s">
        <v>54</v>
      </c>
    </row>
    <row r="15" spans="1:23">
      <c r="A15" s="2837" t="s">
        <v>831</v>
      </c>
      <c r="B15" s="2837" t="s">
        <v>829</v>
      </c>
      <c r="C15" s="1796"/>
    </row>
    <row r="16" spans="1:23">
      <c r="A16" s="2837" t="s">
        <v>832</v>
      </c>
      <c r="B16" s="2837" t="s">
        <v>2225</v>
      </c>
      <c r="C16" s="1796"/>
    </row>
    <row r="17" spans="1:3">
      <c r="A17" s="2837" t="s">
        <v>833</v>
      </c>
      <c r="B17" s="2837" t="s">
        <v>3380</v>
      </c>
      <c r="C17" s="1796"/>
    </row>
    <row r="18" spans="1:3">
      <c r="A18" s="2837" t="s">
        <v>834</v>
      </c>
      <c r="B18" s="2837" t="s">
        <v>3382</v>
      </c>
      <c r="C18" s="1796"/>
    </row>
    <row r="19" spans="1:3">
      <c r="A19" s="2837" t="s">
        <v>835</v>
      </c>
      <c r="B19" s="2837" t="s">
        <v>3384</v>
      </c>
      <c r="C19" s="1796"/>
    </row>
    <row r="20" spans="1:3">
      <c r="A20" s="2837" t="s">
        <v>836</v>
      </c>
      <c r="B20" s="2837" t="s">
        <v>3446</v>
      </c>
      <c r="C20" s="1796"/>
    </row>
    <row r="21" spans="1:3">
      <c r="A21" s="2837" t="s">
        <v>837</v>
      </c>
      <c r="B21" s="2837" t="s">
        <v>2226</v>
      </c>
      <c r="C21" s="1796"/>
    </row>
    <row r="22" spans="1:3">
      <c r="A22" s="2837" t="s">
        <v>838</v>
      </c>
      <c r="B22" s="2837" t="s">
        <v>2226</v>
      </c>
      <c r="C22" s="1796"/>
    </row>
    <row r="23" spans="1:3">
      <c r="A23" s="2837" t="s">
        <v>839</v>
      </c>
      <c r="B23" s="2837" t="s">
        <v>2226</v>
      </c>
      <c r="C23" s="1796"/>
    </row>
    <row r="24" spans="1:3">
      <c r="A24" s="2837" t="s">
        <v>840</v>
      </c>
      <c r="B24" s="2837" t="s">
        <v>2226</v>
      </c>
      <c r="C24" s="1796"/>
    </row>
    <row r="25" spans="1:3">
      <c r="A25" s="2837" t="s">
        <v>841</v>
      </c>
      <c r="B25" s="2837" t="s">
        <v>2226</v>
      </c>
      <c r="C25" s="1796"/>
    </row>
    <row r="26" spans="1:3">
      <c r="A26" s="2837" t="s">
        <v>842</v>
      </c>
      <c r="B26" s="2837" t="s">
        <v>2226</v>
      </c>
      <c r="C26" s="1796"/>
    </row>
    <row r="27" spans="1:3">
      <c r="A27" s="2837" t="s">
        <v>2226</v>
      </c>
      <c r="B27" s="2837" t="s">
        <v>2226</v>
      </c>
      <c r="C27" s="1796"/>
    </row>
    <row r="28" spans="1:3">
      <c r="A28" s="2837" t="s">
        <v>2226</v>
      </c>
      <c r="B28" s="2837" t="s">
        <v>2226</v>
      </c>
      <c r="C28" s="1796"/>
    </row>
    <row r="29" spans="1:3">
      <c r="A29" s="2837" t="s">
        <v>2226</v>
      </c>
      <c r="B29" s="2837" t="s">
        <v>2226</v>
      </c>
      <c r="C29" s="1796"/>
    </row>
    <row r="30" spans="1:3">
      <c r="A30" s="2837" t="s">
        <v>2226</v>
      </c>
      <c r="B30" s="2837" t="s">
        <v>2226</v>
      </c>
      <c r="C30" s="1796"/>
    </row>
    <row r="31" spans="1:3">
      <c r="A31" s="2837" t="s">
        <v>2226</v>
      </c>
      <c r="B31" s="2837" t="s">
        <v>2226</v>
      </c>
      <c r="C31" s="1796"/>
    </row>
    <row r="32" spans="1:3">
      <c r="A32" s="2837" t="s">
        <v>2226</v>
      </c>
      <c r="B32" s="2837" t="s">
        <v>2226</v>
      </c>
      <c r="C32" s="1796"/>
    </row>
    <row r="33" spans="1:3">
      <c r="A33" s="2837" t="s">
        <v>2226</v>
      </c>
      <c r="B33" s="2837" t="s">
        <v>2226</v>
      </c>
      <c r="C33" s="1796"/>
    </row>
    <row r="34" spans="1:3">
      <c r="A34" s="2837" t="s">
        <v>2226</v>
      </c>
      <c r="B34" s="2837" t="s">
        <v>2226</v>
      </c>
      <c r="C34" s="1796"/>
    </row>
    <row r="35" spans="1:3">
      <c r="A35" s="2837" t="s">
        <v>2226</v>
      </c>
      <c r="B35" s="2837" t="s">
        <v>2226</v>
      </c>
      <c r="C35" s="1796"/>
    </row>
    <row r="36" spans="1:3">
      <c r="A36" s="2837" t="s">
        <v>2226</v>
      </c>
      <c r="B36" s="2837" t="s">
        <v>2226</v>
      </c>
      <c r="C36" s="1796"/>
    </row>
    <row r="37" spans="1:3">
      <c r="A37" s="2837" t="s">
        <v>2226</v>
      </c>
      <c r="B37" s="2837" t="s">
        <v>2226</v>
      </c>
      <c r="C37" s="1796"/>
    </row>
    <row r="38" spans="1:3">
      <c r="A38" s="2837" t="s">
        <v>2226</v>
      </c>
      <c r="B38" s="2837" t="s">
        <v>2226</v>
      </c>
      <c r="C38" s="1796"/>
    </row>
    <row r="39" spans="1:3">
      <c r="A39" s="2837" t="s">
        <v>2226</v>
      </c>
      <c r="B39" s="2837" t="s">
        <v>2226</v>
      </c>
      <c r="C39" s="1796"/>
    </row>
    <row r="40" spans="1:3">
      <c r="A40" s="2837" t="s">
        <v>2226</v>
      </c>
      <c r="B40" s="2837" t="s">
        <v>2226</v>
      </c>
      <c r="C40" s="1796"/>
    </row>
    <row r="41" spans="1:3">
      <c r="A41" s="2837" t="s">
        <v>2226</v>
      </c>
      <c r="B41" s="2837" t="s">
        <v>2226</v>
      </c>
      <c r="C41" s="1796"/>
    </row>
    <row r="42" spans="1:3">
      <c r="A42" s="2837" t="s">
        <v>2226</v>
      </c>
      <c r="B42" s="2837" t="s">
        <v>2226</v>
      </c>
      <c r="C42" s="1796"/>
    </row>
    <row r="43" spans="1:3">
      <c r="A43" s="2837" t="s">
        <v>2226</v>
      </c>
      <c r="B43" s="2837" t="s">
        <v>2226</v>
      </c>
      <c r="C43" s="1796"/>
    </row>
    <row r="44" spans="1:3">
      <c r="A44" s="2837" t="s">
        <v>2226</v>
      </c>
      <c r="B44" s="2837" t="s">
        <v>2226</v>
      </c>
      <c r="C44" s="1796"/>
    </row>
    <row r="45" spans="1:3">
      <c r="A45" s="2837" t="s">
        <v>2226</v>
      </c>
      <c r="B45" s="2837" t="s">
        <v>2226</v>
      </c>
      <c r="C45" s="1796"/>
    </row>
    <row r="46" spans="1:3">
      <c r="A46" s="2837" t="s">
        <v>2226</v>
      </c>
      <c r="B46" s="2837" t="s">
        <v>2226</v>
      </c>
      <c r="C46" s="1796"/>
    </row>
    <row r="47" spans="1:3">
      <c r="A47" s="2837" t="s">
        <v>2226</v>
      </c>
      <c r="B47" s="2837" t="s">
        <v>2226</v>
      </c>
      <c r="C47" s="1796"/>
    </row>
    <row r="48" spans="1:3">
      <c r="A48" s="2837" t="s">
        <v>2226</v>
      </c>
      <c r="B48" s="2837" t="s">
        <v>2226</v>
      </c>
      <c r="C48" s="1796"/>
    </row>
    <row r="49" spans="1:4">
      <c r="A49" s="2837" t="s">
        <v>2226</v>
      </c>
      <c r="B49" s="2837" t="s">
        <v>2226</v>
      </c>
      <c r="C49" s="1796"/>
    </row>
    <row r="50" spans="1:4">
      <c r="A50" s="2837" t="s">
        <v>2226</v>
      </c>
      <c r="B50" s="2837" t="s">
        <v>2226</v>
      </c>
      <c r="C50" s="1796"/>
    </row>
    <row r="51" spans="1:4">
      <c r="A51" s="1975" t="s">
        <v>2375</v>
      </c>
      <c r="B51" s="2118"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矿宏业（北京）房地产开发有限公司拟使用北京市海淀区彰化路138号院房地产作为抵押担保物，向工商银行办理贷款手续。工商银行特委托北京康正宏基房地产评估有限公司对上述抵押物进行评估。本次评估为确定房地产抵押贷款额度提供参考依据而评估房地产抵押价值。</v>
      </c>
      <c r="D51" s="2118" t="s">
        <v>3280</v>
      </c>
    </row>
    <row r="52" spans="1:4">
      <c r="A52" s="1975" t="s">
        <v>2378</v>
      </c>
      <c r="B52" s="1975" t="s">
        <v>2379</v>
      </c>
      <c r="C52" s="1168" t="s">
        <v>2380</v>
      </c>
      <c r="D52" s="1168" t="s">
        <v>2381</v>
      </c>
    </row>
    <row r="53" spans="1:4">
      <c r="A53" s="3395" t="s">
        <v>2382</v>
      </c>
      <c r="B53" s="2118" t="s">
        <v>2383</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5"/>
      <c r="B54" s="2118" t="s">
        <v>2384</v>
      </c>
      <c r="C54" s="1168" t="s">
        <v>3277</v>
      </c>
    </row>
    <row r="55" spans="1:4">
      <c r="A55" s="3395"/>
      <c r="B55" s="2118" t="s">
        <v>2385</v>
      </c>
      <c r="C55" s="1168" t="s">
        <v>3278</v>
      </c>
    </row>
    <row r="56" spans="1:4">
      <c r="A56" s="3395"/>
      <c r="B56" s="2118" t="s">
        <v>2386</v>
      </c>
      <c r="C56" s="1168" t="s">
        <v>3287</v>
      </c>
    </row>
    <row r="57" spans="1:4">
      <c r="A57" s="3395"/>
      <c r="B57" s="2118" t="s">
        <v>2387</v>
      </c>
      <c r="C57" s="1168" t="s">
        <v>3279</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tabColor rgb="FFFFFF00"/>
  </sheetPr>
  <dimension ref="A1:P580"/>
  <sheetViews>
    <sheetView topLeftCell="A4" workbookViewId="0">
      <selection activeCell="C38" sqref="C38"/>
    </sheetView>
  </sheetViews>
  <sheetFormatPr defaultRowHeight="13.5"/>
  <cols>
    <col min="1" max="1" width="12" customWidth="1"/>
    <col min="3" max="3" width="12.875" customWidth="1"/>
    <col min="4" max="4" width="14" customWidth="1"/>
  </cols>
  <sheetData>
    <row r="1" spans="1:16">
      <c r="B1" s="3300" t="s">
        <v>3407</v>
      </c>
      <c r="C1" s="3300" t="s">
        <v>3408</v>
      </c>
      <c r="D1" s="3300" t="s">
        <v>3409</v>
      </c>
    </row>
    <row r="2" spans="1:16">
      <c r="A2" s="3323" t="s">
        <v>3401</v>
      </c>
      <c r="B2" s="1969">
        <v>13185.33</v>
      </c>
      <c r="C2" s="1969">
        <f>ROUND(B2*(C5+C6)/(B5+B6),2)</f>
        <v>3522.78</v>
      </c>
      <c r="D2" s="3324">
        <v>2992.36</v>
      </c>
      <c r="E2" s="3324"/>
      <c r="F2" s="3324"/>
      <c r="G2" s="3325"/>
      <c r="H2" s="3326"/>
      <c r="I2" s="1969"/>
      <c r="J2" s="1969"/>
    </row>
    <row r="3" spans="1:16">
      <c r="A3" s="1969"/>
      <c r="B3" s="1969"/>
      <c r="C3" s="1969"/>
      <c r="D3" s="3324"/>
      <c r="E3" s="3324"/>
      <c r="F3" s="3324"/>
      <c r="G3" s="3325"/>
      <c r="H3" s="3326"/>
      <c r="I3" s="1969"/>
      <c r="J3" s="1969"/>
    </row>
    <row r="4" spans="1:16">
      <c r="A4" s="3323" t="s">
        <v>3402</v>
      </c>
      <c r="B4" s="3323" t="s">
        <v>3405</v>
      </c>
      <c r="C4" s="3323" t="s">
        <v>3406</v>
      </c>
      <c r="D4" s="3324"/>
      <c r="E4" s="3324"/>
      <c r="F4" s="3324"/>
      <c r="G4" s="3325"/>
      <c r="H4" s="3326"/>
      <c r="I4" s="1969"/>
      <c r="J4" s="1969"/>
    </row>
    <row r="5" spans="1:16">
      <c r="A5" s="3323" t="s">
        <v>3404</v>
      </c>
      <c r="B5" s="1969">
        <v>39875.89</v>
      </c>
      <c r="C5" s="1969">
        <v>8672.0499999999993</v>
      </c>
      <c r="D5" s="3324"/>
      <c r="E5" s="3324"/>
      <c r="F5" s="3324"/>
      <c r="G5" s="3325"/>
      <c r="H5" s="3326"/>
      <c r="I5" s="1969"/>
      <c r="J5" s="1969"/>
    </row>
    <row r="6" spans="1:16">
      <c r="A6" s="3323" t="s">
        <v>3403</v>
      </c>
      <c r="B6" s="1969">
        <v>2704.26</v>
      </c>
      <c r="C6" s="1969">
        <v>2704.26</v>
      </c>
      <c r="D6" s="3324"/>
      <c r="E6" s="3324"/>
      <c r="F6" s="3324"/>
      <c r="G6" s="3325"/>
      <c r="H6" s="3326"/>
      <c r="I6" s="1969"/>
      <c r="J6" s="1969"/>
    </row>
    <row r="7" spans="1:16">
      <c r="A7" s="1969"/>
      <c r="B7" s="1969"/>
      <c r="C7" s="1969"/>
      <c r="D7" s="3324"/>
      <c r="E7" s="3324"/>
      <c r="F7" s="3324"/>
      <c r="G7" s="3325"/>
      <c r="H7" s="3326"/>
      <c r="I7" s="1969"/>
      <c r="J7" s="1969"/>
    </row>
    <row r="8" spans="1:16">
      <c r="A8" s="3328" t="s">
        <v>3410</v>
      </c>
      <c r="B8" s="1969"/>
      <c r="C8" s="1969"/>
      <c r="D8" s="3324"/>
      <c r="E8" s="3324"/>
      <c r="F8" s="3324"/>
      <c r="G8" s="3325" t="s">
        <v>3452</v>
      </c>
      <c r="H8" s="3326"/>
      <c r="I8" s="1969"/>
      <c r="J8" s="1969"/>
    </row>
    <row r="9" spans="1:16">
      <c r="A9" s="3327" t="s">
        <v>3404</v>
      </c>
      <c r="B9" s="3323" t="s">
        <v>3411</v>
      </c>
      <c r="C9" s="3323" t="s">
        <v>3412</v>
      </c>
      <c r="D9" s="3324" t="s">
        <v>3415</v>
      </c>
      <c r="E9" s="3324" t="s">
        <v>3413</v>
      </c>
      <c r="F9" s="3324" t="s">
        <v>3453</v>
      </c>
      <c r="G9" s="3325">
        <v>1</v>
      </c>
      <c r="H9" s="3326">
        <f>C10+C11+C12+C13+C14+C15+C16+C17+C18+C19+C20+C21+C27+C28+C29+C30+C31</f>
        <v>3617.84</v>
      </c>
      <c r="I9" s="1969"/>
      <c r="J9" s="1969"/>
      <c r="K9" s="3300" t="s">
        <v>3464</v>
      </c>
      <c r="L9" t="s">
        <v>3458</v>
      </c>
      <c r="M9" t="s">
        <v>3459</v>
      </c>
      <c r="N9" t="s">
        <v>3463</v>
      </c>
      <c r="O9" s="3300" t="s">
        <v>3466</v>
      </c>
      <c r="P9" s="3300" t="s">
        <v>3465</v>
      </c>
    </row>
    <row r="10" spans="1:16">
      <c r="A10" s="1969"/>
      <c r="B10" s="1969">
        <v>101</v>
      </c>
      <c r="C10" s="1969">
        <v>258.25</v>
      </c>
      <c r="D10" s="3324" t="s">
        <v>3414</v>
      </c>
      <c r="E10" s="3324" t="s">
        <v>3416</v>
      </c>
      <c r="F10" s="3324">
        <v>1</v>
      </c>
      <c r="G10" s="3325">
        <v>2</v>
      </c>
      <c r="H10" s="3326">
        <f>C22+C23+C26+C32</f>
        <v>4738.66</v>
      </c>
      <c r="I10" s="1969"/>
      <c r="J10" s="1969"/>
      <c r="K10" t="s">
        <v>3457</v>
      </c>
      <c r="L10">
        <v>101</v>
      </c>
      <c r="M10">
        <v>258.25</v>
      </c>
      <c r="N10">
        <v>1</v>
      </c>
      <c r="O10" t="s">
        <v>43</v>
      </c>
      <c r="P10" t="s">
        <v>43</v>
      </c>
    </row>
    <row r="11" spans="1:16">
      <c r="A11" s="1969"/>
      <c r="B11" s="3323" t="s">
        <v>3418</v>
      </c>
      <c r="C11" s="1969">
        <f>973.43-395.24</f>
        <v>578.18999999999994</v>
      </c>
      <c r="D11" s="3324" t="s">
        <v>3417</v>
      </c>
      <c r="E11" s="3324" t="s">
        <v>3416</v>
      </c>
      <c r="F11" s="3324">
        <v>1</v>
      </c>
      <c r="G11" s="3325">
        <v>3</v>
      </c>
      <c r="H11" s="3326">
        <f>C24+C33</f>
        <v>1973.4699999999998</v>
      </c>
      <c r="I11" s="1969"/>
      <c r="J11" s="1969"/>
      <c r="L11" t="s">
        <v>3460</v>
      </c>
      <c r="M11">
        <v>578.18999999999994</v>
      </c>
      <c r="N11">
        <v>1</v>
      </c>
      <c r="O11" t="s">
        <v>43</v>
      </c>
      <c r="P11" t="s">
        <v>43</v>
      </c>
    </row>
    <row r="12" spans="1:16">
      <c r="A12" s="1969"/>
      <c r="B12" s="1969">
        <v>103</v>
      </c>
      <c r="C12" s="1969">
        <v>237.24</v>
      </c>
      <c r="D12" s="3324" t="s">
        <v>3419</v>
      </c>
      <c r="E12" s="3324" t="s">
        <v>3416</v>
      </c>
      <c r="F12" s="3324">
        <v>1</v>
      </c>
      <c r="G12" s="3325">
        <v>4</v>
      </c>
      <c r="H12" s="3326">
        <f>C25</f>
        <v>1046.3399999999999</v>
      </c>
      <c r="I12" s="1969"/>
      <c r="J12" s="1969"/>
      <c r="L12">
        <v>103</v>
      </c>
      <c r="M12">
        <v>237.24</v>
      </c>
      <c r="N12">
        <v>1</v>
      </c>
      <c r="O12" t="s">
        <v>43</v>
      </c>
      <c r="P12" t="s">
        <v>43</v>
      </c>
    </row>
    <row r="13" spans="1:16">
      <c r="A13" s="1969"/>
      <c r="B13" s="1969">
        <v>104</v>
      </c>
      <c r="C13" s="1969">
        <v>157.82</v>
      </c>
      <c r="D13" s="3324" t="s">
        <v>3420</v>
      </c>
      <c r="E13" s="3324" t="s">
        <v>3416</v>
      </c>
      <c r="F13" s="3324">
        <v>1</v>
      </c>
      <c r="G13" s="3325"/>
      <c r="H13" s="3326"/>
      <c r="I13" s="1969"/>
      <c r="J13" s="1969"/>
      <c r="L13">
        <v>104</v>
      </c>
      <c r="M13">
        <v>157.82</v>
      </c>
      <c r="N13">
        <v>1</v>
      </c>
      <c r="O13" t="s">
        <v>43</v>
      </c>
      <c r="P13" t="s">
        <v>43</v>
      </c>
    </row>
    <row r="14" spans="1:16">
      <c r="A14" s="1969"/>
      <c r="B14" s="3329">
        <v>105</v>
      </c>
      <c r="C14" s="3329">
        <v>183.97</v>
      </c>
      <c r="D14" s="3324" t="s">
        <v>3420</v>
      </c>
      <c r="E14" s="3324" t="s">
        <v>3416</v>
      </c>
      <c r="F14" s="3324">
        <v>1</v>
      </c>
      <c r="G14" s="3325"/>
      <c r="H14" s="3326"/>
      <c r="I14" s="1969"/>
      <c r="J14" s="1969"/>
      <c r="L14">
        <v>105</v>
      </c>
      <c r="M14">
        <v>183.97</v>
      </c>
      <c r="N14">
        <v>1</v>
      </c>
      <c r="O14" t="s">
        <v>43</v>
      </c>
      <c r="P14" t="s">
        <v>43</v>
      </c>
    </row>
    <row r="15" spans="1:16">
      <c r="A15" s="1969"/>
      <c r="B15" s="3329">
        <v>106</v>
      </c>
      <c r="C15" s="3329">
        <v>188.22</v>
      </c>
      <c r="D15" s="3324" t="s">
        <v>3420</v>
      </c>
      <c r="E15" s="3324" t="s">
        <v>3416</v>
      </c>
      <c r="F15" s="3324">
        <v>1</v>
      </c>
      <c r="G15" s="3325"/>
      <c r="H15" s="3326"/>
      <c r="I15" s="1969"/>
      <c r="J15" s="1969"/>
      <c r="L15">
        <v>106</v>
      </c>
      <c r="M15">
        <v>188.22</v>
      </c>
      <c r="N15">
        <v>1</v>
      </c>
      <c r="O15" t="s">
        <v>43</v>
      </c>
      <c r="P15" t="s">
        <v>43</v>
      </c>
    </row>
    <row r="16" spans="1:16">
      <c r="A16" s="1969"/>
      <c r="B16" s="3329">
        <v>107</v>
      </c>
      <c r="C16" s="3329">
        <v>186.27</v>
      </c>
      <c r="D16" s="3324" t="s">
        <v>3420</v>
      </c>
      <c r="E16" s="3324" t="s">
        <v>3416</v>
      </c>
      <c r="F16" s="3324">
        <v>1</v>
      </c>
      <c r="G16" s="3325"/>
      <c r="H16" s="3326"/>
      <c r="I16" s="1969"/>
      <c r="J16" s="1969"/>
      <c r="L16">
        <v>107</v>
      </c>
      <c r="M16">
        <v>186.27</v>
      </c>
      <c r="N16">
        <v>1</v>
      </c>
      <c r="O16" t="s">
        <v>43</v>
      </c>
      <c r="P16" t="s">
        <v>43</v>
      </c>
    </row>
    <row r="17" spans="1:16">
      <c r="A17" s="1969"/>
      <c r="B17" s="3329">
        <v>108</v>
      </c>
      <c r="C17" s="3329">
        <v>156.80000000000001</v>
      </c>
      <c r="D17" s="3324" t="s">
        <v>3421</v>
      </c>
      <c r="E17" s="3324" t="s">
        <v>3416</v>
      </c>
      <c r="F17" s="3324">
        <v>1</v>
      </c>
      <c r="G17" s="3325"/>
      <c r="H17" s="3326"/>
      <c r="I17" s="1969"/>
      <c r="J17" s="1969"/>
      <c r="L17">
        <v>108</v>
      </c>
      <c r="M17">
        <v>156.80000000000001</v>
      </c>
      <c r="N17">
        <v>1</v>
      </c>
      <c r="O17" t="s">
        <v>43</v>
      </c>
      <c r="P17" t="s">
        <v>43</v>
      </c>
    </row>
    <row r="18" spans="1:16">
      <c r="A18" s="1969"/>
      <c r="B18" s="3329">
        <v>109</v>
      </c>
      <c r="C18" s="3329">
        <v>223.48</v>
      </c>
      <c r="D18" s="3324" t="s">
        <v>3422</v>
      </c>
      <c r="E18" s="3324" t="s">
        <v>3416</v>
      </c>
      <c r="F18" s="3324">
        <v>1</v>
      </c>
      <c r="G18" s="3325"/>
      <c r="H18" s="3326"/>
      <c r="I18" s="1969"/>
      <c r="J18" s="1969"/>
      <c r="L18">
        <v>109</v>
      </c>
      <c r="M18">
        <v>223.48</v>
      </c>
      <c r="N18">
        <v>1</v>
      </c>
      <c r="O18" t="s">
        <v>43</v>
      </c>
      <c r="P18" t="s">
        <v>43</v>
      </c>
    </row>
    <row r="19" spans="1:16">
      <c r="A19" s="1969"/>
      <c r="B19" s="3329">
        <v>110</v>
      </c>
      <c r="C19" s="3329">
        <v>165.13</v>
      </c>
      <c r="D19" s="3323" t="s">
        <v>3423</v>
      </c>
      <c r="E19" s="3324" t="s">
        <v>3416</v>
      </c>
      <c r="F19" s="3324">
        <v>1</v>
      </c>
      <c r="G19" s="3325"/>
      <c r="H19" s="3326"/>
      <c r="I19" s="1969"/>
      <c r="J19" s="1969"/>
      <c r="L19">
        <v>110</v>
      </c>
      <c r="M19">
        <v>165.13</v>
      </c>
      <c r="N19">
        <v>1</v>
      </c>
      <c r="O19" t="s">
        <v>43</v>
      </c>
      <c r="P19" t="s">
        <v>43</v>
      </c>
    </row>
    <row r="20" spans="1:16">
      <c r="A20" s="1969"/>
      <c r="B20" s="3329">
        <v>111</v>
      </c>
      <c r="C20" s="3329">
        <v>37.229999999999997</v>
      </c>
      <c r="D20" s="3324" t="s">
        <v>3424</v>
      </c>
      <c r="E20" s="3324" t="s">
        <v>3428</v>
      </c>
      <c r="F20" s="3324">
        <v>1</v>
      </c>
      <c r="G20" s="3325"/>
      <c r="H20" s="3326"/>
      <c r="I20" s="1969"/>
      <c r="J20" s="1969"/>
      <c r="L20">
        <v>111</v>
      </c>
      <c r="M20">
        <v>37.229999999999997</v>
      </c>
      <c r="N20">
        <v>1</v>
      </c>
      <c r="O20" t="s">
        <v>43</v>
      </c>
      <c r="P20" t="s">
        <v>3427</v>
      </c>
    </row>
    <row r="21" spans="1:16">
      <c r="A21" s="1969"/>
      <c r="B21" s="3323" t="s">
        <v>3425</v>
      </c>
      <c r="C21" s="3329">
        <v>395.24</v>
      </c>
      <c r="D21" s="3324" t="s">
        <v>3426</v>
      </c>
      <c r="E21" s="3324" t="s">
        <v>3428</v>
      </c>
      <c r="F21" s="3324">
        <v>1</v>
      </c>
      <c r="G21" s="3325"/>
      <c r="H21" s="3326"/>
      <c r="I21" s="1969"/>
      <c r="J21" s="1969"/>
      <c r="L21" t="s">
        <v>3461</v>
      </c>
      <c r="M21">
        <v>395.24</v>
      </c>
      <c r="N21">
        <v>1</v>
      </c>
      <c r="O21" t="s">
        <v>43</v>
      </c>
      <c r="P21" t="s">
        <v>3427</v>
      </c>
    </row>
    <row r="22" spans="1:16">
      <c r="A22" s="1969"/>
      <c r="B22" s="3327">
        <v>201</v>
      </c>
      <c r="C22" s="3329">
        <v>1514.31</v>
      </c>
      <c r="D22" s="3324" t="s">
        <v>3428</v>
      </c>
      <c r="E22" s="3324" t="s">
        <v>3428</v>
      </c>
      <c r="F22" s="3324">
        <v>2</v>
      </c>
      <c r="G22" s="3325"/>
      <c r="H22" s="3326"/>
      <c r="I22" s="1969"/>
      <c r="J22" s="1969"/>
      <c r="L22">
        <v>201</v>
      </c>
      <c r="M22">
        <v>1514.31</v>
      </c>
      <c r="N22">
        <v>2</v>
      </c>
      <c r="O22" t="s">
        <v>43</v>
      </c>
      <c r="P22" t="s">
        <v>3427</v>
      </c>
    </row>
    <row r="23" spans="1:16">
      <c r="A23" s="1969"/>
      <c r="B23" s="3327">
        <v>203</v>
      </c>
      <c r="C23" s="3329">
        <v>1053.8699999999999</v>
      </c>
      <c r="D23" s="3324" t="s">
        <v>3428</v>
      </c>
      <c r="E23" s="3324" t="s">
        <v>3428</v>
      </c>
      <c r="F23" s="3324">
        <v>2</v>
      </c>
      <c r="G23" s="3325"/>
      <c r="H23" s="3326"/>
      <c r="I23" s="1969"/>
      <c r="J23" s="1969"/>
      <c r="L23">
        <v>203</v>
      </c>
      <c r="M23">
        <v>1053.8699999999999</v>
      </c>
      <c r="N23">
        <v>2</v>
      </c>
      <c r="O23" t="s">
        <v>43</v>
      </c>
      <c r="P23" t="s">
        <v>3427</v>
      </c>
    </row>
    <row r="24" spans="1:16">
      <c r="A24" s="1969"/>
      <c r="B24" s="3327">
        <v>3301</v>
      </c>
      <c r="C24" s="3329">
        <v>1046.3399999999999</v>
      </c>
      <c r="D24" s="3324" t="s">
        <v>3428</v>
      </c>
      <c r="E24" s="3324" t="s">
        <v>3428</v>
      </c>
      <c r="F24" s="3324">
        <v>3</v>
      </c>
      <c r="G24" s="3325"/>
      <c r="H24" s="3326"/>
      <c r="I24" s="1969"/>
      <c r="J24" s="1969"/>
      <c r="L24">
        <v>3301</v>
      </c>
      <c r="M24">
        <v>1046.3399999999999</v>
      </c>
      <c r="N24">
        <v>3</v>
      </c>
      <c r="O24" t="s">
        <v>43</v>
      </c>
      <c r="P24" t="s">
        <v>3427</v>
      </c>
    </row>
    <row r="25" spans="1:16">
      <c r="A25" s="1969"/>
      <c r="B25" s="3327">
        <v>4401</v>
      </c>
      <c r="C25" s="3329">
        <v>1046.3399999999999</v>
      </c>
      <c r="D25" s="3324" t="s">
        <v>3428</v>
      </c>
      <c r="E25" s="3324" t="s">
        <v>3428</v>
      </c>
      <c r="F25" s="3324">
        <v>4</v>
      </c>
      <c r="G25" s="3325"/>
      <c r="H25" s="3326"/>
      <c r="I25" s="1969"/>
      <c r="J25" s="1969"/>
      <c r="L25">
        <v>4401</v>
      </c>
      <c r="M25">
        <v>1046.3399999999999</v>
      </c>
      <c r="N25">
        <v>4</v>
      </c>
      <c r="O25" t="s">
        <v>43</v>
      </c>
      <c r="P25" t="s">
        <v>3427</v>
      </c>
    </row>
    <row r="26" spans="1:16">
      <c r="A26" s="1969"/>
      <c r="B26" s="3327">
        <v>202</v>
      </c>
      <c r="C26" s="3329">
        <v>1243.3499999999999</v>
      </c>
      <c r="D26" s="3324" t="s">
        <v>3429</v>
      </c>
      <c r="E26" s="3324" t="s">
        <v>3429</v>
      </c>
      <c r="F26" s="3324">
        <v>2</v>
      </c>
      <c r="G26" s="3325"/>
      <c r="H26" s="3326"/>
      <c r="I26" s="1969"/>
      <c r="J26" s="1969"/>
      <c r="L26">
        <v>202</v>
      </c>
      <c r="M26">
        <v>1243.3499999999999</v>
      </c>
      <c r="N26">
        <v>2</v>
      </c>
      <c r="O26" t="s">
        <v>43</v>
      </c>
      <c r="P26" t="s">
        <v>210</v>
      </c>
    </row>
    <row r="27" spans="1:16">
      <c r="A27" s="3323" t="s">
        <v>3403</v>
      </c>
      <c r="B27" s="3327">
        <v>1</v>
      </c>
      <c r="C27" s="3329">
        <v>182.16</v>
      </c>
      <c r="D27" s="3324" t="s">
        <v>3434</v>
      </c>
      <c r="E27" s="3324" t="s">
        <v>3416</v>
      </c>
      <c r="F27" s="3324">
        <v>1</v>
      </c>
      <c r="G27" s="3325"/>
      <c r="H27" s="3326"/>
      <c r="I27" s="1969"/>
      <c r="J27" s="1969"/>
      <c r="K27" t="s">
        <v>3462</v>
      </c>
      <c r="L27">
        <v>1</v>
      </c>
      <c r="M27">
        <v>182.16</v>
      </c>
      <c r="N27">
        <v>1</v>
      </c>
      <c r="O27" t="s">
        <v>43</v>
      </c>
      <c r="P27" t="s">
        <v>43</v>
      </c>
    </row>
    <row r="28" spans="1:16">
      <c r="A28" s="1969"/>
      <c r="B28" s="3327">
        <v>2</v>
      </c>
      <c r="C28" s="3329">
        <v>164.53</v>
      </c>
      <c r="D28" s="3324" t="s">
        <v>3433</v>
      </c>
      <c r="E28" s="3324" t="s">
        <v>3416</v>
      </c>
      <c r="F28" s="3324">
        <v>1</v>
      </c>
      <c r="G28" s="3325"/>
      <c r="H28" s="3326"/>
      <c r="I28" s="1969"/>
      <c r="J28" s="1969"/>
      <c r="L28">
        <v>2</v>
      </c>
      <c r="M28">
        <v>164.53</v>
      </c>
      <c r="N28">
        <v>1</v>
      </c>
      <c r="O28" t="s">
        <v>43</v>
      </c>
      <c r="P28" t="s">
        <v>43</v>
      </c>
    </row>
    <row r="29" spans="1:16">
      <c r="A29" s="1969"/>
      <c r="B29" s="3327">
        <v>3</v>
      </c>
      <c r="C29" s="3329">
        <v>143.88</v>
      </c>
      <c r="D29" s="3324" t="s">
        <v>3432</v>
      </c>
      <c r="E29" s="3324" t="s">
        <v>3416</v>
      </c>
      <c r="F29" s="3324">
        <v>1</v>
      </c>
      <c r="G29" s="3325"/>
      <c r="H29" s="3326"/>
      <c r="I29" s="1969"/>
      <c r="J29" s="1969"/>
      <c r="L29">
        <v>3</v>
      </c>
      <c r="M29">
        <v>143.88</v>
      </c>
      <c r="N29">
        <v>1</v>
      </c>
      <c r="O29" t="s">
        <v>43</v>
      </c>
      <c r="P29" t="s">
        <v>43</v>
      </c>
    </row>
    <row r="30" spans="1:16">
      <c r="A30" s="1969"/>
      <c r="B30" s="3327">
        <v>4</v>
      </c>
      <c r="C30" s="1969">
        <v>101.27</v>
      </c>
      <c r="D30" s="3324" t="s">
        <v>3431</v>
      </c>
      <c r="E30" s="3324" t="s">
        <v>3416</v>
      </c>
      <c r="F30" s="3324">
        <v>1</v>
      </c>
      <c r="G30" s="3325"/>
      <c r="H30" s="3326"/>
      <c r="I30" s="1969"/>
      <c r="J30" s="1969"/>
      <c r="L30">
        <v>4</v>
      </c>
      <c r="M30">
        <v>101.27</v>
      </c>
      <c r="N30">
        <v>1</v>
      </c>
      <c r="O30" t="s">
        <v>43</v>
      </c>
      <c r="P30" t="s">
        <v>43</v>
      </c>
    </row>
    <row r="31" spans="1:16">
      <c r="A31" s="1969"/>
      <c r="B31" s="3327">
        <v>5</v>
      </c>
      <c r="C31" s="1969">
        <v>258.16000000000003</v>
      </c>
      <c r="D31" s="3324" t="s">
        <v>3430</v>
      </c>
      <c r="E31" s="3324" t="s">
        <v>3416</v>
      </c>
      <c r="F31" s="3324">
        <v>1</v>
      </c>
      <c r="G31" s="3325"/>
      <c r="H31" s="3326"/>
      <c r="I31" s="1969"/>
      <c r="J31" s="1969"/>
      <c r="L31">
        <v>5</v>
      </c>
      <c r="M31">
        <v>258.16000000000003</v>
      </c>
      <c r="N31">
        <v>1</v>
      </c>
      <c r="O31" t="s">
        <v>43</v>
      </c>
      <c r="P31" t="s">
        <v>43</v>
      </c>
    </row>
    <row r="32" spans="1:16">
      <c r="A32" s="1969"/>
      <c r="B32" s="3327">
        <v>6</v>
      </c>
      <c r="C32" s="1969">
        <v>927.13</v>
      </c>
      <c r="D32" s="3324" t="s">
        <v>3429</v>
      </c>
      <c r="E32" s="3324" t="s">
        <v>3429</v>
      </c>
      <c r="F32" s="3324">
        <v>2</v>
      </c>
      <c r="G32" s="3325"/>
      <c r="H32" s="3326"/>
      <c r="I32" s="1969"/>
      <c r="J32" s="1969"/>
      <c r="L32">
        <v>6</v>
      </c>
      <c r="M32">
        <v>927.13</v>
      </c>
      <c r="N32">
        <v>2</v>
      </c>
      <c r="O32" t="s">
        <v>43</v>
      </c>
      <c r="P32" t="s">
        <v>210</v>
      </c>
    </row>
    <row r="33" spans="1:16">
      <c r="A33" s="1969"/>
      <c r="B33" s="3327">
        <v>7</v>
      </c>
      <c r="C33" s="1969">
        <v>927.13</v>
      </c>
      <c r="D33" s="3324" t="s">
        <v>3429</v>
      </c>
      <c r="E33" s="3324" t="s">
        <v>3429</v>
      </c>
      <c r="F33" s="3324">
        <v>3</v>
      </c>
      <c r="G33" s="3325"/>
      <c r="H33" s="3326"/>
      <c r="I33" s="1969"/>
      <c r="J33" s="1969"/>
      <c r="L33">
        <v>7</v>
      </c>
      <c r="M33">
        <v>927.13</v>
      </c>
      <c r="N33">
        <v>3</v>
      </c>
      <c r="O33" t="s">
        <v>43</v>
      </c>
      <c r="P33" t="s">
        <v>210</v>
      </c>
    </row>
    <row r="34" spans="1:16">
      <c r="A34" s="1969"/>
      <c r="B34" s="1969"/>
      <c r="C34" s="1969"/>
      <c r="D34" s="3324"/>
      <c r="E34" s="3324"/>
      <c r="F34" s="3324"/>
      <c r="G34" s="3325"/>
      <c r="H34" s="3326"/>
      <c r="I34" s="1969"/>
      <c r="J34" s="1969"/>
      <c r="K34" s="3300" t="s">
        <v>3467</v>
      </c>
      <c r="M34">
        <v>11376.31</v>
      </c>
    </row>
    <row r="35" spans="1:16">
      <c r="A35" s="1969"/>
      <c r="B35" s="1969"/>
      <c r="C35" s="1969"/>
      <c r="D35" s="3324"/>
      <c r="E35" s="3324"/>
      <c r="F35" s="3324"/>
      <c r="G35" s="3325"/>
      <c r="H35" s="3326"/>
      <c r="I35" s="1969"/>
      <c r="J35" s="1969"/>
    </row>
    <row r="36" spans="1:16">
      <c r="A36" s="1969"/>
      <c r="B36" s="1969"/>
      <c r="C36" s="3323" t="s">
        <v>3435</v>
      </c>
      <c r="D36" s="3324"/>
      <c r="E36" s="3324"/>
      <c r="F36" s="3324"/>
      <c r="G36" s="3325"/>
      <c r="H36" s="3326"/>
      <c r="I36" s="1969"/>
      <c r="J36" s="1969"/>
    </row>
    <row r="37" spans="1:16">
      <c r="A37" s="1969"/>
      <c r="B37" s="1969"/>
      <c r="C37" s="3323" t="s">
        <v>3428</v>
      </c>
      <c r="D37" s="3324" t="s">
        <v>3429</v>
      </c>
      <c r="E37" s="3324" t="s">
        <v>3416</v>
      </c>
      <c r="F37" s="3324"/>
      <c r="G37" s="3325"/>
      <c r="H37" s="3326"/>
      <c r="I37" s="1969"/>
      <c r="J37" s="1969"/>
    </row>
    <row r="38" spans="1:16">
      <c r="A38" s="1969"/>
      <c r="B38" s="3323" t="s">
        <v>3404</v>
      </c>
      <c r="C38" s="1969">
        <f>SUM(C20:C25)</f>
        <v>5093.33</v>
      </c>
      <c r="D38" s="3324">
        <f>SUM(C26)</f>
        <v>1243.3499999999999</v>
      </c>
      <c r="E38" s="3324">
        <f>SUM(C10:C19)</f>
        <v>2335.37</v>
      </c>
      <c r="F38" s="3324"/>
      <c r="G38" s="3325"/>
      <c r="H38" s="3326"/>
      <c r="I38" s="1969"/>
      <c r="J38" s="1969"/>
    </row>
    <row r="39" spans="1:16">
      <c r="A39" s="1969"/>
      <c r="B39" s="3323" t="s">
        <v>3403</v>
      </c>
      <c r="C39" s="1969"/>
      <c r="D39" s="3324">
        <f>SUM(C32:C33)</f>
        <v>1854.26</v>
      </c>
      <c r="E39" s="3324">
        <f>SUM(C27:C31)</f>
        <v>850</v>
      </c>
      <c r="F39" s="3324"/>
      <c r="G39" s="3325"/>
      <c r="H39" s="3326"/>
      <c r="I39" s="1969"/>
      <c r="J39" s="1969"/>
    </row>
    <row r="40" spans="1:16">
      <c r="A40" s="1969"/>
      <c r="B40" s="3323" t="s">
        <v>3436</v>
      </c>
      <c r="C40" s="3331">
        <f>SUM(C38:C39)</f>
        <v>5093.33</v>
      </c>
      <c r="D40" s="3331">
        <f t="shared" ref="D40:E40" si="0">SUM(D38:D39)</f>
        <v>3097.6099999999997</v>
      </c>
      <c r="E40" s="3331">
        <f t="shared" si="0"/>
        <v>3185.37</v>
      </c>
      <c r="F40" s="3330">
        <f>SUM(C40:E40)</f>
        <v>11376.31</v>
      </c>
      <c r="G40" s="3325"/>
      <c r="H40" s="3326"/>
      <c r="I40" s="1969"/>
      <c r="J40" s="1969"/>
    </row>
    <row r="41" spans="1:16">
      <c r="A41" s="1969"/>
      <c r="B41" s="1969"/>
      <c r="C41" s="1969"/>
      <c r="D41" s="3324"/>
      <c r="E41" s="3324"/>
      <c r="F41" s="3324"/>
      <c r="G41" s="3325"/>
      <c r="H41" s="3326"/>
      <c r="I41" s="1969"/>
      <c r="J41" s="1969"/>
    </row>
    <row r="42" spans="1:16">
      <c r="A42" s="1969"/>
      <c r="B42" s="1969"/>
      <c r="C42" s="1969"/>
      <c r="D42" s="3324"/>
      <c r="E42" s="3324"/>
      <c r="F42" s="3324"/>
      <c r="G42" s="3325"/>
      <c r="H42" s="3326"/>
      <c r="I42" s="1969"/>
      <c r="J42" s="1969"/>
    </row>
    <row r="43" spans="1:16">
      <c r="A43" s="1969"/>
      <c r="B43" s="1969"/>
      <c r="C43" s="1969"/>
      <c r="D43" s="3324"/>
      <c r="E43" s="3324"/>
      <c r="F43" s="3324"/>
      <c r="G43" s="3325"/>
      <c r="H43" s="3326"/>
      <c r="I43" s="1969"/>
      <c r="J43" s="1969"/>
    </row>
    <row r="44" spans="1:16">
      <c r="A44" s="1969"/>
      <c r="B44" s="1969"/>
      <c r="C44" s="1969"/>
      <c r="D44" s="3324"/>
      <c r="E44" s="3324"/>
      <c r="F44" s="3324"/>
      <c r="G44" s="3325"/>
      <c r="H44" s="3326"/>
      <c r="I44" s="1969"/>
      <c r="J44" s="1969"/>
    </row>
    <row r="45" spans="1:16">
      <c r="A45" s="1969"/>
      <c r="B45" s="1969"/>
      <c r="C45" s="1969"/>
      <c r="D45" s="3324"/>
      <c r="E45" s="3324"/>
      <c r="F45" s="3324"/>
      <c r="G45" s="3325"/>
      <c r="H45" s="3326"/>
      <c r="I45" s="1969"/>
      <c r="J45" s="1969"/>
    </row>
    <row r="46" spans="1:16">
      <c r="A46" s="1969"/>
      <c r="B46" s="1969"/>
      <c r="C46" s="1969"/>
      <c r="D46" s="3324"/>
      <c r="E46" s="3324"/>
      <c r="F46" s="3324"/>
      <c r="G46" s="3325"/>
      <c r="H46" s="3326"/>
      <c r="I46" s="1969"/>
      <c r="J46" s="1969"/>
    </row>
    <row r="47" spans="1:16">
      <c r="A47" s="1969"/>
      <c r="B47" s="1969"/>
      <c r="C47" s="1969"/>
      <c r="D47" s="3324"/>
      <c r="E47" s="3324"/>
      <c r="F47" s="3324"/>
      <c r="G47" s="3325"/>
      <c r="H47" s="3326"/>
      <c r="I47" s="1969"/>
      <c r="J47" s="1969"/>
    </row>
    <row r="48" spans="1:16">
      <c r="A48" s="1969"/>
      <c r="B48" s="1969"/>
      <c r="C48" s="1969"/>
      <c r="D48" s="3324"/>
      <c r="E48" s="3324"/>
      <c r="F48" s="3324"/>
      <c r="G48" s="3325"/>
      <c r="H48" s="3326"/>
      <c r="I48" s="1969"/>
      <c r="J48" s="1969"/>
    </row>
    <row r="49" spans="1:10">
      <c r="A49" s="1969"/>
      <c r="B49" s="1969"/>
      <c r="C49" s="1969"/>
      <c r="D49" s="3324"/>
      <c r="E49" s="3324"/>
      <c r="F49" s="3324"/>
      <c r="G49" s="3325"/>
      <c r="H49" s="3326"/>
      <c r="I49" s="1969"/>
      <c r="J49" s="1969"/>
    </row>
    <row r="50" spans="1:10">
      <c r="A50" s="1969"/>
      <c r="B50" s="1969"/>
      <c r="C50" s="1969"/>
      <c r="D50" s="3324"/>
      <c r="E50" s="3324"/>
      <c r="F50" s="3324"/>
      <c r="G50" s="3325"/>
      <c r="H50" s="3326"/>
      <c r="I50" s="1969"/>
      <c r="J50" s="1969"/>
    </row>
    <row r="51" spans="1:10">
      <c r="A51" s="1969"/>
      <c r="B51" s="1969"/>
      <c r="C51" s="1969"/>
      <c r="D51" s="3324"/>
      <c r="E51" s="3324"/>
      <c r="F51" s="3324"/>
      <c r="G51" s="3325"/>
      <c r="H51" s="3326"/>
      <c r="I51" s="1969"/>
      <c r="J51" s="1969"/>
    </row>
    <row r="52" spans="1:10">
      <c r="A52" s="1969"/>
      <c r="B52" s="1969"/>
      <c r="C52" s="1969"/>
      <c r="D52" s="3324"/>
      <c r="E52" s="3324"/>
      <c r="F52" s="3324"/>
      <c r="G52" s="3325"/>
      <c r="H52" s="3326"/>
      <c r="I52" s="1969"/>
      <c r="J52" s="1969"/>
    </row>
    <row r="53" spans="1:10">
      <c r="A53" s="1969"/>
      <c r="B53" s="1969"/>
      <c r="C53" s="1969"/>
      <c r="D53" s="3324"/>
      <c r="E53" s="3324"/>
      <c r="F53" s="3324"/>
      <c r="G53" s="3325"/>
      <c r="H53" s="3326"/>
      <c r="I53" s="1969"/>
      <c r="J53" s="1969"/>
    </row>
    <row r="54" spans="1:10">
      <c r="A54" s="1969"/>
      <c r="B54" s="1969"/>
      <c r="C54" s="1969"/>
      <c r="D54" s="3324"/>
      <c r="E54" s="3324"/>
      <c r="F54" s="3324"/>
      <c r="G54" s="3325"/>
      <c r="H54" s="3326"/>
      <c r="I54" s="1969"/>
      <c r="J54" s="1969"/>
    </row>
    <row r="55" spans="1:10">
      <c r="A55" s="1969"/>
      <c r="B55" s="1969"/>
      <c r="C55" s="1969"/>
      <c r="D55" s="3324"/>
      <c r="E55" s="3324"/>
      <c r="F55" s="3324"/>
      <c r="G55" s="3325"/>
      <c r="H55" s="3326"/>
      <c r="I55" s="1969"/>
      <c r="J55" s="1969"/>
    </row>
    <row r="56" spans="1:10">
      <c r="A56" s="1969"/>
      <c r="B56" s="1969"/>
      <c r="C56" s="1969"/>
      <c r="D56" s="3324"/>
      <c r="E56" s="3324"/>
      <c r="F56" s="3324"/>
      <c r="G56" s="3325"/>
      <c r="H56" s="3326"/>
      <c r="I56" s="1969"/>
      <c r="J56" s="1969"/>
    </row>
    <row r="57" spans="1:10">
      <c r="A57" s="1969"/>
      <c r="B57" s="1969"/>
      <c r="C57" s="1969"/>
      <c r="D57" s="3324"/>
      <c r="E57" s="3324"/>
      <c r="F57" s="3324"/>
      <c r="G57" s="3325"/>
      <c r="H57" s="3326"/>
      <c r="I57" s="1969"/>
      <c r="J57" s="1969"/>
    </row>
    <row r="58" spans="1:10">
      <c r="A58" s="1969"/>
      <c r="B58" s="1969"/>
      <c r="C58" s="1969"/>
      <c r="D58" s="3324"/>
      <c r="E58" s="3324"/>
      <c r="F58" s="3324"/>
      <c r="G58" s="3325"/>
      <c r="H58" s="3326"/>
      <c r="I58" s="1969"/>
      <c r="J58" s="1969"/>
    </row>
    <row r="59" spans="1:10">
      <c r="A59" s="1969"/>
      <c r="B59" s="1969"/>
      <c r="C59" s="1969"/>
      <c r="D59" s="3324"/>
      <c r="E59" s="3324"/>
      <c r="F59" s="3324"/>
      <c r="G59" s="3325"/>
      <c r="H59" s="3326"/>
      <c r="I59" s="1969"/>
      <c r="J59" s="1969"/>
    </row>
    <row r="60" spans="1:10">
      <c r="A60" s="1969"/>
      <c r="B60" s="1969"/>
      <c r="C60" s="1969"/>
      <c r="D60" s="3324"/>
      <c r="E60" s="3324"/>
      <c r="F60" s="3324"/>
      <c r="G60" s="3325"/>
      <c r="H60" s="3326"/>
      <c r="I60" s="1969"/>
      <c r="J60" s="1969"/>
    </row>
    <row r="61" spans="1:10">
      <c r="A61" s="1969"/>
      <c r="B61" s="1969"/>
      <c r="C61" s="1969"/>
      <c r="D61" s="3324"/>
      <c r="E61" s="3324"/>
      <c r="F61" s="3324"/>
      <c r="G61" s="3325"/>
      <c r="H61" s="3326"/>
      <c r="I61" s="1969"/>
      <c r="J61" s="1969"/>
    </row>
    <row r="62" spans="1:10">
      <c r="A62" s="1969"/>
      <c r="B62" s="1969"/>
      <c r="C62" s="1969"/>
      <c r="D62" s="3324"/>
      <c r="E62" s="3324"/>
      <c r="F62" s="3324"/>
      <c r="G62" s="3325"/>
      <c r="H62" s="3326"/>
      <c r="I62" s="1969"/>
      <c r="J62" s="1969"/>
    </row>
    <row r="63" spans="1:10">
      <c r="A63" s="1969"/>
      <c r="B63" s="1969"/>
      <c r="C63" s="1969"/>
      <c r="D63" s="3324"/>
      <c r="E63" s="3324"/>
      <c r="F63" s="3324"/>
      <c r="G63" s="3325"/>
      <c r="H63" s="3326"/>
      <c r="I63" s="1969"/>
      <c r="J63" s="1969"/>
    </row>
    <row r="64" spans="1:10">
      <c r="A64" s="1969"/>
      <c r="B64" s="1969"/>
      <c r="C64" s="1969"/>
      <c r="D64" s="3324"/>
      <c r="E64" s="3324"/>
      <c r="F64" s="3324"/>
      <c r="G64" s="3325"/>
      <c r="H64" s="3326"/>
      <c r="I64" s="1969"/>
      <c r="J64" s="1969"/>
    </row>
    <row r="65" spans="1:10">
      <c r="A65" s="1969"/>
      <c r="B65" s="1969"/>
      <c r="C65" s="1969"/>
      <c r="D65" s="3324"/>
      <c r="E65" s="3324"/>
      <c r="F65" s="3324"/>
      <c r="G65" s="3325"/>
      <c r="H65" s="3326"/>
      <c r="I65" s="1969"/>
      <c r="J65" s="1969"/>
    </row>
    <row r="66" spans="1:10">
      <c r="A66" s="1969"/>
      <c r="B66" s="1969"/>
      <c r="C66" s="1969"/>
      <c r="D66" s="3324"/>
      <c r="E66" s="3324"/>
      <c r="F66" s="3324"/>
      <c r="G66" s="3325"/>
      <c r="H66" s="3326"/>
      <c r="I66" s="1969"/>
      <c r="J66" s="1969"/>
    </row>
    <row r="67" spans="1:10">
      <c r="A67" s="1969"/>
      <c r="B67" s="1969"/>
      <c r="C67" s="1969"/>
      <c r="D67" s="3324"/>
      <c r="E67" s="3324"/>
      <c r="F67" s="3324"/>
      <c r="G67" s="3325"/>
      <c r="H67" s="3326"/>
      <c r="I67" s="1969"/>
      <c r="J67" s="1969"/>
    </row>
    <row r="68" spans="1:10">
      <c r="A68" s="1969"/>
      <c r="B68" s="1969"/>
      <c r="C68" s="1969"/>
      <c r="D68" s="3324"/>
      <c r="E68" s="3324"/>
      <c r="F68" s="3324"/>
      <c r="G68" s="3325"/>
      <c r="H68" s="3326"/>
      <c r="I68" s="1969"/>
      <c r="J68" s="1969"/>
    </row>
    <row r="69" spans="1:10">
      <c r="A69" s="1969"/>
      <c r="B69" s="1969"/>
      <c r="C69" s="1969"/>
      <c r="D69" s="3324"/>
      <c r="E69" s="3324"/>
      <c r="F69" s="3324"/>
      <c r="G69" s="3325"/>
      <c r="H69" s="3326"/>
      <c r="I69" s="1969"/>
      <c r="J69" s="1969"/>
    </row>
    <row r="70" spans="1:10">
      <c r="A70" s="1969"/>
      <c r="B70" s="1969"/>
      <c r="C70" s="1969"/>
      <c r="D70" s="3324"/>
      <c r="E70" s="3324"/>
      <c r="F70" s="3324"/>
      <c r="G70" s="3325"/>
      <c r="H70" s="3326"/>
      <c r="I70" s="1969"/>
      <c r="J70" s="1969"/>
    </row>
    <row r="71" spans="1:10">
      <c r="A71" s="1969"/>
      <c r="B71" s="1969"/>
      <c r="C71" s="1969"/>
      <c r="D71" s="3324"/>
      <c r="E71" s="3324"/>
      <c r="F71" s="3324"/>
      <c r="G71" s="3325"/>
      <c r="H71" s="3326"/>
      <c r="I71" s="1969"/>
      <c r="J71" s="1969"/>
    </row>
    <row r="72" spans="1:10">
      <c r="A72" s="1969"/>
      <c r="B72" s="1969"/>
      <c r="C72" s="1969"/>
      <c r="D72" s="3324"/>
      <c r="E72" s="3324"/>
      <c r="F72" s="3324"/>
      <c r="G72" s="3325"/>
      <c r="H72" s="3326"/>
      <c r="I72" s="1969"/>
      <c r="J72" s="1969"/>
    </row>
    <row r="73" spans="1:10">
      <c r="A73" s="1969"/>
      <c r="B73" s="1969"/>
      <c r="C73" s="1969"/>
      <c r="D73" s="3324"/>
      <c r="E73" s="3324"/>
      <c r="F73" s="3324"/>
      <c r="G73" s="3325"/>
      <c r="H73" s="3326"/>
      <c r="I73" s="1969"/>
      <c r="J73" s="1969"/>
    </row>
    <row r="74" spans="1:10">
      <c r="A74" s="1969"/>
      <c r="B74" s="1969"/>
      <c r="C74" s="1969"/>
      <c r="D74" s="3324"/>
      <c r="E74" s="3324"/>
      <c r="F74" s="3324"/>
      <c r="G74" s="3325"/>
      <c r="H74" s="3326"/>
      <c r="I74" s="1969"/>
      <c r="J74" s="1969"/>
    </row>
    <row r="75" spans="1:10">
      <c r="A75" s="1969"/>
      <c r="B75" s="1969"/>
      <c r="C75" s="1969"/>
      <c r="D75" s="3324"/>
      <c r="E75" s="3324"/>
      <c r="F75" s="3324"/>
      <c r="G75" s="3325"/>
      <c r="H75" s="3326"/>
      <c r="I75" s="1969"/>
      <c r="J75" s="1969"/>
    </row>
    <row r="76" spans="1:10">
      <c r="A76" s="1969"/>
      <c r="B76" s="1969"/>
      <c r="C76" s="1969"/>
      <c r="D76" s="3324"/>
      <c r="E76" s="3324"/>
      <c r="F76" s="3324"/>
      <c r="G76" s="3325"/>
      <c r="H76" s="3326"/>
      <c r="I76" s="1969"/>
      <c r="J76" s="1969"/>
    </row>
    <row r="77" spans="1:10">
      <c r="A77" s="1969"/>
      <c r="B77" s="1969"/>
      <c r="C77" s="1969"/>
      <c r="D77" s="3324"/>
      <c r="E77" s="3324"/>
      <c r="F77" s="3324"/>
      <c r="G77" s="3325"/>
      <c r="H77" s="3326"/>
      <c r="I77" s="1969"/>
      <c r="J77" s="1969"/>
    </row>
    <row r="78" spans="1:10">
      <c r="A78" s="1969"/>
      <c r="B78" s="1969"/>
      <c r="C78" s="1969"/>
      <c r="D78" s="3324"/>
      <c r="E78" s="3324"/>
      <c r="F78" s="3324"/>
      <c r="G78" s="3325"/>
      <c r="H78" s="3326"/>
      <c r="I78" s="1969"/>
      <c r="J78" s="1969"/>
    </row>
    <row r="79" spans="1:10">
      <c r="A79" s="1969"/>
      <c r="B79" s="1969"/>
      <c r="C79" s="1969"/>
      <c r="D79" s="3324"/>
      <c r="E79" s="3324"/>
      <c r="F79" s="3324"/>
      <c r="G79" s="3325"/>
      <c r="H79" s="3326"/>
      <c r="I79" s="1969"/>
      <c r="J79" s="1969"/>
    </row>
    <row r="80" spans="1:10">
      <c r="A80" s="1969"/>
      <c r="B80" s="1969"/>
      <c r="C80" s="1969"/>
      <c r="D80" s="3324"/>
      <c r="E80" s="3324"/>
      <c r="F80" s="3324"/>
      <c r="G80" s="3325"/>
      <c r="H80" s="3326"/>
      <c r="I80" s="1969"/>
      <c r="J80" s="1969"/>
    </row>
    <row r="81" spans="1:10">
      <c r="A81" s="1969"/>
      <c r="B81" s="1969"/>
      <c r="C81" s="1969"/>
      <c r="D81" s="3324"/>
      <c r="E81" s="3324"/>
      <c r="F81" s="3324"/>
      <c r="G81" s="3325"/>
      <c r="H81" s="3326"/>
      <c r="I81" s="1969"/>
      <c r="J81" s="1969"/>
    </row>
    <row r="82" spans="1:10">
      <c r="A82" s="1969"/>
      <c r="B82" s="1969"/>
      <c r="C82" s="1969"/>
      <c r="D82" s="3324"/>
      <c r="E82" s="3324"/>
      <c r="F82" s="3324"/>
      <c r="G82" s="3325"/>
      <c r="H82" s="3326"/>
      <c r="I82" s="1969"/>
      <c r="J82" s="1969"/>
    </row>
    <row r="83" spans="1:10">
      <c r="A83" s="1969"/>
      <c r="B83" s="1969"/>
      <c r="C83" s="1969"/>
      <c r="D83" s="3324"/>
      <c r="E83" s="3324"/>
      <c r="F83" s="3324"/>
      <c r="G83" s="3325"/>
      <c r="H83" s="3326"/>
      <c r="I83" s="1969"/>
      <c r="J83" s="1969"/>
    </row>
    <row r="84" spans="1:10">
      <c r="A84" s="1969"/>
      <c r="B84" s="1969"/>
      <c r="C84" s="1969"/>
      <c r="D84" s="3324"/>
      <c r="E84" s="3324"/>
      <c r="F84" s="3324"/>
      <c r="G84" s="3325"/>
      <c r="H84" s="3326"/>
      <c r="I84" s="1969"/>
      <c r="J84" s="1969"/>
    </row>
    <row r="85" spans="1:10">
      <c r="A85" s="1969"/>
      <c r="B85" s="1969"/>
      <c r="C85" s="1969"/>
      <c r="D85" s="3324"/>
      <c r="E85" s="3324"/>
      <c r="F85" s="3324"/>
      <c r="G85" s="3325"/>
      <c r="H85" s="3326"/>
      <c r="I85" s="1969"/>
      <c r="J85" s="1969"/>
    </row>
    <row r="86" spans="1:10">
      <c r="A86" s="1969"/>
      <c r="B86" s="1969"/>
      <c r="C86" s="1969"/>
      <c r="D86" s="3324"/>
      <c r="E86" s="3324"/>
      <c r="F86" s="3324"/>
      <c r="G86" s="3325"/>
      <c r="H86" s="3326"/>
      <c r="I86" s="1969"/>
      <c r="J86" s="1969"/>
    </row>
    <row r="87" spans="1:10">
      <c r="A87" s="1969"/>
      <c r="B87" s="1969"/>
      <c r="C87" s="1969"/>
      <c r="D87" s="3324"/>
      <c r="E87" s="3324"/>
      <c r="F87" s="3324"/>
      <c r="G87" s="3325"/>
      <c r="H87" s="3326"/>
      <c r="I87" s="1969"/>
      <c r="J87" s="1969"/>
    </row>
    <row r="88" spans="1:10">
      <c r="A88" s="1969"/>
      <c r="B88" s="1969"/>
      <c r="C88" s="1969"/>
      <c r="D88" s="3324"/>
      <c r="E88" s="3324"/>
      <c r="F88" s="3324"/>
      <c r="G88" s="3325"/>
      <c r="H88" s="3326"/>
      <c r="I88" s="1969"/>
      <c r="J88" s="1969"/>
    </row>
    <row r="89" spans="1:10">
      <c r="A89" s="1969"/>
      <c r="B89" s="1969"/>
      <c r="C89" s="1969"/>
      <c r="D89" s="3324"/>
      <c r="E89" s="3324"/>
      <c r="F89" s="3324"/>
      <c r="G89" s="3325"/>
      <c r="H89" s="3326"/>
      <c r="I89" s="1969"/>
      <c r="J89" s="1969"/>
    </row>
    <row r="90" spans="1:10">
      <c r="A90" s="1969"/>
      <c r="B90" s="1969"/>
      <c r="C90" s="1969"/>
      <c r="D90" s="3324"/>
      <c r="E90" s="3324"/>
      <c r="F90" s="3324"/>
      <c r="G90" s="3325"/>
      <c r="H90" s="3326"/>
      <c r="I90" s="1969"/>
      <c r="J90" s="1969"/>
    </row>
    <row r="91" spans="1:10">
      <c r="A91" s="1969"/>
      <c r="B91" s="1969"/>
      <c r="C91" s="1969"/>
      <c r="D91" s="3324"/>
      <c r="E91" s="3324"/>
      <c r="F91" s="3324"/>
      <c r="G91" s="3325"/>
      <c r="H91" s="3326"/>
      <c r="I91" s="1969"/>
      <c r="J91" s="1969"/>
    </row>
    <row r="92" spans="1:10">
      <c r="A92" s="1969"/>
      <c r="B92" s="1969"/>
      <c r="C92" s="1969"/>
      <c r="D92" s="3324"/>
      <c r="E92" s="3324"/>
      <c r="F92" s="3324"/>
      <c r="G92" s="3325"/>
      <c r="H92" s="3326"/>
      <c r="I92" s="1969"/>
      <c r="J92" s="1969"/>
    </row>
    <row r="93" spans="1:10">
      <c r="A93" s="1969"/>
      <c r="B93" s="1969"/>
      <c r="C93" s="1969"/>
      <c r="D93" s="3324"/>
      <c r="E93" s="3324"/>
      <c r="F93" s="3324"/>
      <c r="G93" s="3325"/>
      <c r="H93" s="3326"/>
      <c r="I93" s="1969"/>
      <c r="J93" s="1969"/>
    </row>
    <row r="94" spans="1:10">
      <c r="A94" s="1969"/>
      <c r="B94" s="1969"/>
      <c r="C94" s="1969"/>
      <c r="D94" s="3324"/>
      <c r="E94" s="3324"/>
      <c r="F94" s="3324"/>
      <c r="G94" s="3325"/>
      <c r="H94" s="3326"/>
      <c r="I94" s="1969"/>
      <c r="J94" s="1969"/>
    </row>
    <row r="95" spans="1:10">
      <c r="A95" s="1969"/>
      <c r="B95" s="1969"/>
      <c r="C95" s="1969"/>
      <c r="D95" s="3324"/>
      <c r="E95" s="3324"/>
      <c r="F95" s="3324"/>
      <c r="G95" s="3325"/>
      <c r="H95" s="3326"/>
      <c r="I95" s="1969"/>
      <c r="J95" s="1969"/>
    </row>
    <row r="96" spans="1:10">
      <c r="A96" s="1969"/>
      <c r="B96" s="1969"/>
      <c r="C96" s="1969"/>
      <c r="D96" s="3324"/>
      <c r="E96" s="3324"/>
      <c r="F96" s="3324"/>
      <c r="G96" s="3325"/>
      <c r="H96" s="3326"/>
      <c r="I96" s="1969"/>
      <c r="J96" s="1969"/>
    </row>
    <row r="97" spans="1:10">
      <c r="A97" s="1969"/>
      <c r="B97" s="1969"/>
      <c r="C97" s="1969"/>
      <c r="D97" s="3324"/>
      <c r="E97" s="3324"/>
      <c r="F97" s="3324"/>
      <c r="G97" s="3325"/>
      <c r="H97" s="3326"/>
      <c r="I97" s="1969"/>
      <c r="J97" s="1969"/>
    </row>
    <row r="98" spans="1:10">
      <c r="A98" s="1969"/>
      <c r="B98" s="1969"/>
      <c r="C98" s="1969"/>
      <c r="D98" s="3324"/>
      <c r="E98" s="3324"/>
      <c r="F98" s="3324"/>
      <c r="G98" s="3325"/>
      <c r="H98" s="3326"/>
      <c r="I98" s="1969"/>
      <c r="J98" s="1969"/>
    </row>
    <row r="99" spans="1:10">
      <c r="A99" s="1969"/>
      <c r="B99" s="1969"/>
      <c r="C99" s="1969"/>
      <c r="D99" s="3324"/>
      <c r="E99" s="3324"/>
      <c r="F99" s="3324"/>
      <c r="G99" s="3325"/>
      <c r="H99" s="3326"/>
      <c r="I99" s="1969"/>
      <c r="J99" s="1969"/>
    </row>
    <row r="100" spans="1:10">
      <c r="A100" s="1969"/>
      <c r="B100" s="1969"/>
      <c r="C100" s="1969"/>
      <c r="D100" s="3324"/>
      <c r="E100" s="3324"/>
      <c r="F100" s="3324"/>
      <c r="G100" s="3325"/>
      <c r="H100" s="3326"/>
      <c r="I100" s="1969"/>
      <c r="J100" s="1969"/>
    </row>
    <row r="101" spans="1:10">
      <c r="A101" s="1969"/>
      <c r="B101" s="1969"/>
      <c r="C101" s="1969"/>
      <c r="D101" s="3324"/>
      <c r="E101" s="3324"/>
      <c r="F101" s="3324"/>
      <c r="G101" s="3325"/>
      <c r="H101" s="3326"/>
      <c r="I101" s="1969"/>
      <c r="J101" s="1969"/>
    </row>
    <row r="102" spans="1:10">
      <c r="A102" s="1969"/>
      <c r="B102" s="1969"/>
      <c r="C102" s="1969"/>
      <c r="D102" s="3324"/>
      <c r="E102" s="3324"/>
      <c r="F102" s="3324"/>
      <c r="G102" s="3325"/>
      <c r="H102" s="3326"/>
      <c r="I102" s="1969"/>
      <c r="J102" s="1969"/>
    </row>
    <row r="103" spans="1:10">
      <c r="A103" s="1969"/>
      <c r="B103" s="1969"/>
      <c r="C103" s="1969"/>
      <c r="D103" s="3324"/>
      <c r="E103" s="3324"/>
      <c r="F103" s="3324"/>
      <c r="G103" s="3325"/>
      <c r="H103" s="3326"/>
      <c r="I103" s="1969"/>
      <c r="J103" s="1969"/>
    </row>
    <row r="104" spans="1:10">
      <c r="A104" s="1969"/>
      <c r="B104" s="1969"/>
      <c r="C104" s="1969"/>
      <c r="D104" s="3324"/>
      <c r="E104" s="3324"/>
      <c r="F104" s="3324"/>
      <c r="G104" s="3325"/>
      <c r="H104" s="3326"/>
      <c r="I104" s="1969"/>
      <c r="J104" s="1969"/>
    </row>
    <row r="105" spans="1:10">
      <c r="A105" s="1969"/>
      <c r="B105" s="1969"/>
      <c r="C105" s="1969"/>
      <c r="D105" s="3324"/>
      <c r="E105" s="3324"/>
      <c r="F105" s="3324"/>
      <c r="G105" s="3325"/>
      <c r="H105" s="3326"/>
      <c r="I105" s="1969"/>
      <c r="J105" s="1969"/>
    </row>
    <row r="106" spans="1:10">
      <c r="A106" s="1969"/>
      <c r="B106" s="1969"/>
      <c r="C106" s="1969"/>
      <c r="D106" s="3324"/>
      <c r="E106" s="3324"/>
      <c r="F106" s="3324"/>
      <c r="G106" s="3325"/>
      <c r="H106" s="3326"/>
      <c r="I106" s="1969"/>
      <c r="J106" s="1969"/>
    </row>
    <row r="107" spans="1:10">
      <c r="A107" s="1969"/>
      <c r="B107" s="1969"/>
      <c r="C107" s="1969"/>
      <c r="D107" s="3324"/>
      <c r="E107" s="3324"/>
      <c r="F107" s="3324"/>
      <c r="G107" s="3325"/>
      <c r="H107" s="3326"/>
      <c r="I107" s="1969"/>
      <c r="J107" s="1969"/>
    </row>
    <row r="108" spans="1:10">
      <c r="A108" s="1969"/>
      <c r="B108" s="1969"/>
      <c r="C108" s="1969"/>
      <c r="D108" s="3324"/>
      <c r="E108" s="3324"/>
      <c r="F108" s="3324"/>
      <c r="G108" s="3325"/>
      <c r="H108" s="3326"/>
      <c r="I108" s="1969"/>
      <c r="J108" s="1969"/>
    </row>
    <row r="109" spans="1:10">
      <c r="A109" s="1969"/>
      <c r="B109" s="1969"/>
      <c r="C109" s="1969"/>
      <c r="D109" s="3324"/>
      <c r="E109" s="3324"/>
      <c r="F109" s="3324"/>
      <c r="G109" s="3325"/>
      <c r="H109" s="3326"/>
      <c r="I109" s="1969"/>
      <c r="J109" s="1969"/>
    </row>
    <row r="110" spans="1:10">
      <c r="A110" s="1969"/>
      <c r="B110" s="1969"/>
      <c r="C110" s="1969"/>
      <c r="D110" s="3324"/>
      <c r="E110" s="3324"/>
      <c r="F110" s="3324"/>
      <c r="G110" s="3325"/>
      <c r="H110" s="3326"/>
      <c r="I110" s="1969"/>
      <c r="J110" s="1969"/>
    </row>
    <row r="111" spans="1:10">
      <c r="A111" s="1969"/>
      <c r="B111" s="1969"/>
      <c r="C111" s="1969"/>
      <c r="D111" s="3324"/>
      <c r="E111" s="3324"/>
      <c r="F111" s="3324"/>
      <c r="G111" s="3325"/>
      <c r="H111" s="3326"/>
      <c r="I111" s="1969"/>
      <c r="J111" s="1969"/>
    </row>
    <row r="112" spans="1:10">
      <c r="A112" s="1969"/>
      <c r="B112" s="1969"/>
      <c r="C112" s="1969"/>
      <c r="D112" s="3324"/>
      <c r="E112" s="3324"/>
      <c r="F112" s="3324"/>
      <c r="G112" s="3325"/>
      <c r="H112" s="3326"/>
      <c r="I112" s="1969"/>
      <c r="J112" s="1969"/>
    </row>
    <row r="113" spans="1:10">
      <c r="A113" s="1969"/>
      <c r="B113" s="1969"/>
      <c r="C113" s="1969"/>
      <c r="D113" s="3324"/>
      <c r="E113" s="3324"/>
      <c r="F113" s="3324"/>
      <c r="G113" s="3325"/>
      <c r="H113" s="3326"/>
      <c r="I113" s="1969"/>
      <c r="J113" s="1969"/>
    </row>
    <row r="114" spans="1:10">
      <c r="A114" s="1969"/>
      <c r="B114" s="1969"/>
      <c r="C114" s="1969"/>
      <c r="D114" s="3324"/>
      <c r="E114" s="3324"/>
      <c r="F114" s="3324"/>
      <c r="G114" s="3325"/>
      <c r="H114" s="3326"/>
      <c r="I114" s="1969"/>
      <c r="J114" s="1969"/>
    </row>
    <row r="115" spans="1:10">
      <c r="A115" s="1969"/>
      <c r="B115" s="1969"/>
      <c r="C115" s="1969"/>
      <c r="D115" s="3324"/>
      <c r="E115" s="3324"/>
      <c r="F115" s="3324"/>
      <c r="G115" s="3325"/>
      <c r="H115" s="3326"/>
      <c r="I115" s="1969"/>
      <c r="J115" s="1969"/>
    </row>
    <row r="116" spans="1:10">
      <c r="A116" s="1969"/>
      <c r="B116" s="1969"/>
      <c r="C116" s="1969"/>
      <c r="D116" s="3324"/>
      <c r="E116" s="3324"/>
      <c r="F116" s="3324"/>
      <c r="G116" s="3325"/>
      <c r="H116" s="3326"/>
      <c r="I116" s="1969"/>
      <c r="J116" s="1969"/>
    </row>
    <row r="117" spans="1:10">
      <c r="A117" s="1969"/>
      <c r="B117" s="1969"/>
      <c r="C117" s="1969"/>
      <c r="D117" s="3324"/>
      <c r="E117" s="3324"/>
      <c r="F117" s="3324"/>
      <c r="G117" s="3325"/>
      <c r="H117" s="3326"/>
      <c r="I117" s="1969"/>
      <c r="J117" s="1969"/>
    </row>
    <row r="118" spans="1:10">
      <c r="A118" s="1969"/>
      <c r="B118" s="1969"/>
      <c r="C118" s="1969"/>
      <c r="D118" s="3324"/>
      <c r="E118" s="3324"/>
      <c r="F118" s="3324"/>
      <c r="G118" s="3325"/>
      <c r="H118" s="3326"/>
      <c r="I118" s="1969"/>
      <c r="J118" s="1969"/>
    </row>
    <row r="119" spans="1:10">
      <c r="A119" s="1969"/>
      <c r="B119" s="1969"/>
      <c r="C119" s="1969"/>
      <c r="D119" s="3324"/>
      <c r="E119" s="3324"/>
      <c r="F119" s="3324"/>
      <c r="G119" s="3325"/>
      <c r="H119" s="3326"/>
      <c r="I119" s="1969"/>
      <c r="J119" s="1969"/>
    </row>
    <row r="120" spans="1:10">
      <c r="A120" s="1969"/>
      <c r="B120" s="1969"/>
      <c r="C120" s="1969"/>
      <c r="D120" s="3324"/>
      <c r="E120" s="3324"/>
      <c r="F120" s="3324"/>
      <c r="G120" s="3325"/>
      <c r="H120" s="3326"/>
      <c r="I120" s="1969"/>
      <c r="J120" s="1969"/>
    </row>
    <row r="121" spans="1:10">
      <c r="A121" s="1969"/>
      <c r="B121" s="1969"/>
      <c r="C121" s="1969"/>
      <c r="D121" s="3324"/>
      <c r="E121" s="3324"/>
      <c r="F121" s="3324"/>
      <c r="G121" s="3325"/>
      <c r="H121" s="3326"/>
      <c r="I121" s="1969"/>
      <c r="J121" s="1969"/>
    </row>
    <row r="122" spans="1:10">
      <c r="A122" s="1969"/>
      <c r="B122" s="1969"/>
      <c r="C122" s="1969"/>
      <c r="D122" s="3324"/>
      <c r="E122" s="3324"/>
      <c r="F122" s="3324"/>
      <c r="G122" s="3325"/>
      <c r="H122" s="3326"/>
      <c r="I122" s="1969"/>
      <c r="J122" s="1969"/>
    </row>
    <row r="123" spans="1:10">
      <c r="A123" s="1969"/>
      <c r="B123" s="1969"/>
      <c r="C123" s="1969"/>
      <c r="D123" s="3324"/>
      <c r="E123" s="3324"/>
      <c r="F123" s="3324"/>
      <c r="G123" s="3325"/>
      <c r="H123" s="3326"/>
      <c r="I123" s="1969"/>
      <c r="J123" s="1969"/>
    </row>
    <row r="124" spans="1:10">
      <c r="A124" s="1969"/>
      <c r="B124" s="1969"/>
      <c r="C124" s="1969"/>
      <c r="D124" s="3324"/>
      <c r="E124" s="3324"/>
      <c r="F124" s="3324"/>
      <c r="G124" s="3325"/>
      <c r="H124" s="3326"/>
      <c r="I124" s="1969"/>
      <c r="J124" s="1969"/>
    </row>
    <row r="125" spans="1:10">
      <c r="A125" s="1969"/>
      <c r="B125" s="1969"/>
      <c r="C125" s="1969"/>
      <c r="D125" s="3324"/>
      <c r="E125" s="3324"/>
      <c r="F125" s="3324"/>
      <c r="G125" s="3325"/>
      <c r="H125" s="3326"/>
      <c r="I125" s="1969"/>
      <c r="J125" s="1969"/>
    </row>
    <row r="126" spans="1:10">
      <c r="A126" s="1969"/>
      <c r="B126" s="1969"/>
      <c r="C126" s="1969"/>
      <c r="D126" s="3324"/>
      <c r="E126" s="3324"/>
      <c r="F126" s="3324"/>
      <c r="G126" s="3325"/>
      <c r="H126" s="3326"/>
      <c r="I126" s="1969"/>
      <c r="J126" s="1969"/>
    </row>
    <row r="127" spans="1:10">
      <c r="A127" s="1969"/>
      <c r="B127" s="1969"/>
      <c r="C127" s="1969"/>
      <c r="D127" s="3324"/>
      <c r="E127" s="3324"/>
      <c r="F127" s="3324"/>
      <c r="G127" s="3325"/>
      <c r="H127" s="3326"/>
      <c r="I127" s="1969"/>
      <c r="J127" s="1969"/>
    </row>
    <row r="128" spans="1:10">
      <c r="A128" s="1969"/>
      <c r="B128" s="1969"/>
      <c r="C128" s="1969"/>
      <c r="D128" s="3324"/>
      <c r="E128" s="3324"/>
      <c r="F128" s="3324"/>
      <c r="G128" s="3325"/>
      <c r="H128" s="3326"/>
      <c r="I128" s="1969"/>
      <c r="J128" s="1969"/>
    </row>
    <row r="129" spans="1:10">
      <c r="A129" s="1969"/>
      <c r="B129" s="1969"/>
      <c r="C129" s="1969"/>
      <c r="D129" s="3324"/>
      <c r="E129" s="3324"/>
      <c r="F129" s="3324"/>
      <c r="G129" s="3325"/>
      <c r="H129" s="3326"/>
      <c r="I129" s="1969"/>
      <c r="J129" s="1969"/>
    </row>
    <row r="130" spans="1:10">
      <c r="A130" s="1969"/>
      <c r="B130" s="1969"/>
      <c r="C130" s="1969"/>
      <c r="D130" s="3324"/>
      <c r="E130" s="3324"/>
      <c r="F130" s="3324"/>
      <c r="G130" s="3325"/>
      <c r="H130" s="3326"/>
      <c r="I130" s="1969"/>
      <c r="J130" s="1969"/>
    </row>
    <row r="131" spans="1:10">
      <c r="A131" s="1969"/>
      <c r="B131" s="1969"/>
      <c r="C131" s="1969"/>
      <c r="D131" s="3324"/>
      <c r="E131" s="3324"/>
      <c r="F131" s="3324"/>
      <c r="G131" s="3325"/>
      <c r="H131" s="3326"/>
      <c r="I131" s="1969"/>
      <c r="J131" s="1969"/>
    </row>
    <row r="132" spans="1:10">
      <c r="A132" s="1969"/>
      <c r="B132" s="1969"/>
      <c r="C132" s="1969"/>
      <c r="D132" s="3324"/>
      <c r="E132" s="3324"/>
      <c r="F132" s="3324"/>
      <c r="G132" s="3325"/>
      <c r="H132" s="3326"/>
      <c r="I132" s="1969"/>
      <c r="J132" s="1969"/>
    </row>
    <row r="133" spans="1:10">
      <c r="A133" s="1969"/>
      <c r="B133" s="1969"/>
      <c r="C133" s="1969"/>
      <c r="D133" s="3324"/>
      <c r="E133" s="3324"/>
      <c r="F133" s="3324"/>
      <c r="G133" s="3325"/>
      <c r="H133" s="3326"/>
      <c r="I133" s="1969"/>
      <c r="J133" s="1969"/>
    </row>
    <row r="134" spans="1:10">
      <c r="A134" s="1969"/>
      <c r="B134" s="1969"/>
      <c r="C134" s="1969"/>
      <c r="D134" s="3324"/>
      <c r="E134" s="3324"/>
      <c r="F134" s="3324"/>
      <c r="G134" s="3325"/>
      <c r="H134" s="3326"/>
      <c r="I134" s="1969"/>
      <c r="J134" s="1969"/>
    </row>
    <row r="135" spans="1:10">
      <c r="A135" s="1969"/>
      <c r="B135" s="1969"/>
      <c r="C135" s="1969"/>
      <c r="D135" s="3324"/>
      <c r="E135" s="3324"/>
      <c r="F135" s="3324"/>
      <c r="G135" s="3325"/>
      <c r="H135" s="3326"/>
      <c r="I135" s="1969"/>
      <c r="J135" s="1969"/>
    </row>
    <row r="136" spans="1:10">
      <c r="A136" s="1969"/>
      <c r="B136" s="1969"/>
      <c r="C136" s="1969"/>
      <c r="D136" s="3324"/>
      <c r="E136" s="3324"/>
      <c r="F136" s="3324"/>
      <c r="G136" s="3325"/>
      <c r="H136" s="3326"/>
      <c r="I136" s="1969"/>
      <c r="J136" s="1969"/>
    </row>
    <row r="137" spans="1:10">
      <c r="A137" s="1969"/>
      <c r="B137" s="1969"/>
      <c r="C137" s="1969"/>
      <c r="D137" s="3324"/>
      <c r="E137" s="3324"/>
      <c r="F137" s="3324"/>
      <c r="G137" s="3325"/>
      <c r="H137" s="3326"/>
      <c r="I137" s="1969"/>
      <c r="J137" s="1969"/>
    </row>
    <row r="138" spans="1:10">
      <c r="A138" s="1969"/>
      <c r="B138" s="1969"/>
      <c r="C138" s="1969"/>
      <c r="D138" s="3324"/>
      <c r="E138" s="3324"/>
      <c r="F138" s="3324"/>
      <c r="G138" s="3325"/>
      <c r="H138" s="3326"/>
      <c r="I138" s="1969"/>
      <c r="J138" s="1969"/>
    </row>
    <row r="139" spans="1:10">
      <c r="A139" s="1969"/>
      <c r="B139" s="1969"/>
      <c r="C139" s="1969"/>
      <c r="D139" s="3324"/>
      <c r="E139" s="3324"/>
      <c r="F139" s="3324"/>
      <c r="G139" s="3325"/>
      <c r="H139" s="3326"/>
      <c r="I139" s="1969"/>
      <c r="J139" s="1969"/>
    </row>
    <row r="140" spans="1:10">
      <c r="A140" s="1969"/>
      <c r="B140" s="1969"/>
      <c r="C140" s="1969"/>
      <c r="D140" s="3324"/>
      <c r="E140" s="3324"/>
      <c r="F140" s="3324"/>
      <c r="G140" s="3325"/>
      <c r="H140" s="3326"/>
      <c r="I140" s="1969"/>
      <c r="J140" s="1969"/>
    </row>
    <row r="141" spans="1:10">
      <c r="A141" s="1969"/>
      <c r="B141" s="1969"/>
      <c r="C141" s="1969"/>
      <c r="D141" s="3324"/>
      <c r="E141" s="3324"/>
      <c r="F141" s="3324"/>
      <c r="G141" s="3325"/>
      <c r="H141" s="3326"/>
      <c r="I141" s="1969"/>
      <c r="J141" s="1969"/>
    </row>
    <row r="142" spans="1:10">
      <c r="A142" s="1969"/>
      <c r="B142" s="1969"/>
      <c r="C142" s="1969"/>
      <c r="D142" s="3324"/>
      <c r="E142" s="3324"/>
      <c r="F142" s="3324"/>
      <c r="G142" s="3325"/>
      <c r="H142" s="3326"/>
      <c r="I142" s="1969"/>
      <c r="J142" s="1969"/>
    </row>
    <row r="143" spans="1:10">
      <c r="A143" s="1969"/>
      <c r="B143" s="1969"/>
      <c r="C143" s="1969"/>
      <c r="D143" s="3324"/>
      <c r="E143" s="3324"/>
      <c r="F143" s="3324"/>
      <c r="G143" s="3325"/>
      <c r="H143" s="3326"/>
      <c r="I143" s="1969"/>
      <c r="J143" s="1969"/>
    </row>
    <row r="144" spans="1:10">
      <c r="A144" s="1969"/>
      <c r="B144" s="1969"/>
      <c r="C144" s="1969"/>
      <c r="D144" s="3324"/>
      <c r="E144" s="3324"/>
      <c r="F144" s="3324"/>
      <c r="G144" s="3325"/>
      <c r="H144" s="3326"/>
      <c r="I144" s="1969"/>
      <c r="J144" s="1969"/>
    </row>
    <row r="145" spans="1:10">
      <c r="A145" s="1969"/>
      <c r="B145" s="1969"/>
      <c r="C145" s="1969"/>
      <c r="D145" s="3324"/>
      <c r="E145" s="3324"/>
      <c r="F145" s="3324"/>
      <c r="G145" s="3325"/>
      <c r="H145" s="3326"/>
      <c r="I145" s="1969"/>
      <c r="J145" s="1969"/>
    </row>
    <row r="146" spans="1:10">
      <c r="A146" s="1969"/>
      <c r="B146" s="1969"/>
      <c r="C146" s="1969"/>
      <c r="D146" s="3324"/>
      <c r="E146" s="3324"/>
      <c r="F146" s="3324"/>
      <c r="G146" s="3325"/>
      <c r="H146" s="3326"/>
      <c r="I146" s="1969"/>
      <c r="J146" s="1969"/>
    </row>
    <row r="147" spans="1:10">
      <c r="A147" s="1969"/>
      <c r="B147" s="1969"/>
      <c r="C147" s="1969"/>
      <c r="D147" s="3324"/>
      <c r="E147" s="3324"/>
      <c r="F147" s="3324"/>
      <c r="G147" s="3325"/>
      <c r="H147" s="3326"/>
      <c r="I147" s="1969"/>
      <c r="J147" s="1969"/>
    </row>
    <row r="148" spans="1:10">
      <c r="A148" s="1969"/>
      <c r="B148" s="1969"/>
      <c r="C148" s="1969"/>
      <c r="D148" s="3324"/>
      <c r="E148" s="3324"/>
      <c r="F148" s="3324"/>
      <c r="G148" s="3325"/>
      <c r="H148" s="3326"/>
      <c r="I148" s="1969"/>
      <c r="J148" s="1969"/>
    </row>
    <row r="149" spans="1:10">
      <c r="A149" s="1969"/>
      <c r="B149" s="1969"/>
      <c r="C149" s="1969"/>
      <c r="D149" s="3324"/>
      <c r="E149" s="3324"/>
      <c r="F149" s="3324"/>
      <c r="G149" s="3325"/>
      <c r="H149" s="3326"/>
      <c r="I149" s="1969"/>
      <c r="J149" s="1969"/>
    </row>
    <row r="150" spans="1:10">
      <c r="A150" s="1969"/>
      <c r="B150" s="1969"/>
      <c r="C150" s="1969"/>
      <c r="D150" s="3324"/>
      <c r="E150" s="3324"/>
      <c r="F150" s="3324"/>
      <c r="G150" s="3325"/>
      <c r="H150" s="3326"/>
      <c r="I150" s="1969"/>
      <c r="J150" s="1969"/>
    </row>
    <row r="151" spans="1:10">
      <c r="A151" s="1969"/>
      <c r="B151" s="1969"/>
      <c r="C151" s="1969"/>
      <c r="D151" s="3324"/>
      <c r="E151" s="3324"/>
      <c r="F151" s="3324"/>
      <c r="G151" s="3325"/>
      <c r="H151" s="3326"/>
      <c r="I151" s="1969"/>
      <c r="J151" s="1969"/>
    </row>
    <row r="152" spans="1:10">
      <c r="A152" s="1969"/>
      <c r="B152" s="1969"/>
      <c r="C152" s="1969"/>
      <c r="D152" s="3324"/>
      <c r="E152" s="3324"/>
      <c r="F152" s="3324"/>
      <c r="G152" s="3325"/>
      <c r="H152" s="3326"/>
      <c r="I152" s="1969"/>
      <c r="J152" s="1969"/>
    </row>
    <row r="153" spans="1:10">
      <c r="A153" s="1969"/>
      <c r="B153" s="1969"/>
      <c r="C153" s="1969"/>
      <c r="D153" s="3324"/>
      <c r="E153" s="3324"/>
      <c r="F153" s="3324"/>
      <c r="G153" s="3325"/>
      <c r="H153" s="3326"/>
      <c r="I153" s="1969"/>
      <c r="J153" s="1969"/>
    </row>
    <row r="154" spans="1:10">
      <c r="A154" s="1969"/>
      <c r="B154" s="1969"/>
      <c r="C154" s="1969"/>
      <c r="D154" s="3324"/>
      <c r="E154" s="3324"/>
      <c r="F154" s="3324"/>
      <c r="G154" s="3325"/>
      <c r="H154" s="3326"/>
      <c r="I154" s="1969"/>
      <c r="J154" s="1969"/>
    </row>
    <row r="155" spans="1:10">
      <c r="A155" s="1969"/>
      <c r="B155" s="1969"/>
      <c r="C155" s="1969"/>
      <c r="D155" s="3324"/>
      <c r="E155" s="3324"/>
      <c r="F155" s="3324"/>
      <c r="G155" s="3325"/>
      <c r="H155" s="3326"/>
      <c r="I155" s="1969"/>
      <c r="J155" s="1969"/>
    </row>
    <row r="156" spans="1:10">
      <c r="A156" s="1969"/>
      <c r="B156" s="1969"/>
      <c r="C156" s="1969"/>
      <c r="D156" s="3324"/>
      <c r="E156" s="3324"/>
      <c r="F156" s="3324"/>
      <c r="G156" s="3325"/>
      <c r="H156" s="3326"/>
      <c r="I156" s="1969"/>
      <c r="J156" s="1969"/>
    </row>
    <row r="157" spans="1:10">
      <c r="A157" s="1969"/>
      <c r="B157" s="1969"/>
      <c r="C157" s="1969"/>
      <c r="D157" s="3324"/>
      <c r="E157" s="3324"/>
      <c r="F157" s="3324"/>
      <c r="G157" s="3325"/>
      <c r="H157" s="3326"/>
      <c r="I157" s="1969"/>
      <c r="J157" s="1969"/>
    </row>
    <row r="158" spans="1:10">
      <c r="A158" s="1969"/>
      <c r="B158" s="1969"/>
      <c r="C158" s="1969"/>
      <c r="D158" s="3324"/>
      <c r="E158" s="3324"/>
      <c r="F158" s="3324"/>
      <c r="G158" s="3325"/>
      <c r="H158" s="3326"/>
      <c r="I158" s="1969"/>
      <c r="J158" s="1969"/>
    </row>
    <row r="159" spans="1:10">
      <c r="A159" s="1969"/>
      <c r="B159" s="1969"/>
      <c r="C159" s="1969"/>
      <c r="D159" s="3324"/>
      <c r="E159" s="3324"/>
      <c r="F159" s="3324"/>
      <c r="G159" s="3325"/>
      <c r="H159" s="3326"/>
      <c r="I159" s="1969"/>
      <c r="J159" s="1969"/>
    </row>
    <row r="160" spans="1:10">
      <c r="A160" s="1969"/>
      <c r="B160" s="1969"/>
      <c r="C160" s="1969"/>
      <c r="D160" s="3324"/>
      <c r="E160" s="3324"/>
      <c r="F160" s="3324"/>
      <c r="G160" s="3325"/>
      <c r="H160" s="3326"/>
      <c r="I160" s="1969"/>
      <c r="J160" s="1969"/>
    </row>
    <row r="161" spans="1:10">
      <c r="A161" s="1969"/>
      <c r="B161" s="1969"/>
      <c r="C161" s="1969"/>
      <c r="D161" s="3324"/>
      <c r="E161" s="3324"/>
      <c r="F161" s="3324"/>
      <c r="G161" s="3325"/>
      <c r="H161" s="3326"/>
      <c r="I161" s="1969"/>
      <c r="J161" s="1969"/>
    </row>
    <row r="162" spans="1:10">
      <c r="A162" s="1969"/>
      <c r="B162" s="1969"/>
      <c r="C162" s="1969"/>
      <c r="D162" s="3324"/>
      <c r="E162" s="3324"/>
      <c r="F162" s="3324"/>
      <c r="G162" s="3325"/>
      <c r="H162" s="3326"/>
      <c r="I162" s="1969"/>
      <c r="J162" s="1969"/>
    </row>
    <row r="163" spans="1:10">
      <c r="A163" s="1969"/>
      <c r="B163" s="1969"/>
      <c r="C163" s="1969"/>
      <c r="D163" s="3324"/>
      <c r="E163" s="3324"/>
      <c r="F163" s="3324"/>
      <c r="G163" s="3325"/>
      <c r="H163" s="3326"/>
      <c r="I163" s="1969"/>
      <c r="J163" s="1969"/>
    </row>
    <row r="164" spans="1:10">
      <c r="A164" s="1969"/>
      <c r="B164" s="1969"/>
      <c r="C164" s="1969"/>
      <c r="D164" s="3324"/>
      <c r="E164" s="3324"/>
      <c r="F164" s="3324"/>
      <c r="G164" s="3325"/>
      <c r="H164" s="3326"/>
      <c r="I164" s="1969"/>
      <c r="J164" s="1969"/>
    </row>
    <row r="165" spans="1:10">
      <c r="A165" s="1969"/>
      <c r="B165" s="1969"/>
      <c r="C165" s="1969"/>
      <c r="D165" s="3324"/>
      <c r="E165" s="3324"/>
      <c r="F165" s="3324"/>
      <c r="G165" s="3325"/>
      <c r="H165" s="3326"/>
      <c r="I165" s="1969"/>
      <c r="J165" s="1969"/>
    </row>
    <row r="166" spans="1:10">
      <c r="A166" s="1969"/>
      <c r="B166" s="1969"/>
      <c r="C166" s="1969"/>
      <c r="D166" s="3324"/>
      <c r="E166" s="3324"/>
      <c r="F166" s="3324"/>
      <c r="G166" s="3325"/>
      <c r="H166" s="3326"/>
      <c r="I166" s="1969"/>
      <c r="J166" s="1969"/>
    </row>
    <row r="167" spans="1:10">
      <c r="A167" s="1969"/>
      <c r="B167" s="1969"/>
      <c r="C167" s="1969"/>
      <c r="D167" s="3324"/>
      <c r="E167" s="3324"/>
      <c r="F167" s="3324"/>
      <c r="G167" s="3325"/>
      <c r="H167" s="3326"/>
      <c r="I167" s="1969"/>
      <c r="J167" s="1969"/>
    </row>
    <row r="168" spans="1:10">
      <c r="A168" s="1969"/>
      <c r="B168" s="1969"/>
      <c r="C168" s="1969"/>
      <c r="D168" s="3324"/>
      <c r="E168" s="3324"/>
      <c r="F168" s="3324"/>
      <c r="G168" s="3325"/>
      <c r="H168" s="3326"/>
      <c r="I168" s="1969"/>
      <c r="J168" s="1969"/>
    </row>
    <row r="169" spans="1:10">
      <c r="A169" s="1969"/>
      <c r="B169" s="1969"/>
      <c r="C169" s="1969"/>
      <c r="D169" s="3324"/>
      <c r="E169" s="3324"/>
      <c r="F169" s="3324"/>
      <c r="G169" s="3325"/>
      <c r="H169" s="3326"/>
      <c r="I169" s="1969"/>
      <c r="J169" s="1969"/>
    </row>
    <row r="170" spans="1:10">
      <c r="A170" s="1969"/>
      <c r="B170" s="1969"/>
      <c r="C170" s="1969"/>
      <c r="D170" s="3324"/>
      <c r="E170" s="3324"/>
      <c r="F170" s="3324"/>
      <c r="G170" s="3325"/>
      <c r="H170" s="3326"/>
      <c r="I170" s="1969"/>
      <c r="J170" s="1969"/>
    </row>
    <row r="171" spans="1:10">
      <c r="A171" s="1969"/>
      <c r="B171" s="1969"/>
      <c r="C171" s="1969"/>
      <c r="D171" s="3324"/>
      <c r="E171" s="3324"/>
      <c r="F171" s="3324"/>
      <c r="G171" s="3325"/>
      <c r="H171" s="3326"/>
      <c r="I171" s="1969"/>
      <c r="J171" s="1969"/>
    </row>
    <row r="172" spans="1:10">
      <c r="A172" s="1969"/>
      <c r="B172" s="1969"/>
      <c r="C172" s="1969"/>
      <c r="D172" s="3324"/>
      <c r="E172" s="3324"/>
      <c r="F172" s="3324"/>
      <c r="G172" s="3325"/>
      <c r="H172" s="3326"/>
      <c r="I172" s="1969"/>
      <c r="J172" s="1969"/>
    </row>
    <row r="173" spans="1:10">
      <c r="A173" s="1969"/>
      <c r="B173" s="1969"/>
      <c r="C173" s="1969"/>
      <c r="D173" s="3324"/>
      <c r="E173" s="3324"/>
      <c r="F173" s="3324"/>
      <c r="G173" s="3325"/>
      <c r="H173" s="3326"/>
      <c r="I173" s="1969"/>
      <c r="J173" s="1969"/>
    </row>
    <row r="174" spans="1:10">
      <c r="A174" s="1969"/>
      <c r="B174" s="1969"/>
      <c r="C174" s="1969"/>
      <c r="D174" s="3324"/>
      <c r="E174" s="3324"/>
      <c r="F174" s="3324"/>
      <c r="G174" s="3325"/>
      <c r="H174" s="3326"/>
      <c r="I174" s="1969"/>
      <c r="J174" s="1969"/>
    </row>
    <row r="175" spans="1:10">
      <c r="A175" s="1969"/>
      <c r="B175" s="1969"/>
      <c r="C175" s="1969"/>
      <c r="D175" s="3324"/>
      <c r="E175" s="3324"/>
      <c r="F175" s="3324"/>
      <c r="G175" s="3325"/>
      <c r="H175" s="3326"/>
      <c r="I175" s="1969"/>
      <c r="J175" s="1969"/>
    </row>
    <row r="176" spans="1:10">
      <c r="A176" s="1969"/>
      <c r="B176" s="1969"/>
      <c r="C176" s="1969"/>
      <c r="D176" s="3324"/>
      <c r="E176" s="3324"/>
      <c r="F176" s="3324"/>
      <c r="G176" s="3325"/>
      <c r="H176" s="3326"/>
      <c r="I176" s="1969"/>
      <c r="J176" s="1969"/>
    </row>
    <row r="177" spans="1:10">
      <c r="A177" s="1969"/>
      <c r="B177" s="1969"/>
      <c r="C177" s="1969"/>
      <c r="D177" s="3324"/>
      <c r="E177" s="3324"/>
      <c r="F177" s="3324"/>
      <c r="G177" s="3325"/>
      <c r="H177" s="3326"/>
      <c r="I177" s="1969"/>
      <c r="J177" s="1969"/>
    </row>
    <row r="178" spans="1:10">
      <c r="A178" s="1969"/>
      <c r="B178" s="1969"/>
      <c r="C178" s="1969"/>
      <c r="D178" s="3324"/>
      <c r="E178" s="3324"/>
      <c r="F178" s="3324"/>
      <c r="G178" s="3325"/>
      <c r="H178" s="3326"/>
      <c r="I178" s="1969"/>
      <c r="J178" s="1969"/>
    </row>
    <row r="179" spans="1:10">
      <c r="A179" s="1969"/>
      <c r="B179" s="1969"/>
      <c r="C179" s="1969"/>
      <c r="D179" s="3324"/>
      <c r="E179" s="3324"/>
      <c r="F179" s="3324"/>
      <c r="G179" s="3325"/>
      <c r="H179" s="3326"/>
      <c r="I179" s="1969"/>
      <c r="J179" s="1969"/>
    </row>
    <row r="180" spans="1:10">
      <c r="A180" s="1969"/>
      <c r="B180" s="1969"/>
      <c r="C180" s="1969"/>
      <c r="D180" s="3324"/>
      <c r="E180" s="3324"/>
      <c r="F180" s="3324"/>
      <c r="G180" s="3325"/>
      <c r="H180" s="3326"/>
      <c r="I180" s="1969"/>
      <c r="J180" s="1969"/>
    </row>
    <row r="181" spans="1:10">
      <c r="A181" s="1969"/>
      <c r="B181" s="1969"/>
      <c r="C181" s="1969"/>
      <c r="D181" s="3324"/>
      <c r="E181" s="3324"/>
      <c r="F181" s="3324"/>
      <c r="G181" s="3325"/>
      <c r="H181" s="3326"/>
      <c r="I181" s="1969"/>
      <c r="J181" s="1969"/>
    </row>
    <row r="182" spans="1:10">
      <c r="A182" s="1969"/>
      <c r="B182" s="1969"/>
      <c r="C182" s="1969"/>
      <c r="D182" s="3324"/>
      <c r="E182" s="3324"/>
      <c r="F182" s="3324"/>
      <c r="G182" s="3325"/>
      <c r="H182" s="3326"/>
      <c r="I182" s="1969"/>
      <c r="J182" s="1969"/>
    </row>
    <row r="183" spans="1:10">
      <c r="A183" s="1969"/>
      <c r="B183" s="1969"/>
      <c r="C183" s="1969"/>
      <c r="D183" s="3324"/>
      <c r="E183" s="3324"/>
      <c r="F183" s="3324"/>
      <c r="G183" s="3325"/>
      <c r="H183" s="3326"/>
      <c r="I183" s="1969"/>
      <c r="J183" s="1969"/>
    </row>
    <row r="184" spans="1:10">
      <c r="A184" s="1969"/>
      <c r="B184" s="1969"/>
      <c r="C184" s="1969"/>
      <c r="D184" s="3324"/>
      <c r="E184" s="3324"/>
      <c r="F184" s="3324"/>
      <c r="G184" s="3325"/>
      <c r="H184" s="3326"/>
      <c r="I184" s="1969"/>
      <c r="J184" s="1969"/>
    </row>
    <row r="185" spans="1:10">
      <c r="A185" s="1969"/>
      <c r="B185" s="1969"/>
      <c r="C185" s="1969"/>
      <c r="D185" s="3324"/>
      <c r="E185" s="3324"/>
      <c r="F185" s="3324"/>
      <c r="G185" s="3325"/>
      <c r="H185" s="3326"/>
      <c r="I185" s="1969"/>
      <c r="J185" s="1969"/>
    </row>
    <row r="186" spans="1:10">
      <c r="A186" s="1969"/>
      <c r="B186" s="1969"/>
      <c r="C186" s="1969"/>
      <c r="D186" s="3324"/>
      <c r="E186" s="3324"/>
      <c r="F186" s="3324"/>
      <c r="G186" s="3325"/>
      <c r="H186" s="3326"/>
      <c r="I186" s="1969"/>
      <c r="J186" s="1969"/>
    </row>
    <row r="187" spans="1:10">
      <c r="A187" s="1969"/>
      <c r="B187" s="1969"/>
      <c r="C187" s="1969"/>
      <c r="D187" s="3324"/>
      <c r="E187" s="3324"/>
      <c r="F187" s="3324"/>
      <c r="G187" s="3325"/>
      <c r="H187" s="3326"/>
      <c r="I187" s="1969"/>
      <c r="J187" s="1969"/>
    </row>
    <row r="188" spans="1:10">
      <c r="A188" s="1969"/>
      <c r="B188" s="1969"/>
      <c r="C188" s="1969"/>
      <c r="D188" s="3324"/>
      <c r="E188" s="3324"/>
      <c r="F188" s="3324"/>
      <c r="G188" s="3325"/>
      <c r="H188" s="3326"/>
      <c r="I188" s="1969"/>
      <c r="J188" s="1969"/>
    </row>
    <row r="189" spans="1:10">
      <c r="A189" s="1969"/>
      <c r="B189" s="1969"/>
      <c r="C189" s="1969"/>
      <c r="D189" s="3324"/>
      <c r="E189" s="3324"/>
      <c r="F189" s="3324"/>
      <c r="G189" s="3325"/>
      <c r="H189" s="3326"/>
      <c r="I189" s="1969"/>
      <c r="J189" s="1969"/>
    </row>
    <row r="190" spans="1:10">
      <c r="A190" s="1969"/>
      <c r="B190" s="1969"/>
      <c r="C190" s="1969"/>
      <c r="D190" s="3324"/>
      <c r="E190" s="3324"/>
      <c r="F190" s="3324"/>
      <c r="G190" s="3325"/>
      <c r="H190" s="3326"/>
      <c r="I190" s="1969"/>
      <c r="J190" s="1969"/>
    </row>
    <row r="191" spans="1:10">
      <c r="A191" s="1969"/>
      <c r="B191" s="1969"/>
      <c r="C191" s="1969"/>
      <c r="D191" s="3324"/>
      <c r="E191" s="3324"/>
      <c r="F191" s="3324"/>
      <c r="G191" s="3325"/>
      <c r="H191" s="3326"/>
      <c r="I191" s="1969"/>
      <c r="J191" s="1969"/>
    </row>
    <row r="192" spans="1:10">
      <c r="A192" s="1969"/>
      <c r="B192" s="1969"/>
      <c r="C192" s="1969"/>
      <c r="D192" s="3324"/>
      <c r="E192" s="3324"/>
      <c r="F192" s="3324"/>
      <c r="G192" s="3325"/>
      <c r="H192" s="3326"/>
      <c r="I192" s="1969"/>
      <c r="J192" s="1969"/>
    </row>
    <row r="193" spans="1:10">
      <c r="A193" s="1969"/>
      <c r="B193" s="1969"/>
      <c r="C193" s="1969"/>
      <c r="D193" s="3324"/>
      <c r="E193" s="3324"/>
      <c r="F193" s="3324"/>
      <c r="G193" s="3325"/>
      <c r="H193" s="3326"/>
      <c r="I193" s="1969"/>
      <c r="J193" s="1969"/>
    </row>
    <row r="194" spans="1:10">
      <c r="A194" s="1969"/>
      <c r="B194" s="1969"/>
      <c r="C194" s="1969"/>
      <c r="D194" s="3324"/>
      <c r="E194" s="3324"/>
      <c r="F194" s="3324"/>
      <c r="G194" s="3325"/>
      <c r="H194" s="3326"/>
      <c r="I194" s="1969"/>
      <c r="J194" s="1969"/>
    </row>
    <row r="195" spans="1:10">
      <c r="A195" s="1969"/>
      <c r="B195" s="1969"/>
      <c r="C195" s="1969"/>
      <c r="D195" s="3324"/>
      <c r="E195" s="3324"/>
      <c r="F195" s="3324"/>
      <c r="G195" s="3325"/>
      <c r="H195" s="3326"/>
      <c r="I195" s="1969"/>
      <c r="J195" s="1969"/>
    </row>
    <row r="196" spans="1:10">
      <c r="A196" s="1969"/>
      <c r="B196" s="1969"/>
      <c r="C196" s="1969"/>
      <c r="D196" s="3324"/>
      <c r="E196" s="3324"/>
      <c r="F196" s="3324"/>
      <c r="G196" s="3325"/>
      <c r="H196" s="3326"/>
      <c r="I196" s="1969"/>
      <c r="J196" s="1969"/>
    </row>
    <row r="197" spans="1:10">
      <c r="A197" s="1969"/>
      <c r="B197" s="1969"/>
      <c r="C197" s="1969"/>
      <c r="D197" s="3324"/>
      <c r="E197" s="3324"/>
      <c r="F197" s="3324"/>
      <c r="G197" s="3325"/>
      <c r="H197" s="3326"/>
      <c r="I197" s="1969"/>
      <c r="J197" s="1969"/>
    </row>
    <row r="198" spans="1:10">
      <c r="A198" s="1969"/>
      <c r="B198" s="1969"/>
      <c r="C198" s="1969"/>
      <c r="D198" s="3324"/>
      <c r="E198" s="3324"/>
      <c r="F198" s="3324"/>
      <c r="G198" s="3325"/>
      <c r="H198" s="3326"/>
      <c r="I198" s="1969"/>
      <c r="J198" s="1969"/>
    </row>
    <row r="199" spans="1:10">
      <c r="A199" s="1969"/>
      <c r="B199" s="1969"/>
      <c r="C199" s="1969"/>
      <c r="D199" s="3324"/>
      <c r="E199" s="3324"/>
      <c r="F199" s="3324"/>
      <c r="G199" s="3325"/>
      <c r="H199" s="3326"/>
      <c r="I199" s="1969"/>
      <c r="J199" s="1969"/>
    </row>
    <row r="200" spans="1:10">
      <c r="A200" s="1969"/>
      <c r="B200" s="1969"/>
      <c r="C200" s="1969"/>
      <c r="D200" s="3324"/>
      <c r="E200" s="3324"/>
      <c r="F200" s="3324"/>
      <c r="G200" s="3325"/>
      <c r="H200" s="3326"/>
      <c r="I200" s="1969"/>
      <c r="J200" s="1969"/>
    </row>
    <row r="201" spans="1:10">
      <c r="A201" s="1969"/>
      <c r="B201" s="1969"/>
      <c r="C201" s="1969"/>
      <c r="D201" s="3324"/>
      <c r="E201" s="3324"/>
      <c r="F201" s="3324"/>
      <c r="G201" s="3325"/>
      <c r="H201" s="3326"/>
      <c r="I201" s="1969"/>
      <c r="J201" s="1969"/>
    </row>
    <row r="202" spans="1:10">
      <c r="A202" s="1969"/>
      <c r="B202" s="1969"/>
      <c r="C202" s="1969"/>
      <c r="D202" s="3324"/>
      <c r="E202" s="3324"/>
      <c r="F202" s="3324"/>
      <c r="G202" s="3325"/>
      <c r="H202" s="3326"/>
      <c r="I202" s="1969"/>
      <c r="J202" s="1969"/>
    </row>
    <row r="203" spans="1:10">
      <c r="A203" s="1969"/>
      <c r="B203" s="1969"/>
      <c r="C203" s="1969"/>
      <c r="D203" s="3324"/>
      <c r="E203" s="3324"/>
      <c r="F203" s="3324"/>
      <c r="G203" s="3325"/>
      <c r="H203" s="3326"/>
      <c r="I203" s="1969"/>
      <c r="J203" s="1969"/>
    </row>
    <row r="204" spans="1:10">
      <c r="A204" s="1969"/>
      <c r="B204" s="1969"/>
      <c r="C204" s="1969"/>
      <c r="D204" s="3324"/>
      <c r="E204" s="3324"/>
      <c r="F204" s="3324"/>
      <c r="G204" s="3325"/>
      <c r="H204" s="3326"/>
      <c r="I204" s="1969"/>
      <c r="J204" s="1969"/>
    </row>
    <row r="205" spans="1:10">
      <c r="A205" s="1969"/>
      <c r="B205" s="1969"/>
      <c r="C205" s="1969"/>
      <c r="D205" s="3324"/>
      <c r="E205" s="3324"/>
      <c r="F205" s="3324"/>
      <c r="G205" s="3325"/>
      <c r="H205" s="3326"/>
      <c r="I205" s="1969"/>
      <c r="J205" s="1969"/>
    </row>
    <row r="206" spans="1:10">
      <c r="A206" s="1969"/>
      <c r="B206" s="1969"/>
      <c r="C206" s="1969"/>
      <c r="D206" s="3324"/>
      <c r="E206" s="3324"/>
      <c r="F206" s="3324"/>
      <c r="G206" s="3325"/>
      <c r="H206" s="3326"/>
      <c r="I206" s="1969"/>
      <c r="J206" s="1969"/>
    </row>
    <row r="207" spans="1:10">
      <c r="A207" s="1969"/>
      <c r="B207" s="1969"/>
      <c r="C207" s="1969"/>
      <c r="D207" s="3324"/>
      <c r="E207" s="3324"/>
      <c r="F207" s="3324"/>
      <c r="G207" s="3325"/>
      <c r="H207" s="3326"/>
      <c r="I207" s="1969"/>
      <c r="J207" s="1969"/>
    </row>
    <row r="208" spans="1:10">
      <c r="A208" s="1969"/>
      <c r="B208" s="1969"/>
      <c r="C208" s="1969"/>
      <c r="D208" s="3324"/>
      <c r="E208" s="3324"/>
      <c r="F208" s="3324"/>
      <c r="G208" s="3325"/>
      <c r="H208" s="3326"/>
      <c r="I208" s="1969"/>
      <c r="J208" s="1969"/>
    </row>
    <row r="209" spans="1:10">
      <c r="A209" s="1969"/>
      <c r="B209" s="1969"/>
      <c r="C209" s="1969"/>
      <c r="D209" s="3324"/>
      <c r="E209" s="3324"/>
      <c r="F209" s="3324"/>
      <c r="G209" s="3325"/>
      <c r="H209" s="3326"/>
      <c r="I209" s="1969"/>
      <c r="J209" s="1969"/>
    </row>
    <row r="210" spans="1:10">
      <c r="A210" s="1969"/>
      <c r="B210" s="1969"/>
      <c r="C210" s="1969"/>
      <c r="D210" s="3324"/>
      <c r="E210" s="3324"/>
      <c r="F210" s="3324"/>
      <c r="G210" s="3325"/>
      <c r="H210" s="3326"/>
      <c r="I210" s="1969"/>
      <c r="J210" s="1969"/>
    </row>
    <row r="211" spans="1:10">
      <c r="A211" s="1969"/>
      <c r="B211" s="1969"/>
      <c r="C211" s="1969"/>
      <c r="D211" s="3324"/>
      <c r="E211" s="3324"/>
      <c r="F211" s="3324"/>
      <c r="G211" s="3325"/>
      <c r="H211" s="3326"/>
      <c r="I211" s="1969"/>
      <c r="J211" s="1969"/>
    </row>
    <row r="212" spans="1:10">
      <c r="A212" s="1969"/>
      <c r="B212" s="1969"/>
      <c r="C212" s="1969"/>
      <c r="D212" s="3324"/>
      <c r="E212" s="3324"/>
      <c r="F212" s="3324"/>
      <c r="G212" s="3325"/>
      <c r="H212" s="3326"/>
      <c r="I212" s="1969"/>
      <c r="J212" s="1969"/>
    </row>
    <row r="213" spans="1:10">
      <c r="A213" s="1969"/>
      <c r="B213" s="1969"/>
      <c r="C213" s="1969"/>
      <c r="D213" s="3324"/>
      <c r="E213" s="3324"/>
      <c r="F213" s="3324"/>
      <c r="G213" s="3325"/>
      <c r="H213" s="3326"/>
      <c r="I213" s="1969"/>
      <c r="J213" s="1969"/>
    </row>
    <row r="214" spans="1:10">
      <c r="A214" s="1969"/>
      <c r="B214" s="1969"/>
      <c r="C214" s="1969"/>
      <c r="D214" s="3324"/>
      <c r="E214" s="3324"/>
      <c r="F214" s="3324"/>
      <c r="G214" s="3325"/>
      <c r="H214" s="3326"/>
      <c r="I214" s="1969"/>
      <c r="J214" s="1969"/>
    </row>
    <row r="215" spans="1:10">
      <c r="A215" s="1969"/>
      <c r="B215" s="1969"/>
      <c r="C215" s="1969"/>
      <c r="D215" s="3324"/>
      <c r="E215" s="3324"/>
      <c r="F215" s="3324"/>
      <c r="G215" s="3325"/>
      <c r="H215" s="3326"/>
      <c r="I215" s="1969"/>
      <c r="J215" s="1969"/>
    </row>
    <row r="216" spans="1:10">
      <c r="A216" s="1969"/>
      <c r="B216" s="1969"/>
      <c r="C216" s="1969"/>
      <c r="D216" s="3324"/>
      <c r="E216" s="3324"/>
      <c r="F216" s="3324"/>
      <c r="G216" s="3325"/>
      <c r="H216" s="3326"/>
      <c r="I216" s="1969"/>
      <c r="J216" s="1969"/>
    </row>
    <row r="217" spans="1:10">
      <c r="A217" s="1969"/>
      <c r="B217" s="1969"/>
      <c r="C217" s="1969"/>
      <c r="D217" s="3324"/>
      <c r="E217" s="3324"/>
      <c r="F217" s="3324"/>
      <c r="G217" s="3325"/>
      <c r="H217" s="3326"/>
      <c r="I217" s="1969"/>
      <c r="J217" s="1969"/>
    </row>
    <row r="218" spans="1:10">
      <c r="A218" s="1969"/>
      <c r="B218" s="1969"/>
      <c r="C218" s="1969"/>
      <c r="D218" s="3324"/>
      <c r="E218" s="3324"/>
      <c r="F218" s="3324"/>
      <c r="G218" s="3325"/>
      <c r="H218" s="3326"/>
      <c r="I218" s="1969"/>
      <c r="J218" s="1969"/>
    </row>
    <row r="219" spans="1:10">
      <c r="A219" s="1969"/>
      <c r="B219" s="1969"/>
      <c r="C219" s="1969"/>
      <c r="D219" s="3324"/>
      <c r="E219" s="3324"/>
      <c r="F219" s="3324"/>
      <c r="G219" s="3325"/>
      <c r="H219" s="3326"/>
      <c r="I219" s="1969"/>
      <c r="J219" s="1969"/>
    </row>
    <row r="220" spans="1:10">
      <c r="A220" s="1969"/>
      <c r="B220" s="1969"/>
      <c r="C220" s="1969"/>
      <c r="D220" s="3324"/>
      <c r="E220" s="3324"/>
      <c r="F220" s="3324"/>
      <c r="G220" s="3325"/>
      <c r="H220" s="3326"/>
      <c r="I220" s="1969"/>
      <c r="J220" s="1969"/>
    </row>
    <row r="221" spans="1:10">
      <c r="A221" s="1969"/>
      <c r="B221" s="1969"/>
      <c r="C221" s="1969"/>
      <c r="D221" s="3324"/>
      <c r="E221" s="3324"/>
      <c r="F221" s="3324"/>
      <c r="G221" s="3325"/>
      <c r="H221" s="3326"/>
      <c r="I221" s="1969"/>
      <c r="J221" s="1969"/>
    </row>
    <row r="222" spans="1:10">
      <c r="A222" s="1969"/>
      <c r="B222" s="1969"/>
      <c r="C222" s="1969"/>
      <c r="D222" s="3324"/>
      <c r="E222" s="3324"/>
      <c r="F222" s="3324"/>
      <c r="G222" s="3325"/>
      <c r="H222" s="3326"/>
      <c r="I222" s="1969"/>
      <c r="J222" s="1969"/>
    </row>
    <row r="223" spans="1:10">
      <c r="A223" s="1969"/>
      <c r="B223" s="1969"/>
      <c r="C223" s="1969"/>
      <c r="D223" s="3324"/>
      <c r="E223" s="3324"/>
      <c r="F223" s="3324"/>
      <c r="G223" s="3325"/>
      <c r="H223" s="3326"/>
      <c r="I223" s="1969"/>
      <c r="J223" s="1969"/>
    </row>
    <row r="224" spans="1:10">
      <c r="A224" s="1969"/>
      <c r="B224" s="1969"/>
      <c r="C224" s="1969"/>
      <c r="D224" s="3324"/>
      <c r="E224" s="3324"/>
      <c r="F224" s="3324"/>
      <c r="G224" s="3325"/>
      <c r="H224" s="3326"/>
      <c r="I224" s="1969"/>
      <c r="J224" s="1969"/>
    </row>
    <row r="225" spans="1:10">
      <c r="A225" s="1969"/>
      <c r="B225" s="1969"/>
      <c r="C225" s="1969"/>
      <c r="D225" s="3324"/>
      <c r="E225" s="3324"/>
      <c r="F225" s="3324"/>
      <c r="G225" s="3325"/>
      <c r="H225" s="3326"/>
      <c r="I225" s="1969"/>
      <c r="J225" s="1969"/>
    </row>
    <row r="226" spans="1:10">
      <c r="A226" s="1969"/>
      <c r="B226" s="1969"/>
      <c r="C226" s="1969"/>
      <c r="D226" s="3324"/>
      <c r="E226" s="3324"/>
      <c r="F226" s="3324"/>
      <c r="G226" s="3325"/>
      <c r="H226" s="3326"/>
      <c r="I226" s="1969"/>
      <c r="J226" s="1969"/>
    </row>
    <row r="227" spans="1:10">
      <c r="A227" s="1969"/>
      <c r="B227" s="1969"/>
      <c r="C227" s="1969"/>
      <c r="D227" s="3324"/>
      <c r="E227" s="3324"/>
      <c r="F227" s="3324"/>
      <c r="G227" s="3325"/>
      <c r="H227" s="3326"/>
      <c r="I227" s="1969"/>
      <c r="J227" s="1969"/>
    </row>
    <row r="228" spans="1:10">
      <c r="A228" s="1969"/>
      <c r="B228" s="1969"/>
      <c r="C228" s="1969"/>
      <c r="D228" s="3324"/>
      <c r="E228" s="3324"/>
      <c r="F228" s="3324"/>
      <c r="G228" s="3325"/>
      <c r="H228" s="3326"/>
      <c r="I228" s="1969"/>
      <c r="J228" s="1969"/>
    </row>
    <row r="229" spans="1:10">
      <c r="A229" s="1969"/>
      <c r="B229" s="1969"/>
      <c r="C229" s="1969"/>
      <c r="D229" s="3324"/>
      <c r="E229" s="3324"/>
      <c r="F229" s="3324"/>
      <c r="G229" s="3325"/>
      <c r="H229" s="3326"/>
      <c r="I229" s="1969"/>
      <c r="J229" s="1969"/>
    </row>
    <row r="230" spans="1:10">
      <c r="A230" s="1969"/>
      <c r="B230" s="1969"/>
      <c r="C230" s="1969"/>
      <c r="D230" s="3324"/>
      <c r="E230" s="3324"/>
      <c r="F230" s="3324"/>
      <c r="G230" s="3325"/>
      <c r="H230" s="3326"/>
      <c r="I230" s="1969"/>
      <c r="J230" s="1969"/>
    </row>
    <row r="231" spans="1:10">
      <c r="A231" s="1969"/>
      <c r="B231" s="1969"/>
      <c r="C231" s="1969"/>
      <c r="D231" s="3324"/>
      <c r="E231" s="3324"/>
      <c r="F231" s="3324"/>
      <c r="G231" s="3325"/>
      <c r="H231" s="3326"/>
      <c r="I231" s="1969"/>
      <c r="J231" s="1969"/>
    </row>
    <row r="232" spans="1:10">
      <c r="A232" s="1969"/>
      <c r="B232" s="1969"/>
      <c r="C232" s="1969"/>
      <c r="D232" s="3324"/>
      <c r="E232" s="3324"/>
      <c r="F232" s="3324"/>
      <c r="G232" s="3325"/>
      <c r="H232" s="3326"/>
      <c r="I232" s="1969"/>
      <c r="J232" s="1969"/>
    </row>
    <row r="233" spans="1:10">
      <c r="A233" s="1969"/>
      <c r="B233" s="1969"/>
      <c r="C233" s="1969"/>
      <c r="D233" s="3324"/>
      <c r="E233" s="3324"/>
      <c r="F233" s="3324"/>
      <c r="G233" s="3325"/>
      <c r="H233" s="3326"/>
      <c r="I233" s="1969"/>
      <c r="J233" s="1969"/>
    </row>
    <row r="234" spans="1:10">
      <c r="A234" s="1969"/>
      <c r="B234" s="1969"/>
      <c r="C234" s="1969"/>
      <c r="D234" s="3324"/>
      <c r="E234" s="3324"/>
      <c r="F234" s="3324"/>
      <c r="G234" s="3325"/>
      <c r="H234" s="3326"/>
      <c r="I234" s="1969"/>
      <c r="J234" s="1969"/>
    </row>
    <row r="235" spans="1:10">
      <c r="A235" s="1969"/>
      <c r="B235" s="1969"/>
      <c r="C235" s="1969"/>
      <c r="D235" s="3324"/>
      <c r="E235" s="3324"/>
      <c r="F235" s="3324"/>
      <c r="G235" s="3325"/>
      <c r="H235" s="3326"/>
      <c r="I235" s="1969"/>
      <c r="J235" s="1969"/>
    </row>
    <row r="236" spans="1:10">
      <c r="A236" s="1969"/>
      <c r="B236" s="1969"/>
      <c r="C236" s="1969"/>
      <c r="D236" s="3324"/>
      <c r="E236" s="3324"/>
      <c r="F236" s="3324"/>
      <c r="G236" s="3325"/>
      <c r="H236" s="3326"/>
      <c r="I236" s="1969"/>
      <c r="J236" s="1969"/>
    </row>
    <row r="237" spans="1:10">
      <c r="A237" s="1969"/>
      <c r="B237" s="1969"/>
      <c r="C237" s="1969"/>
      <c r="D237" s="3324"/>
      <c r="E237" s="3324"/>
      <c r="F237" s="3324"/>
      <c r="G237" s="3325"/>
      <c r="H237" s="3326"/>
      <c r="I237" s="1969"/>
      <c r="J237" s="1969"/>
    </row>
    <row r="238" spans="1:10">
      <c r="A238" s="1969"/>
      <c r="B238" s="1969"/>
      <c r="C238" s="1969"/>
      <c r="D238" s="3324"/>
      <c r="E238" s="3324"/>
      <c r="F238" s="3324"/>
      <c r="G238" s="3325"/>
      <c r="H238" s="3326"/>
      <c r="I238" s="1969"/>
      <c r="J238" s="1969"/>
    </row>
    <row r="239" spans="1:10">
      <c r="A239" s="1969"/>
      <c r="B239" s="1969"/>
      <c r="C239" s="1969"/>
      <c r="D239" s="3324"/>
      <c r="E239" s="3324"/>
      <c r="F239" s="3324"/>
      <c r="G239" s="3325"/>
      <c r="H239" s="3326"/>
      <c r="I239" s="1969"/>
      <c r="J239" s="1969"/>
    </row>
    <row r="240" spans="1:10">
      <c r="A240" s="1969"/>
      <c r="B240" s="1969"/>
      <c r="C240" s="1969"/>
      <c r="D240" s="3324"/>
      <c r="E240" s="3324"/>
      <c r="F240" s="3324"/>
      <c r="G240" s="3325"/>
      <c r="H240" s="3326"/>
      <c r="I240" s="1969"/>
      <c r="J240" s="1969"/>
    </row>
    <row r="241" spans="1:10">
      <c r="A241" s="1969"/>
      <c r="B241" s="1969"/>
      <c r="C241" s="1969"/>
      <c r="D241" s="3324"/>
      <c r="E241" s="3324"/>
      <c r="F241" s="3324"/>
      <c r="G241" s="3325"/>
      <c r="H241" s="3326"/>
      <c r="I241" s="1969"/>
      <c r="J241" s="1969"/>
    </row>
    <row r="242" spans="1:10">
      <c r="A242" s="1969"/>
      <c r="B242" s="1969"/>
      <c r="C242" s="1969"/>
      <c r="D242" s="3324"/>
      <c r="E242" s="3324"/>
      <c r="F242" s="3324"/>
      <c r="G242" s="3325"/>
      <c r="H242" s="3326"/>
      <c r="I242" s="1969"/>
      <c r="J242" s="1969"/>
    </row>
    <row r="243" spans="1:10">
      <c r="A243" s="1969"/>
      <c r="B243" s="1969"/>
      <c r="C243" s="1969"/>
      <c r="D243" s="3324"/>
      <c r="E243" s="3324"/>
      <c r="F243" s="3324"/>
      <c r="G243" s="3325"/>
      <c r="H243" s="3326"/>
      <c r="I243" s="1969"/>
      <c r="J243" s="1969"/>
    </row>
    <row r="244" spans="1:10">
      <c r="A244" s="1969"/>
      <c r="B244" s="1969"/>
      <c r="C244" s="1969"/>
      <c r="D244" s="3324"/>
      <c r="E244" s="3324"/>
      <c r="F244" s="3324"/>
      <c r="G244" s="3325"/>
      <c r="H244" s="3326"/>
      <c r="I244" s="1969"/>
      <c r="J244" s="1969"/>
    </row>
    <row r="245" spans="1:10">
      <c r="A245" s="1969"/>
      <c r="B245" s="1969"/>
      <c r="C245" s="1969"/>
      <c r="D245" s="3324"/>
      <c r="E245" s="3324"/>
      <c r="F245" s="3324"/>
      <c r="G245" s="3325"/>
      <c r="H245" s="3326"/>
      <c r="I245" s="1969"/>
      <c r="J245" s="1969"/>
    </row>
    <row r="246" spans="1:10">
      <c r="A246" s="1969"/>
      <c r="B246" s="1969"/>
      <c r="C246" s="1969"/>
      <c r="D246" s="3324"/>
      <c r="E246" s="3324"/>
      <c r="F246" s="3324"/>
      <c r="G246" s="3325"/>
      <c r="H246" s="3326"/>
      <c r="I246" s="1969"/>
      <c r="J246" s="1969"/>
    </row>
    <row r="247" spans="1:10">
      <c r="A247" s="1969"/>
      <c r="B247" s="1969"/>
      <c r="C247" s="1969"/>
      <c r="D247" s="3324"/>
      <c r="E247" s="3324"/>
      <c r="F247" s="3324"/>
      <c r="G247" s="3325"/>
      <c r="H247" s="3326"/>
      <c r="I247" s="1969"/>
      <c r="J247" s="1969"/>
    </row>
    <row r="248" spans="1:10">
      <c r="A248" s="1969"/>
      <c r="B248" s="1969"/>
      <c r="C248" s="1969"/>
      <c r="D248" s="3324"/>
      <c r="E248" s="3324"/>
      <c r="F248" s="3324"/>
      <c r="G248" s="3325"/>
      <c r="H248" s="3326"/>
      <c r="I248" s="1969"/>
      <c r="J248" s="1969"/>
    </row>
    <row r="249" spans="1:10">
      <c r="A249" s="1969"/>
      <c r="B249" s="1969"/>
      <c r="C249" s="1969"/>
      <c r="D249" s="3324"/>
      <c r="E249" s="3324"/>
      <c r="F249" s="3324"/>
      <c r="G249" s="3325"/>
      <c r="H249" s="3326"/>
      <c r="I249" s="1969"/>
      <c r="J249" s="1969"/>
    </row>
    <row r="250" spans="1:10">
      <c r="A250" s="1969"/>
      <c r="B250" s="1969"/>
      <c r="C250" s="1969"/>
      <c r="D250" s="3324"/>
      <c r="E250" s="3324"/>
      <c r="F250" s="3324"/>
      <c r="G250" s="3325"/>
      <c r="H250" s="3326"/>
      <c r="I250" s="1969"/>
      <c r="J250" s="1969"/>
    </row>
    <row r="251" spans="1:10">
      <c r="A251" s="1969"/>
      <c r="B251" s="1969"/>
      <c r="C251" s="1969"/>
      <c r="D251" s="3324"/>
      <c r="E251" s="3324"/>
      <c r="F251" s="3324"/>
      <c r="G251" s="3325"/>
      <c r="H251" s="3326"/>
      <c r="I251" s="1969"/>
      <c r="J251" s="1969"/>
    </row>
    <row r="252" spans="1:10">
      <c r="A252" s="1969"/>
      <c r="B252" s="1969"/>
      <c r="C252" s="1969"/>
      <c r="D252" s="3324"/>
      <c r="E252" s="3324"/>
      <c r="F252" s="3324"/>
      <c r="G252" s="3325"/>
      <c r="H252" s="3326"/>
      <c r="I252" s="1969"/>
      <c r="J252" s="1969"/>
    </row>
    <row r="253" spans="1:10">
      <c r="A253" s="1969"/>
      <c r="B253" s="1969"/>
      <c r="C253" s="1969"/>
      <c r="D253" s="3324"/>
      <c r="E253" s="3324"/>
      <c r="F253" s="3324"/>
      <c r="G253" s="3325"/>
      <c r="H253" s="3326"/>
      <c r="I253" s="1969"/>
      <c r="J253" s="1969"/>
    </row>
    <row r="254" spans="1:10">
      <c r="A254" s="1969"/>
      <c r="B254" s="1969"/>
      <c r="C254" s="1969"/>
      <c r="D254" s="3324"/>
      <c r="E254" s="3324"/>
      <c r="F254" s="3324"/>
      <c r="G254" s="3325"/>
      <c r="H254" s="3326"/>
      <c r="I254" s="1969"/>
      <c r="J254" s="1969"/>
    </row>
    <row r="255" spans="1:10">
      <c r="A255" s="1969"/>
      <c r="B255" s="1969"/>
      <c r="C255" s="1969"/>
      <c r="D255" s="3324"/>
      <c r="E255" s="3324"/>
      <c r="F255" s="3324"/>
      <c r="G255" s="3325"/>
      <c r="H255" s="3326"/>
      <c r="I255" s="1969"/>
      <c r="J255" s="1969"/>
    </row>
    <row r="256" spans="1:10">
      <c r="A256" s="1969"/>
      <c r="B256" s="1969"/>
      <c r="C256" s="1969"/>
      <c r="D256" s="3324"/>
      <c r="E256" s="3324"/>
      <c r="F256" s="3324"/>
      <c r="G256" s="3325"/>
      <c r="H256" s="3326"/>
      <c r="I256" s="1969"/>
      <c r="J256" s="1969"/>
    </row>
    <row r="257" spans="1:10">
      <c r="A257" s="1969"/>
      <c r="B257" s="1969"/>
      <c r="C257" s="1969"/>
      <c r="D257" s="3324"/>
      <c r="E257" s="3324"/>
      <c r="F257" s="3324"/>
      <c r="G257" s="3325"/>
      <c r="H257" s="3326"/>
      <c r="I257" s="1969"/>
      <c r="J257" s="1969"/>
    </row>
    <row r="258" spans="1:10">
      <c r="A258" s="1969"/>
      <c r="B258" s="1969"/>
      <c r="C258" s="1969"/>
      <c r="D258" s="3324"/>
      <c r="E258" s="3324"/>
      <c r="F258" s="3324"/>
      <c r="G258" s="3325"/>
      <c r="H258" s="3326"/>
      <c r="I258" s="1969"/>
      <c r="J258" s="1969"/>
    </row>
    <row r="259" spans="1:10">
      <c r="A259" s="1969"/>
      <c r="B259" s="1969"/>
      <c r="C259" s="1969"/>
      <c r="D259" s="3324"/>
      <c r="E259" s="3324"/>
      <c r="F259" s="3324"/>
      <c r="G259" s="3325"/>
      <c r="H259" s="3326"/>
      <c r="I259" s="1969"/>
      <c r="J259" s="1969"/>
    </row>
    <row r="260" spans="1:10">
      <c r="A260" s="1969"/>
      <c r="B260" s="1969"/>
      <c r="C260" s="1969"/>
      <c r="D260" s="3324"/>
      <c r="E260" s="3324"/>
      <c r="F260" s="3324"/>
      <c r="G260" s="3325"/>
      <c r="H260" s="3326"/>
      <c r="I260" s="1969"/>
      <c r="J260" s="1969"/>
    </row>
    <row r="261" spans="1:10">
      <c r="A261" s="1969"/>
      <c r="B261" s="1969"/>
      <c r="C261" s="1969"/>
      <c r="D261" s="3324"/>
      <c r="E261" s="3324"/>
      <c r="F261" s="3324"/>
      <c r="G261" s="3325"/>
      <c r="H261" s="3326"/>
      <c r="I261" s="1969"/>
      <c r="J261" s="1969"/>
    </row>
    <row r="262" spans="1:10">
      <c r="A262" s="1969"/>
      <c r="B262" s="1969"/>
      <c r="C262" s="1969"/>
      <c r="D262" s="3324"/>
      <c r="E262" s="3324"/>
      <c r="F262" s="3324"/>
      <c r="G262" s="3325"/>
      <c r="H262" s="3326"/>
      <c r="I262" s="1969"/>
      <c r="J262" s="1969"/>
    </row>
    <row r="263" spans="1:10">
      <c r="A263" s="1969"/>
      <c r="B263" s="1969"/>
      <c r="C263" s="1969"/>
      <c r="D263" s="3324"/>
      <c r="E263" s="3324"/>
      <c r="F263" s="3324"/>
      <c r="G263" s="3325"/>
      <c r="H263" s="3326"/>
      <c r="I263" s="1969"/>
      <c r="J263" s="1969"/>
    </row>
    <row r="264" spans="1:10">
      <c r="A264" s="1969"/>
      <c r="B264" s="1969"/>
      <c r="C264" s="1969"/>
      <c r="D264" s="3324"/>
      <c r="E264" s="3324"/>
      <c r="F264" s="3324"/>
      <c r="G264" s="3325"/>
      <c r="H264" s="3326"/>
      <c r="I264" s="1969"/>
      <c r="J264" s="1969"/>
    </row>
    <row r="265" spans="1:10">
      <c r="A265" s="1969"/>
      <c r="B265" s="1969"/>
      <c r="C265" s="1969"/>
      <c r="D265" s="3324"/>
      <c r="E265" s="3324"/>
      <c r="F265" s="3324"/>
      <c r="G265" s="3325"/>
      <c r="H265" s="3326"/>
      <c r="I265" s="1969"/>
      <c r="J265" s="1969"/>
    </row>
    <row r="266" spans="1:10">
      <c r="A266" s="1969"/>
      <c r="B266" s="1969"/>
      <c r="C266" s="1969"/>
      <c r="D266" s="3324"/>
      <c r="E266" s="3324"/>
      <c r="F266" s="3324"/>
      <c r="G266" s="3325"/>
      <c r="H266" s="3326"/>
      <c r="I266" s="1969"/>
      <c r="J266" s="1969"/>
    </row>
    <row r="267" spans="1:10">
      <c r="A267" s="1969"/>
      <c r="B267" s="1969"/>
      <c r="C267" s="1969"/>
      <c r="D267" s="3324"/>
      <c r="E267" s="3324"/>
      <c r="F267" s="3324"/>
      <c r="G267" s="3325"/>
      <c r="H267" s="3326"/>
      <c r="I267" s="1969"/>
      <c r="J267" s="1969"/>
    </row>
    <row r="268" spans="1:10">
      <c r="A268" s="1969"/>
      <c r="B268" s="1969"/>
      <c r="C268" s="1969"/>
      <c r="D268" s="3324"/>
      <c r="E268" s="3324"/>
      <c r="F268" s="3324"/>
      <c r="G268" s="3325"/>
      <c r="H268" s="3326"/>
      <c r="I268" s="1969"/>
      <c r="J268" s="1969"/>
    </row>
    <row r="269" spans="1:10">
      <c r="A269" s="1969"/>
      <c r="B269" s="1969"/>
      <c r="C269" s="1969"/>
      <c r="D269" s="3324"/>
      <c r="E269" s="3324"/>
      <c r="F269" s="3324"/>
      <c r="G269" s="3325"/>
      <c r="H269" s="3326"/>
      <c r="I269" s="1969"/>
      <c r="J269" s="1969"/>
    </row>
    <row r="270" spans="1:10">
      <c r="A270" s="1969"/>
      <c r="B270" s="1969"/>
      <c r="C270" s="1969"/>
      <c r="D270" s="3324"/>
      <c r="E270" s="3324"/>
      <c r="F270" s="3324"/>
      <c r="G270" s="3325"/>
      <c r="H270" s="3326"/>
      <c r="I270" s="1969"/>
      <c r="J270" s="1969"/>
    </row>
    <row r="271" spans="1:10">
      <c r="A271" s="1969"/>
      <c r="B271" s="1969"/>
      <c r="C271" s="1969"/>
      <c r="D271" s="3324"/>
      <c r="E271" s="3324"/>
      <c r="F271" s="3324"/>
      <c r="G271" s="3325"/>
      <c r="H271" s="3326"/>
      <c r="I271" s="1969"/>
      <c r="J271" s="1969"/>
    </row>
    <row r="272" spans="1:10">
      <c r="A272" s="1969"/>
      <c r="B272" s="1969"/>
      <c r="C272" s="1969"/>
      <c r="D272" s="3324"/>
      <c r="E272" s="3324"/>
      <c r="F272" s="3324"/>
      <c r="G272" s="3325"/>
      <c r="H272" s="3326"/>
      <c r="I272" s="1969"/>
      <c r="J272" s="1969"/>
    </row>
    <row r="273" spans="1:10">
      <c r="A273" s="1969"/>
      <c r="B273" s="1969"/>
      <c r="C273" s="1969"/>
      <c r="D273" s="3324"/>
      <c r="E273" s="3324"/>
      <c r="F273" s="3324"/>
      <c r="G273" s="3325"/>
      <c r="H273" s="3326"/>
      <c r="I273" s="1969"/>
      <c r="J273" s="1969"/>
    </row>
    <row r="274" spans="1:10">
      <c r="A274" s="1969"/>
      <c r="B274" s="1969"/>
      <c r="C274" s="1969"/>
      <c r="D274" s="3324"/>
      <c r="E274" s="3324"/>
      <c r="F274" s="3324"/>
      <c r="G274" s="3325"/>
      <c r="H274" s="3326"/>
      <c r="I274" s="1969"/>
      <c r="J274" s="1969"/>
    </row>
    <row r="275" spans="1:10">
      <c r="A275" s="1969"/>
      <c r="B275" s="1969"/>
      <c r="C275" s="1969"/>
      <c r="D275" s="3324"/>
      <c r="E275" s="3324"/>
      <c r="F275" s="3324"/>
      <c r="G275" s="3325"/>
      <c r="H275" s="3326"/>
      <c r="I275" s="1969"/>
      <c r="J275" s="1969"/>
    </row>
    <row r="276" spans="1:10">
      <c r="A276" s="1969"/>
      <c r="B276" s="1969"/>
      <c r="C276" s="1969"/>
      <c r="D276" s="3324"/>
      <c r="E276" s="3324"/>
      <c r="F276" s="3324"/>
      <c r="G276" s="3325"/>
      <c r="H276" s="3326"/>
      <c r="I276" s="1969"/>
      <c r="J276" s="1969"/>
    </row>
    <row r="277" spans="1:10">
      <c r="A277" s="1969"/>
      <c r="B277" s="1969"/>
      <c r="C277" s="1969"/>
      <c r="D277" s="3324"/>
      <c r="E277" s="3324"/>
      <c r="F277" s="3324"/>
      <c r="G277" s="3325"/>
      <c r="H277" s="3326"/>
      <c r="I277" s="1969"/>
      <c r="J277" s="1969"/>
    </row>
    <row r="278" spans="1:10">
      <c r="A278" s="1969"/>
      <c r="B278" s="1969"/>
      <c r="C278" s="1969"/>
      <c r="D278" s="3324"/>
      <c r="E278" s="3324"/>
      <c r="F278" s="3324"/>
      <c r="G278" s="3325"/>
      <c r="H278" s="3326"/>
      <c r="I278" s="1969"/>
      <c r="J278" s="1969"/>
    </row>
    <row r="279" spans="1:10">
      <c r="A279" s="1969"/>
      <c r="B279" s="1969"/>
      <c r="C279" s="1969"/>
      <c r="D279" s="3324"/>
      <c r="E279" s="3324"/>
      <c r="F279" s="3324"/>
      <c r="G279" s="3325"/>
      <c r="H279" s="3326"/>
      <c r="I279" s="1969"/>
      <c r="J279" s="1969"/>
    </row>
    <row r="280" spans="1:10">
      <c r="A280" s="1969"/>
      <c r="B280" s="1969"/>
      <c r="C280" s="1969"/>
      <c r="D280" s="3324"/>
      <c r="E280" s="3324"/>
      <c r="F280" s="3324"/>
      <c r="G280" s="3325"/>
      <c r="H280" s="3326"/>
      <c r="I280" s="1969"/>
      <c r="J280" s="1969"/>
    </row>
    <row r="281" spans="1:10">
      <c r="A281" s="1969"/>
      <c r="B281" s="1969"/>
      <c r="C281" s="1969"/>
      <c r="D281" s="3324"/>
      <c r="E281" s="3324"/>
      <c r="F281" s="3324"/>
      <c r="G281" s="3325"/>
      <c r="H281" s="3326"/>
      <c r="I281" s="1969"/>
      <c r="J281" s="1969"/>
    </row>
    <row r="282" spans="1:10">
      <c r="A282" s="1969"/>
      <c r="B282" s="1969"/>
      <c r="C282" s="1969"/>
      <c r="D282" s="3324"/>
      <c r="E282" s="3324"/>
      <c r="F282" s="3324"/>
      <c r="G282" s="3325"/>
      <c r="H282" s="3326"/>
      <c r="I282" s="1969"/>
      <c r="J282" s="1969"/>
    </row>
    <row r="283" spans="1:10">
      <c r="A283" s="1969"/>
      <c r="B283" s="1969"/>
      <c r="C283" s="1969"/>
      <c r="D283" s="3324"/>
      <c r="E283" s="3324"/>
      <c r="F283" s="3324"/>
      <c r="G283" s="3325"/>
      <c r="H283" s="3326"/>
      <c r="I283" s="1969"/>
      <c r="J283" s="1969"/>
    </row>
    <row r="284" spans="1:10">
      <c r="A284" s="1969"/>
      <c r="B284" s="1969"/>
      <c r="C284" s="1969"/>
      <c r="D284" s="3324"/>
      <c r="E284" s="3324"/>
      <c r="F284" s="3324"/>
      <c r="G284" s="3325"/>
      <c r="H284" s="3326"/>
      <c r="I284" s="1969"/>
      <c r="J284" s="1969"/>
    </row>
    <row r="285" spans="1:10">
      <c r="A285" s="1969"/>
      <c r="B285" s="1969"/>
      <c r="C285" s="1969"/>
      <c r="D285" s="3324"/>
      <c r="E285" s="3324"/>
      <c r="F285" s="3324"/>
      <c r="G285" s="3325"/>
      <c r="H285" s="3326"/>
      <c r="I285" s="1969"/>
      <c r="J285" s="1969"/>
    </row>
    <row r="286" spans="1:10">
      <c r="A286" s="1969"/>
      <c r="B286" s="1969"/>
      <c r="C286" s="1969"/>
      <c r="D286" s="3324"/>
      <c r="E286" s="3324"/>
      <c r="F286" s="3324"/>
      <c r="G286" s="3325"/>
      <c r="H286" s="3326"/>
      <c r="I286" s="1969"/>
      <c r="J286" s="1969"/>
    </row>
    <row r="287" spans="1:10">
      <c r="A287" s="1969"/>
      <c r="B287" s="1969"/>
      <c r="C287" s="1969"/>
      <c r="D287" s="3324"/>
      <c r="E287" s="3324"/>
      <c r="F287" s="3324"/>
      <c r="G287" s="3325"/>
      <c r="H287" s="3326"/>
      <c r="I287" s="1969"/>
      <c r="J287" s="1969"/>
    </row>
    <row r="288" spans="1:10">
      <c r="A288" s="1969"/>
      <c r="B288" s="1969"/>
      <c r="C288" s="1969"/>
      <c r="D288" s="3324"/>
      <c r="E288" s="3324"/>
      <c r="F288" s="3324"/>
      <c r="G288" s="3325"/>
      <c r="H288" s="3326"/>
      <c r="I288" s="1969"/>
      <c r="J288" s="1969"/>
    </row>
    <row r="289" spans="1:10">
      <c r="A289" s="1969"/>
      <c r="B289" s="1969"/>
      <c r="C289" s="1969"/>
      <c r="D289" s="3324"/>
      <c r="E289" s="3324"/>
      <c r="F289" s="3324"/>
      <c r="G289" s="3325"/>
      <c r="H289" s="3326"/>
      <c r="I289" s="1969"/>
      <c r="J289" s="1969"/>
    </row>
    <row r="290" spans="1:10">
      <c r="A290" s="1969"/>
      <c r="B290" s="1969"/>
      <c r="C290" s="1969"/>
      <c r="D290" s="3324"/>
      <c r="E290" s="3324"/>
      <c r="F290" s="3324"/>
      <c r="G290" s="3325"/>
      <c r="H290" s="3326"/>
      <c r="I290" s="1969"/>
      <c r="J290" s="1969"/>
    </row>
    <row r="291" spans="1:10">
      <c r="A291" s="1969"/>
      <c r="B291" s="1969"/>
      <c r="C291" s="1969"/>
      <c r="D291" s="3324"/>
      <c r="E291" s="3324"/>
      <c r="F291" s="3324"/>
      <c r="G291" s="3325"/>
      <c r="H291" s="3326"/>
      <c r="I291" s="1969"/>
      <c r="J291" s="1969"/>
    </row>
    <row r="292" spans="1:10">
      <c r="A292" s="1969"/>
      <c r="B292" s="1969"/>
      <c r="C292" s="1969"/>
      <c r="D292" s="3324"/>
      <c r="E292" s="3324"/>
      <c r="F292" s="3324"/>
      <c r="G292" s="3325"/>
      <c r="H292" s="3326"/>
      <c r="I292" s="1969"/>
      <c r="J292" s="1969"/>
    </row>
    <row r="293" spans="1:10">
      <c r="A293" s="1969"/>
      <c r="B293" s="1969"/>
      <c r="C293" s="1969"/>
      <c r="D293" s="3324"/>
      <c r="E293" s="3324"/>
      <c r="F293" s="3324"/>
      <c r="G293" s="3325"/>
      <c r="H293" s="3326"/>
      <c r="I293" s="1969"/>
      <c r="J293" s="1969"/>
    </row>
    <row r="294" spans="1:10">
      <c r="A294" s="1969"/>
      <c r="B294" s="1969"/>
      <c r="C294" s="1969"/>
      <c r="D294" s="3324"/>
      <c r="E294" s="3324"/>
      <c r="F294" s="3324"/>
      <c r="G294" s="3325"/>
      <c r="H294" s="3326"/>
      <c r="I294" s="1969"/>
      <c r="J294" s="1969"/>
    </row>
    <row r="295" spans="1:10">
      <c r="A295" s="1969"/>
      <c r="B295" s="1969"/>
      <c r="C295" s="1969"/>
      <c r="D295" s="3324"/>
      <c r="E295" s="3324"/>
      <c r="F295" s="3324"/>
      <c r="G295" s="3325"/>
      <c r="H295" s="3326"/>
      <c r="I295" s="1969"/>
      <c r="J295" s="1969"/>
    </row>
    <row r="296" spans="1:10">
      <c r="A296" s="1969"/>
      <c r="B296" s="1969"/>
      <c r="C296" s="1969"/>
      <c r="D296" s="3324"/>
      <c r="E296" s="3324"/>
      <c r="F296" s="3324"/>
      <c r="G296" s="3325"/>
      <c r="H296" s="3326"/>
      <c r="I296" s="1969"/>
      <c r="J296" s="1969"/>
    </row>
    <row r="297" spans="1:10">
      <c r="A297" s="1969"/>
      <c r="B297" s="1969"/>
      <c r="C297" s="1969"/>
      <c r="D297" s="3324"/>
      <c r="E297" s="3324"/>
      <c r="F297" s="3324"/>
      <c r="G297" s="3325"/>
      <c r="H297" s="3326"/>
      <c r="I297" s="1969"/>
      <c r="J297" s="1969"/>
    </row>
    <row r="298" spans="1:10">
      <c r="A298" s="1969"/>
      <c r="B298" s="1969"/>
      <c r="C298" s="1969"/>
      <c r="D298" s="3324"/>
      <c r="E298" s="3324"/>
      <c r="F298" s="3324"/>
      <c r="G298" s="3325"/>
      <c r="H298" s="3326"/>
      <c r="I298" s="1969"/>
      <c r="J298" s="1969"/>
    </row>
    <row r="299" spans="1:10">
      <c r="A299" s="1969"/>
      <c r="B299" s="1969"/>
      <c r="C299" s="1969"/>
      <c r="D299" s="3324"/>
      <c r="E299" s="3324"/>
      <c r="F299" s="3324"/>
      <c r="G299" s="3325"/>
      <c r="H299" s="3326"/>
      <c r="I299" s="1969"/>
      <c r="J299" s="1969"/>
    </row>
    <row r="300" spans="1:10">
      <c r="A300" s="1969"/>
      <c r="B300" s="1969"/>
      <c r="C300" s="1969"/>
      <c r="D300" s="3324"/>
      <c r="E300" s="3324"/>
      <c r="F300" s="3324"/>
      <c r="G300" s="3325"/>
      <c r="H300" s="3326"/>
      <c r="I300" s="1969"/>
      <c r="J300" s="1969"/>
    </row>
    <row r="301" spans="1:10">
      <c r="A301" s="1969"/>
      <c r="B301" s="1969"/>
      <c r="C301" s="1969"/>
      <c r="D301" s="3324"/>
      <c r="E301" s="3324"/>
      <c r="F301" s="3324"/>
      <c r="G301" s="3325"/>
      <c r="H301" s="3326"/>
      <c r="I301" s="1969"/>
      <c r="J301" s="1969"/>
    </row>
    <row r="302" spans="1:10">
      <c r="A302" s="1969"/>
      <c r="B302" s="1969"/>
      <c r="C302" s="1969"/>
      <c r="D302" s="3324"/>
      <c r="E302" s="3324"/>
      <c r="F302" s="3324"/>
      <c r="G302" s="3325"/>
      <c r="H302" s="3326"/>
      <c r="I302" s="1969"/>
      <c r="J302" s="1969"/>
    </row>
    <row r="303" spans="1:10">
      <c r="A303" s="1969"/>
      <c r="B303" s="1969"/>
      <c r="C303" s="1969"/>
      <c r="D303" s="3324"/>
      <c r="E303" s="3324"/>
      <c r="F303" s="3324"/>
      <c r="G303" s="3325"/>
      <c r="H303" s="3326"/>
      <c r="I303" s="1969"/>
      <c r="J303" s="1969"/>
    </row>
    <row r="304" spans="1:10">
      <c r="A304" s="1969"/>
      <c r="B304" s="1969"/>
      <c r="C304" s="1969"/>
      <c r="D304" s="3324"/>
      <c r="E304" s="3324"/>
      <c r="F304" s="3324"/>
      <c r="G304" s="3325"/>
      <c r="H304" s="3326"/>
      <c r="I304" s="1969"/>
      <c r="J304" s="1969"/>
    </row>
    <row r="305" spans="1:10">
      <c r="A305" s="1969"/>
      <c r="B305" s="1969"/>
      <c r="C305" s="1969"/>
      <c r="D305" s="3324"/>
      <c r="E305" s="3324"/>
      <c r="F305" s="3324"/>
      <c r="G305" s="3325"/>
      <c r="H305" s="3326"/>
      <c r="I305" s="1969"/>
      <c r="J305" s="1969"/>
    </row>
    <row r="306" spans="1:10">
      <c r="A306" s="1969"/>
      <c r="B306" s="1969"/>
      <c r="C306" s="1969"/>
      <c r="D306" s="3324"/>
      <c r="E306" s="3324"/>
      <c r="F306" s="3324"/>
      <c r="G306" s="3325"/>
      <c r="H306" s="3326"/>
      <c r="I306" s="1969"/>
      <c r="J306" s="1969"/>
    </row>
    <row r="307" spans="1:10">
      <c r="A307" s="1969"/>
      <c r="B307" s="1969"/>
      <c r="C307" s="1969"/>
      <c r="D307" s="3324"/>
      <c r="E307" s="3324"/>
      <c r="F307" s="3324"/>
      <c r="G307" s="3325"/>
      <c r="H307" s="3326"/>
      <c r="I307" s="1969"/>
      <c r="J307" s="1969"/>
    </row>
    <row r="308" spans="1:10">
      <c r="A308" s="1969"/>
      <c r="B308" s="1969"/>
      <c r="C308" s="1969"/>
      <c r="D308" s="3324"/>
      <c r="E308" s="3324"/>
      <c r="F308" s="3324"/>
      <c r="G308" s="3325"/>
      <c r="H308" s="3326"/>
      <c r="I308" s="1969"/>
      <c r="J308" s="1969"/>
    </row>
    <row r="309" spans="1:10">
      <c r="A309" s="1969"/>
      <c r="B309" s="1969"/>
      <c r="C309" s="1969"/>
      <c r="D309" s="3324"/>
      <c r="E309" s="3324"/>
      <c r="F309" s="3324"/>
      <c r="G309" s="3325"/>
      <c r="H309" s="3326"/>
      <c r="I309" s="1969"/>
      <c r="J309" s="1969"/>
    </row>
    <row r="310" spans="1:10">
      <c r="A310" s="1969"/>
      <c r="B310" s="1969"/>
      <c r="C310" s="1969"/>
      <c r="D310" s="3324"/>
      <c r="E310" s="3324"/>
      <c r="F310" s="3324"/>
      <c r="G310" s="3325"/>
      <c r="H310" s="3326"/>
      <c r="I310" s="1969"/>
      <c r="J310" s="1969"/>
    </row>
    <row r="311" spans="1:10">
      <c r="A311" s="1969"/>
      <c r="B311" s="1969"/>
      <c r="C311" s="1969"/>
      <c r="D311" s="3324"/>
      <c r="E311" s="3324"/>
      <c r="F311" s="3324"/>
      <c r="G311" s="3325"/>
      <c r="H311" s="3326"/>
      <c r="I311" s="1969"/>
      <c r="J311" s="1969"/>
    </row>
    <row r="312" spans="1:10">
      <c r="A312" s="1969"/>
      <c r="B312" s="1969"/>
      <c r="C312" s="1969"/>
      <c r="D312" s="3324"/>
      <c r="E312" s="3324"/>
      <c r="F312" s="3324"/>
      <c r="G312" s="3325"/>
      <c r="H312" s="3326"/>
      <c r="I312" s="1969"/>
      <c r="J312" s="1969"/>
    </row>
    <row r="313" spans="1:10">
      <c r="A313" s="1969"/>
      <c r="B313" s="1969"/>
      <c r="C313" s="1969"/>
      <c r="D313" s="3324"/>
      <c r="E313" s="3324"/>
      <c r="F313" s="3324"/>
      <c r="G313" s="3325"/>
      <c r="H313" s="3326"/>
      <c r="I313" s="1969"/>
      <c r="J313" s="1969"/>
    </row>
    <row r="314" spans="1:10">
      <c r="A314" s="1969"/>
      <c r="B314" s="1969"/>
      <c r="C314" s="1969"/>
      <c r="D314" s="3324"/>
      <c r="E314" s="3324"/>
      <c r="F314" s="3324"/>
      <c r="G314" s="3325"/>
      <c r="H314" s="3326"/>
      <c r="I314" s="1969"/>
      <c r="J314" s="1969"/>
    </row>
    <row r="315" spans="1:10">
      <c r="A315" s="1969"/>
      <c r="B315" s="1969"/>
      <c r="C315" s="1969"/>
      <c r="D315" s="3324"/>
      <c r="E315" s="3324"/>
      <c r="F315" s="3324"/>
      <c r="G315" s="3325"/>
      <c r="H315" s="3326"/>
      <c r="I315" s="1969"/>
      <c r="J315" s="1969"/>
    </row>
    <row r="316" spans="1:10">
      <c r="A316" s="1969"/>
      <c r="B316" s="1969"/>
      <c r="C316" s="1969"/>
      <c r="D316" s="3324"/>
      <c r="E316" s="3324"/>
      <c r="F316" s="3324"/>
      <c r="G316" s="3325"/>
      <c r="H316" s="3326"/>
      <c r="I316" s="1969"/>
      <c r="J316" s="1969"/>
    </row>
    <row r="317" spans="1:10">
      <c r="A317" s="1969"/>
      <c r="B317" s="1969"/>
      <c r="C317" s="1969"/>
      <c r="D317" s="3324"/>
      <c r="E317" s="3324"/>
      <c r="F317" s="3324"/>
      <c r="G317" s="3325"/>
      <c r="H317" s="3326"/>
      <c r="I317" s="1969"/>
      <c r="J317" s="1969"/>
    </row>
    <row r="318" spans="1:10">
      <c r="A318" s="1969"/>
      <c r="B318" s="1969"/>
      <c r="C318" s="1969"/>
      <c r="D318" s="3324"/>
      <c r="E318" s="3324"/>
      <c r="F318" s="3324"/>
      <c r="G318" s="3325"/>
      <c r="H318" s="3326"/>
      <c r="I318" s="1969"/>
      <c r="J318" s="1969"/>
    </row>
    <row r="319" spans="1:10">
      <c r="A319" s="1969"/>
      <c r="B319" s="1969"/>
      <c r="C319" s="1969"/>
      <c r="D319" s="3324"/>
      <c r="E319" s="3324"/>
      <c r="F319" s="3324"/>
      <c r="G319" s="3325"/>
      <c r="H319" s="3326"/>
      <c r="I319" s="1969"/>
      <c r="J319" s="1969"/>
    </row>
    <row r="320" spans="1:10">
      <c r="A320" s="1969"/>
      <c r="B320" s="1969"/>
      <c r="C320" s="1969"/>
      <c r="D320" s="3324"/>
      <c r="E320" s="3324"/>
      <c r="F320" s="3324"/>
      <c r="G320" s="3325"/>
      <c r="H320" s="3326"/>
      <c r="I320" s="1969"/>
      <c r="J320" s="1969"/>
    </row>
    <row r="321" spans="1:10">
      <c r="A321" s="1969"/>
      <c r="B321" s="1969"/>
      <c r="C321" s="1969"/>
      <c r="D321" s="3324"/>
      <c r="E321" s="3324"/>
      <c r="F321" s="3324"/>
      <c r="G321" s="3325"/>
      <c r="H321" s="3326"/>
      <c r="I321" s="1969"/>
      <c r="J321" s="1969"/>
    </row>
    <row r="322" spans="1:10">
      <c r="A322" s="1969"/>
      <c r="B322" s="1969"/>
      <c r="C322" s="1969"/>
      <c r="D322" s="3324"/>
      <c r="E322" s="3324"/>
      <c r="F322" s="3324"/>
      <c r="G322" s="3325"/>
      <c r="H322" s="3326"/>
      <c r="I322" s="1969"/>
      <c r="J322" s="1969"/>
    </row>
    <row r="323" spans="1:10">
      <c r="A323" s="1969"/>
      <c r="B323" s="1969"/>
      <c r="C323" s="1969"/>
      <c r="D323" s="3324"/>
      <c r="E323" s="3324"/>
      <c r="F323" s="3324"/>
      <c r="G323" s="3325"/>
      <c r="H323" s="3326"/>
      <c r="I323" s="1969"/>
      <c r="J323" s="1969"/>
    </row>
    <row r="324" spans="1:10">
      <c r="A324" s="1969"/>
      <c r="B324" s="1969"/>
      <c r="C324" s="1969"/>
      <c r="D324" s="3324"/>
      <c r="E324" s="3324"/>
      <c r="F324" s="3324"/>
      <c r="G324" s="3325"/>
      <c r="H324" s="3326"/>
      <c r="I324" s="1969"/>
      <c r="J324" s="1969"/>
    </row>
    <row r="325" spans="1:10">
      <c r="A325" s="1969"/>
      <c r="B325" s="1969"/>
      <c r="C325" s="1969"/>
      <c r="D325" s="3324"/>
      <c r="E325" s="3324"/>
      <c r="F325" s="3324"/>
      <c r="G325" s="3325"/>
      <c r="H325" s="3326"/>
      <c r="I325" s="1969"/>
      <c r="J325" s="1969"/>
    </row>
    <row r="326" spans="1:10">
      <c r="A326" s="1969"/>
      <c r="B326" s="1969"/>
      <c r="C326" s="1969"/>
      <c r="D326" s="3324"/>
      <c r="E326" s="3324"/>
      <c r="F326" s="3324"/>
      <c r="G326" s="3325"/>
      <c r="H326" s="3326"/>
      <c r="I326" s="1969"/>
      <c r="J326" s="1969"/>
    </row>
    <row r="327" spans="1:10">
      <c r="A327" s="1969"/>
      <c r="B327" s="1969"/>
      <c r="C327" s="1969"/>
      <c r="D327" s="3324"/>
      <c r="E327" s="3324"/>
      <c r="F327" s="3324"/>
      <c r="G327" s="3325"/>
      <c r="H327" s="3326"/>
      <c r="I327" s="1969"/>
      <c r="J327" s="1969"/>
    </row>
    <row r="328" spans="1:10">
      <c r="A328" s="1969"/>
      <c r="B328" s="1969"/>
      <c r="C328" s="1969"/>
      <c r="D328" s="3324"/>
      <c r="E328" s="3324"/>
      <c r="F328" s="3324"/>
      <c r="G328" s="3325"/>
      <c r="H328" s="3326"/>
      <c r="I328" s="1969"/>
      <c r="J328" s="1969"/>
    </row>
    <row r="329" spans="1:10">
      <c r="A329" s="1969"/>
      <c r="B329" s="1969"/>
      <c r="C329" s="1969"/>
      <c r="D329" s="3324"/>
      <c r="E329" s="3324"/>
      <c r="F329" s="3324"/>
      <c r="G329" s="3325"/>
      <c r="H329" s="3326"/>
      <c r="I329" s="1969"/>
      <c r="J329" s="1969"/>
    </row>
    <row r="330" spans="1:10">
      <c r="A330" s="1969"/>
      <c r="B330" s="1969"/>
      <c r="C330" s="1969"/>
      <c r="D330" s="3324"/>
      <c r="E330" s="3324"/>
      <c r="F330" s="3324"/>
      <c r="G330" s="3325"/>
      <c r="H330" s="3326"/>
      <c r="I330" s="1969"/>
      <c r="J330" s="1969"/>
    </row>
    <row r="331" spans="1:10">
      <c r="A331" s="1969"/>
      <c r="B331" s="1969"/>
      <c r="C331" s="1969"/>
      <c r="D331" s="3324"/>
      <c r="E331" s="3324"/>
      <c r="F331" s="3324"/>
      <c r="G331" s="3325"/>
      <c r="H331" s="3326"/>
      <c r="I331" s="1969"/>
      <c r="J331" s="1969"/>
    </row>
    <row r="332" spans="1:10">
      <c r="A332" s="1969"/>
      <c r="B332" s="1969"/>
      <c r="C332" s="1969"/>
      <c r="D332" s="3324"/>
      <c r="E332" s="3324"/>
      <c r="F332" s="3324"/>
      <c r="G332" s="3325"/>
      <c r="H332" s="3326"/>
      <c r="I332" s="1969"/>
      <c r="J332" s="1969"/>
    </row>
    <row r="333" spans="1:10">
      <c r="A333" s="1969"/>
      <c r="B333" s="1969"/>
      <c r="C333" s="1969"/>
      <c r="D333" s="3324"/>
      <c r="E333" s="3324"/>
      <c r="F333" s="3324"/>
      <c r="G333" s="3325"/>
      <c r="H333" s="3326"/>
      <c r="I333" s="1969"/>
      <c r="J333" s="1969"/>
    </row>
    <row r="334" spans="1:10">
      <c r="A334" s="1969"/>
      <c r="B334" s="1969"/>
      <c r="C334" s="1969"/>
      <c r="D334" s="3324"/>
      <c r="E334" s="3324"/>
      <c r="F334" s="3324"/>
      <c r="G334" s="3325"/>
      <c r="H334" s="3326"/>
      <c r="I334" s="1969"/>
      <c r="J334" s="1969"/>
    </row>
    <row r="335" spans="1:10">
      <c r="A335" s="1969"/>
      <c r="B335" s="1969"/>
      <c r="C335" s="1969"/>
      <c r="D335" s="3324"/>
      <c r="E335" s="3324"/>
      <c r="F335" s="3324"/>
      <c r="G335" s="3325"/>
      <c r="H335" s="3326"/>
      <c r="I335" s="1969"/>
      <c r="J335" s="1969"/>
    </row>
    <row r="336" spans="1:10">
      <c r="A336" s="1969"/>
      <c r="B336" s="1969"/>
      <c r="C336" s="1969"/>
      <c r="D336" s="3324"/>
      <c r="E336" s="3324"/>
      <c r="F336" s="3324"/>
      <c r="G336" s="3325"/>
      <c r="H336" s="3326"/>
      <c r="I336" s="1969"/>
      <c r="J336" s="1969"/>
    </row>
    <row r="337" spans="1:10">
      <c r="A337" s="1969"/>
      <c r="B337" s="1969"/>
      <c r="C337" s="1969"/>
      <c r="D337" s="3324"/>
      <c r="E337" s="3324"/>
      <c r="F337" s="3324"/>
      <c r="G337" s="3325"/>
      <c r="H337" s="3326"/>
      <c r="I337" s="1969"/>
      <c r="J337" s="1969"/>
    </row>
    <row r="338" spans="1:10">
      <c r="A338" s="1969"/>
      <c r="B338" s="1969"/>
      <c r="C338" s="1969"/>
      <c r="D338" s="3324"/>
      <c r="E338" s="3324"/>
      <c r="F338" s="3324"/>
      <c r="G338" s="3325"/>
      <c r="H338" s="3326"/>
      <c r="I338" s="1969"/>
      <c r="J338" s="1969"/>
    </row>
    <row r="339" spans="1:10">
      <c r="A339" s="1969"/>
      <c r="B339" s="1969"/>
      <c r="C339" s="1969"/>
      <c r="D339" s="3324"/>
      <c r="E339" s="3324"/>
      <c r="F339" s="3324"/>
      <c r="G339" s="3325"/>
      <c r="H339" s="3326"/>
      <c r="I339" s="1969"/>
      <c r="J339" s="1969"/>
    </row>
    <row r="340" spans="1:10">
      <c r="A340" s="1969"/>
      <c r="B340" s="1969"/>
      <c r="C340" s="1969"/>
      <c r="D340" s="3324"/>
      <c r="E340" s="3324"/>
      <c r="F340" s="3324"/>
      <c r="G340" s="3325"/>
      <c r="H340" s="3326"/>
      <c r="I340" s="1969"/>
      <c r="J340" s="1969"/>
    </row>
    <row r="341" spans="1:10">
      <c r="A341" s="1969"/>
      <c r="B341" s="1969"/>
      <c r="C341" s="1969"/>
      <c r="D341" s="3324"/>
      <c r="E341" s="3324"/>
      <c r="F341" s="3324"/>
      <c r="G341" s="3325"/>
      <c r="H341" s="3326"/>
      <c r="I341" s="1969"/>
      <c r="J341" s="1969"/>
    </row>
    <row r="342" spans="1:10">
      <c r="A342" s="1969"/>
      <c r="B342" s="1969"/>
      <c r="C342" s="1969"/>
      <c r="D342" s="3324"/>
      <c r="E342" s="3324"/>
      <c r="F342" s="3324"/>
      <c r="G342" s="3325"/>
      <c r="H342" s="3326"/>
      <c r="I342" s="1969"/>
      <c r="J342" s="1969"/>
    </row>
    <row r="343" spans="1:10">
      <c r="A343" s="1969"/>
      <c r="B343" s="1969"/>
      <c r="C343" s="1969"/>
      <c r="D343" s="3324"/>
      <c r="E343" s="3324"/>
      <c r="F343" s="3324"/>
      <c r="G343" s="3325"/>
      <c r="H343" s="3326"/>
      <c r="I343" s="1969"/>
      <c r="J343" s="1969"/>
    </row>
    <row r="344" spans="1:10">
      <c r="A344" s="1969"/>
      <c r="B344" s="1969"/>
      <c r="C344" s="1969"/>
      <c r="D344" s="3324"/>
      <c r="E344" s="3324"/>
      <c r="F344" s="3324"/>
      <c r="G344" s="3325"/>
      <c r="H344" s="3326"/>
      <c r="I344" s="1969"/>
      <c r="J344" s="1969"/>
    </row>
    <row r="345" spans="1:10">
      <c r="A345" s="1969"/>
      <c r="B345" s="1969"/>
      <c r="C345" s="1969"/>
      <c r="D345" s="3324"/>
      <c r="E345" s="3324"/>
      <c r="F345" s="3324"/>
      <c r="G345" s="3325"/>
      <c r="H345" s="3326"/>
      <c r="I345" s="1969"/>
      <c r="J345" s="1969"/>
    </row>
    <row r="346" spans="1:10">
      <c r="A346" s="1969"/>
      <c r="B346" s="1969"/>
      <c r="C346" s="1969"/>
      <c r="D346" s="3324"/>
      <c r="E346" s="3324"/>
      <c r="F346" s="3324"/>
      <c r="G346" s="3325"/>
      <c r="H346" s="3326"/>
      <c r="I346" s="1969"/>
      <c r="J346" s="1969"/>
    </row>
    <row r="347" spans="1:10">
      <c r="A347" s="1969"/>
      <c r="B347" s="1969"/>
      <c r="C347" s="1969"/>
      <c r="D347" s="3324"/>
      <c r="E347" s="3324"/>
      <c r="F347" s="3324"/>
      <c r="G347" s="3325"/>
      <c r="H347" s="3326"/>
      <c r="I347" s="1969"/>
      <c r="J347" s="1969"/>
    </row>
    <row r="348" spans="1:10">
      <c r="A348" s="1969"/>
      <c r="B348" s="1969"/>
      <c r="C348" s="1969"/>
      <c r="D348" s="3324"/>
      <c r="E348" s="3324"/>
      <c r="F348" s="3324"/>
      <c r="G348" s="3325"/>
      <c r="H348" s="3326"/>
      <c r="I348" s="1969"/>
      <c r="J348" s="1969"/>
    </row>
    <row r="349" spans="1:10">
      <c r="A349" s="1969"/>
      <c r="B349" s="1969"/>
      <c r="C349" s="1969"/>
      <c r="D349" s="3324"/>
      <c r="E349" s="3324"/>
      <c r="F349" s="3324"/>
      <c r="G349" s="3325"/>
      <c r="H349" s="3326"/>
      <c r="I349" s="1969"/>
      <c r="J349" s="1969"/>
    </row>
    <row r="350" spans="1:10">
      <c r="A350" s="1969"/>
      <c r="B350" s="1969"/>
      <c r="C350" s="1969"/>
      <c r="D350" s="3324"/>
      <c r="E350" s="3324"/>
      <c r="F350" s="3324"/>
      <c r="G350" s="3325"/>
      <c r="H350" s="3326"/>
      <c r="I350" s="1969"/>
      <c r="J350" s="1969"/>
    </row>
    <row r="351" spans="1:10">
      <c r="A351" s="1969"/>
      <c r="B351" s="1969"/>
      <c r="C351" s="1969"/>
      <c r="D351" s="3324"/>
      <c r="E351" s="3324"/>
      <c r="F351" s="3324"/>
      <c r="G351" s="3325"/>
      <c r="H351" s="3326"/>
      <c r="I351" s="1969"/>
      <c r="J351" s="1969"/>
    </row>
    <row r="352" spans="1:10">
      <c r="A352" s="1969"/>
      <c r="B352" s="1969"/>
      <c r="C352" s="1969"/>
      <c r="D352" s="3324"/>
      <c r="E352" s="3324"/>
      <c r="F352" s="3324"/>
      <c r="G352" s="3325"/>
      <c r="H352" s="3326"/>
      <c r="I352" s="1969"/>
      <c r="J352" s="1969"/>
    </row>
    <row r="353" spans="1:10">
      <c r="A353" s="1969"/>
      <c r="B353" s="1969"/>
      <c r="C353" s="1969"/>
      <c r="D353" s="3324"/>
      <c r="E353" s="3324"/>
      <c r="F353" s="3324"/>
      <c r="G353" s="3325"/>
      <c r="H353" s="3326"/>
      <c r="I353" s="1969"/>
      <c r="J353" s="1969"/>
    </row>
    <row r="354" spans="1:10">
      <c r="A354" s="1969"/>
      <c r="B354" s="1969"/>
      <c r="C354" s="1969"/>
      <c r="D354" s="3324"/>
      <c r="E354" s="3324"/>
      <c r="F354" s="3324"/>
      <c r="G354" s="3325"/>
      <c r="H354" s="3326"/>
      <c r="I354" s="1969"/>
      <c r="J354" s="1969"/>
    </row>
    <row r="355" spans="1:10">
      <c r="A355" s="1969"/>
      <c r="B355" s="1969"/>
      <c r="C355" s="1969"/>
      <c r="D355" s="3324"/>
      <c r="E355" s="3324"/>
      <c r="F355" s="3324"/>
      <c r="G355" s="3325"/>
      <c r="H355" s="3326"/>
      <c r="I355" s="1969"/>
      <c r="J355" s="1969"/>
    </row>
    <row r="356" spans="1:10">
      <c r="A356" s="1969"/>
      <c r="B356" s="1969"/>
      <c r="C356" s="1969"/>
      <c r="D356" s="3324"/>
      <c r="E356" s="3324"/>
      <c r="F356" s="3324"/>
      <c r="G356" s="3325"/>
      <c r="H356" s="3326"/>
      <c r="I356" s="1969"/>
      <c r="J356" s="1969"/>
    </row>
    <row r="357" spans="1:10">
      <c r="A357" s="1969"/>
      <c r="B357" s="1969"/>
      <c r="C357" s="1969"/>
      <c r="D357" s="3324"/>
      <c r="E357" s="3324"/>
      <c r="F357" s="3324"/>
      <c r="G357" s="3325"/>
      <c r="H357" s="3326"/>
      <c r="I357" s="1969"/>
      <c r="J357" s="1969"/>
    </row>
    <row r="358" spans="1:10">
      <c r="A358" s="1969"/>
      <c r="B358" s="1969"/>
      <c r="C358" s="1969"/>
      <c r="D358" s="3324"/>
      <c r="E358" s="3324"/>
      <c r="F358" s="3324"/>
      <c r="G358" s="3325"/>
      <c r="H358" s="3326"/>
      <c r="I358" s="1969"/>
      <c r="J358" s="1969"/>
    </row>
    <row r="359" spans="1:10">
      <c r="A359" s="1969"/>
      <c r="B359" s="1969"/>
      <c r="C359" s="1969"/>
      <c r="D359" s="3324"/>
      <c r="E359" s="3324"/>
      <c r="F359" s="3324"/>
      <c r="G359" s="3325"/>
      <c r="H359" s="3326"/>
      <c r="I359" s="1969"/>
      <c r="J359" s="1969"/>
    </row>
    <row r="360" spans="1:10">
      <c r="A360" s="1969"/>
      <c r="B360" s="1969"/>
      <c r="C360" s="1969"/>
      <c r="D360" s="3324"/>
      <c r="E360" s="3324"/>
      <c r="F360" s="3324"/>
      <c r="G360" s="3325"/>
      <c r="H360" s="3326"/>
      <c r="I360" s="1969"/>
      <c r="J360" s="1969"/>
    </row>
    <row r="361" spans="1:10">
      <c r="A361" s="1969"/>
      <c r="B361" s="1969"/>
      <c r="C361" s="1969"/>
      <c r="D361" s="3324"/>
      <c r="E361" s="3324"/>
      <c r="F361" s="3324"/>
      <c r="G361" s="3325"/>
      <c r="H361" s="3326"/>
      <c r="I361" s="1969"/>
      <c r="J361" s="1969"/>
    </row>
    <row r="362" spans="1:10">
      <c r="A362" s="1969"/>
      <c r="B362" s="1969"/>
      <c r="C362" s="1969"/>
      <c r="D362" s="3324"/>
      <c r="E362" s="3324"/>
      <c r="F362" s="3324"/>
      <c r="G362" s="3325"/>
      <c r="H362" s="3326"/>
      <c r="I362" s="1969"/>
      <c r="J362" s="1969"/>
    </row>
    <row r="363" spans="1:10">
      <c r="A363" s="1969"/>
      <c r="B363" s="1969"/>
      <c r="C363" s="1969"/>
      <c r="D363" s="3324"/>
      <c r="E363" s="3324"/>
      <c r="F363" s="3324"/>
      <c r="G363" s="3325"/>
      <c r="H363" s="3326"/>
      <c r="I363" s="1969"/>
      <c r="J363" s="1969"/>
    </row>
    <row r="364" spans="1:10">
      <c r="A364" s="1969"/>
      <c r="B364" s="1969"/>
      <c r="C364" s="1969"/>
      <c r="D364" s="3324"/>
      <c r="E364" s="3324"/>
      <c r="F364" s="3324"/>
      <c r="G364" s="3325"/>
      <c r="H364" s="3326"/>
      <c r="I364" s="1969"/>
      <c r="J364" s="1969"/>
    </row>
    <row r="365" spans="1:10">
      <c r="A365" s="1969"/>
      <c r="B365" s="1969"/>
      <c r="C365" s="1969"/>
      <c r="D365" s="3324"/>
      <c r="E365" s="3324"/>
      <c r="F365" s="3324"/>
      <c r="G365" s="3325"/>
      <c r="H365" s="3326"/>
      <c r="I365" s="1969"/>
      <c r="J365" s="1969"/>
    </row>
    <row r="366" spans="1:10">
      <c r="A366" s="1969"/>
      <c r="B366" s="1969"/>
      <c r="C366" s="1969"/>
      <c r="D366" s="3324"/>
      <c r="E366" s="3324"/>
      <c r="F366" s="3324"/>
      <c r="G366" s="3325"/>
      <c r="H366" s="3326"/>
      <c r="I366" s="1969"/>
      <c r="J366" s="1969"/>
    </row>
    <row r="367" spans="1:10">
      <c r="A367" s="1969"/>
      <c r="B367" s="1969"/>
      <c r="C367" s="1969"/>
      <c r="D367" s="3324"/>
      <c r="E367" s="3324"/>
      <c r="F367" s="3324"/>
      <c r="G367" s="3325"/>
      <c r="H367" s="3326"/>
      <c r="I367" s="1969"/>
      <c r="J367" s="1969"/>
    </row>
    <row r="368" spans="1:10">
      <c r="A368" s="1969"/>
      <c r="B368" s="1969"/>
      <c r="C368" s="1969"/>
      <c r="D368" s="3324"/>
      <c r="E368" s="3324"/>
      <c r="F368" s="3324"/>
      <c r="G368" s="3325"/>
      <c r="H368" s="3326"/>
      <c r="I368" s="1969"/>
      <c r="J368" s="1969"/>
    </row>
    <row r="369" spans="1:10">
      <c r="A369" s="1969"/>
      <c r="B369" s="1969"/>
      <c r="C369" s="1969"/>
      <c r="D369" s="3324"/>
      <c r="E369" s="3324"/>
      <c r="F369" s="3324"/>
      <c r="G369" s="3325"/>
      <c r="H369" s="3326"/>
      <c r="I369" s="1969"/>
      <c r="J369" s="1969"/>
    </row>
    <row r="370" spans="1:10">
      <c r="A370" s="1969"/>
      <c r="B370" s="1969"/>
      <c r="C370" s="1969"/>
      <c r="D370" s="3324"/>
      <c r="E370" s="3324"/>
      <c r="F370" s="3324"/>
      <c r="G370" s="3325"/>
      <c r="H370" s="3326"/>
      <c r="I370" s="1969"/>
      <c r="J370" s="1969"/>
    </row>
    <row r="371" spans="1:10">
      <c r="A371" s="1969"/>
      <c r="B371" s="1969"/>
      <c r="C371" s="1969"/>
      <c r="D371" s="3324"/>
      <c r="E371" s="3324"/>
      <c r="F371" s="3324"/>
      <c r="G371" s="3325"/>
      <c r="H371" s="3326"/>
      <c r="I371" s="1969"/>
      <c r="J371" s="1969"/>
    </row>
    <row r="372" spans="1:10">
      <c r="A372" s="1969"/>
      <c r="B372" s="1969"/>
      <c r="C372" s="1969"/>
      <c r="D372" s="3324"/>
      <c r="E372" s="3324"/>
      <c r="F372" s="3324"/>
      <c r="G372" s="3325"/>
      <c r="H372" s="3326"/>
      <c r="I372" s="1969"/>
      <c r="J372" s="1969"/>
    </row>
    <row r="373" spans="1:10">
      <c r="A373" s="1969"/>
      <c r="B373" s="1969"/>
      <c r="C373" s="1969"/>
      <c r="D373" s="3324"/>
      <c r="E373" s="3324"/>
      <c r="F373" s="3324"/>
      <c r="G373" s="3325"/>
      <c r="H373" s="3326"/>
      <c r="I373" s="1969"/>
      <c r="J373" s="1969"/>
    </row>
    <row r="374" spans="1:10">
      <c r="A374" s="1969"/>
      <c r="B374" s="1969"/>
      <c r="C374" s="1969"/>
      <c r="D374" s="3324"/>
      <c r="E374" s="3324"/>
      <c r="F374" s="3324"/>
      <c r="G374" s="3325"/>
      <c r="H374" s="3326"/>
      <c r="I374" s="1969"/>
      <c r="J374" s="1969"/>
    </row>
    <row r="375" spans="1:10">
      <c r="A375" s="1969"/>
      <c r="B375" s="1969"/>
      <c r="C375" s="1969"/>
      <c r="D375" s="3324"/>
      <c r="E375" s="3324"/>
      <c r="F375" s="3324"/>
      <c r="G375" s="3325"/>
      <c r="H375" s="3326"/>
      <c r="I375" s="1969"/>
      <c r="J375" s="1969"/>
    </row>
    <row r="376" spans="1:10">
      <c r="A376" s="1969"/>
      <c r="B376" s="1969"/>
      <c r="C376" s="1969"/>
      <c r="D376" s="3324"/>
      <c r="E376" s="3324"/>
      <c r="F376" s="3324"/>
      <c r="G376" s="3325"/>
      <c r="H376" s="3326"/>
      <c r="I376" s="1969"/>
      <c r="J376" s="1969"/>
    </row>
    <row r="377" spans="1:10">
      <c r="A377" s="1969"/>
      <c r="B377" s="1969"/>
      <c r="C377" s="1969"/>
      <c r="D377" s="3324"/>
      <c r="E377" s="3324"/>
      <c r="F377" s="3324"/>
      <c r="G377" s="3325"/>
      <c r="H377" s="3326"/>
      <c r="I377" s="1969"/>
      <c r="J377" s="1969"/>
    </row>
    <row r="378" spans="1:10">
      <c r="A378" s="1969"/>
      <c r="B378" s="1969"/>
      <c r="C378" s="1969"/>
      <c r="D378" s="3324"/>
      <c r="E378" s="3324"/>
      <c r="F378" s="3324"/>
      <c r="G378" s="3325"/>
      <c r="H378" s="3326"/>
      <c r="I378" s="1969"/>
      <c r="J378" s="1969"/>
    </row>
    <row r="379" spans="1:10">
      <c r="A379" s="1969"/>
      <c r="B379" s="1969"/>
      <c r="C379" s="1969"/>
      <c r="D379" s="3324"/>
      <c r="E379" s="3324"/>
      <c r="F379" s="3324"/>
      <c r="G379" s="3325"/>
      <c r="H379" s="3326"/>
      <c r="I379" s="1969"/>
      <c r="J379" s="1969"/>
    </row>
    <row r="380" spans="1:10">
      <c r="A380" s="1969"/>
      <c r="B380" s="1969"/>
      <c r="C380" s="1969"/>
      <c r="D380" s="3324"/>
      <c r="E380" s="3324"/>
      <c r="F380" s="3324"/>
      <c r="G380" s="3325"/>
      <c r="H380" s="3326"/>
      <c r="I380" s="1969"/>
      <c r="J380" s="1969"/>
    </row>
    <row r="381" spans="1:10">
      <c r="A381" s="1969"/>
      <c r="B381" s="1969"/>
      <c r="C381" s="1969"/>
      <c r="D381" s="3324"/>
      <c r="E381" s="3324"/>
      <c r="F381" s="3324"/>
      <c r="G381" s="3325"/>
      <c r="H381" s="3326"/>
      <c r="I381" s="1969"/>
      <c r="J381" s="1969"/>
    </row>
    <row r="382" spans="1:10">
      <c r="A382" s="1969"/>
      <c r="B382" s="1969"/>
      <c r="C382" s="1969"/>
      <c r="D382" s="3324"/>
      <c r="E382" s="3324"/>
      <c r="F382" s="3324"/>
      <c r="G382" s="3325"/>
      <c r="H382" s="3326"/>
      <c r="I382" s="1969"/>
      <c r="J382" s="1969"/>
    </row>
    <row r="383" spans="1:10">
      <c r="A383" s="1969"/>
      <c r="B383" s="1969"/>
      <c r="C383" s="1969"/>
      <c r="D383" s="3324"/>
      <c r="E383" s="3324"/>
      <c r="F383" s="3324"/>
      <c r="G383" s="3325"/>
      <c r="H383" s="3326"/>
      <c r="I383" s="1969"/>
      <c r="J383" s="1969"/>
    </row>
    <row r="384" spans="1:10">
      <c r="A384" s="1969"/>
      <c r="B384" s="1969"/>
      <c r="C384" s="1969"/>
      <c r="D384" s="3324"/>
      <c r="E384" s="3324"/>
      <c r="F384" s="3324"/>
      <c r="G384" s="3325"/>
      <c r="H384" s="3326"/>
      <c r="I384" s="1969"/>
      <c r="J384" s="1969"/>
    </row>
    <row r="385" spans="1:10">
      <c r="A385" s="1969"/>
      <c r="B385" s="1969"/>
      <c r="C385" s="1969"/>
      <c r="D385" s="3324"/>
      <c r="E385" s="3324"/>
      <c r="F385" s="3324"/>
      <c r="G385" s="3325"/>
      <c r="H385" s="3326"/>
      <c r="I385" s="1969"/>
      <c r="J385" s="1969"/>
    </row>
    <row r="386" spans="1:10">
      <c r="A386" s="1969"/>
      <c r="B386" s="1969"/>
      <c r="C386" s="1969"/>
      <c r="D386" s="3324"/>
      <c r="E386" s="3324"/>
      <c r="F386" s="3324"/>
      <c r="G386" s="3325"/>
      <c r="H386" s="3326"/>
      <c r="I386" s="1969"/>
      <c r="J386" s="1969"/>
    </row>
    <row r="387" spans="1:10">
      <c r="A387" s="1969"/>
      <c r="B387" s="1969"/>
      <c r="C387" s="1969"/>
      <c r="D387" s="3324"/>
      <c r="E387" s="3324"/>
      <c r="F387" s="3324"/>
      <c r="G387" s="3325"/>
      <c r="H387" s="3326"/>
      <c r="I387" s="1969"/>
      <c r="J387" s="1969"/>
    </row>
    <row r="388" spans="1:10">
      <c r="A388" s="1969"/>
      <c r="B388" s="1969"/>
      <c r="C388" s="1969"/>
      <c r="D388" s="3324"/>
      <c r="E388" s="3324"/>
      <c r="F388" s="3324"/>
      <c r="G388" s="3325"/>
      <c r="H388" s="3326"/>
      <c r="I388" s="1969"/>
      <c r="J388" s="1969"/>
    </row>
    <row r="389" spans="1:10">
      <c r="A389" s="1969"/>
      <c r="B389" s="1969"/>
      <c r="C389" s="1969"/>
      <c r="D389" s="3324"/>
      <c r="E389" s="3324"/>
      <c r="F389" s="3324"/>
      <c r="G389" s="3325"/>
      <c r="H389" s="3326"/>
      <c r="I389" s="1969"/>
      <c r="J389" s="1969"/>
    </row>
    <row r="390" spans="1:10">
      <c r="A390" s="1969"/>
      <c r="B390" s="1969"/>
      <c r="C390" s="1969"/>
      <c r="D390" s="3324"/>
      <c r="E390" s="3324"/>
      <c r="F390" s="3324"/>
      <c r="G390" s="3325"/>
      <c r="H390" s="3326"/>
      <c r="I390" s="1969"/>
      <c r="J390" s="1969"/>
    </row>
    <row r="391" spans="1:10">
      <c r="A391" s="1969"/>
      <c r="B391" s="1969"/>
      <c r="C391" s="1969"/>
      <c r="D391" s="3324"/>
      <c r="E391" s="3324"/>
      <c r="F391" s="3324"/>
      <c r="G391" s="3325"/>
      <c r="H391" s="3326"/>
      <c r="I391" s="1969"/>
      <c r="J391" s="1969"/>
    </row>
    <row r="392" spans="1:10">
      <c r="A392" s="1969"/>
      <c r="B392" s="1969"/>
      <c r="C392" s="1969"/>
      <c r="D392" s="3324"/>
      <c r="E392" s="3324"/>
      <c r="F392" s="3324"/>
      <c r="G392" s="3325"/>
      <c r="H392" s="3326"/>
      <c r="I392" s="1969"/>
      <c r="J392" s="1969"/>
    </row>
    <row r="393" spans="1:10">
      <c r="A393" s="1969"/>
      <c r="B393" s="1969"/>
      <c r="C393" s="1969"/>
      <c r="D393" s="3324"/>
      <c r="E393" s="3324"/>
      <c r="F393" s="3324"/>
      <c r="G393" s="3325"/>
      <c r="H393" s="3326"/>
      <c r="I393" s="1969"/>
      <c r="J393" s="1969"/>
    </row>
    <row r="394" spans="1:10">
      <c r="A394" s="1969"/>
      <c r="B394" s="1969"/>
      <c r="C394" s="1969"/>
      <c r="D394" s="3324"/>
      <c r="E394" s="3324"/>
      <c r="F394" s="3324"/>
      <c r="G394" s="3325"/>
      <c r="H394" s="3326"/>
      <c r="I394" s="1969"/>
      <c r="J394" s="1969"/>
    </row>
    <row r="395" spans="1:10">
      <c r="A395" s="1969"/>
      <c r="B395" s="1969"/>
      <c r="C395" s="1969"/>
      <c r="D395" s="3324"/>
      <c r="E395" s="3324"/>
      <c r="F395" s="3324"/>
      <c r="G395" s="3325"/>
      <c r="H395" s="3326"/>
      <c r="I395" s="1969"/>
      <c r="J395" s="1969"/>
    </row>
    <row r="396" spans="1:10">
      <c r="A396" s="1969"/>
      <c r="B396" s="1969"/>
      <c r="C396" s="1969"/>
      <c r="D396" s="3324"/>
      <c r="E396" s="3324"/>
      <c r="F396" s="3324"/>
      <c r="G396" s="3325"/>
      <c r="H396" s="3326"/>
      <c r="I396" s="1969"/>
      <c r="J396" s="1969"/>
    </row>
    <row r="397" spans="1:10">
      <c r="A397" s="1969"/>
      <c r="B397" s="1969"/>
      <c r="C397" s="1969"/>
      <c r="D397" s="3324"/>
      <c r="E397" s="3324"/>
      <c r="F397" s="3324"/>
      <c r="G397" s="3325"/>
      <c r="H397" s="3326"/>
      <c r="I397" s="1969"/>
      <c r="J397" s="1969"/>
    </row>
    <row r="398" spans="1:10">
      <c r="A398" s="1969"/>
      <c r="B398" s="1969"/>
      <c r="C398" s="1969"/>
      <c r="D398" s="3324"/>
      <c r="E398" s="3324"/>
      <c r="F398" s="3324"/>
      <c r="G398" s="3325"/>
      <c r="H398" s="3326"/>
      <c r="I398" s="1969"/>
      <c r="J398" s="1969"/>
    </row>
    <row r="399" spans="1:10">
      <c r="A399" s="1969"/>
      <c r="B399" s="1969"/>
      <c r="C399" s="1969"/>
      <c r="D399" s="3324"/>
      <c r="E399" s="3324"/>
      <c r="F399" s="3324"/>
      <c r="G399" s="3325"/>
      <c r="H399" s="3326"/>
      <c r="I399" s="1969"/>
      <c r="J399" s="1969"/>
    </row>
    <row r="400" spans="1:10">
      <c r="A400" s="1969"/>
      <c r="B400" s="1969"/>
      <c r="C400" s="1969"/>
      <c r="D400" s="3324"/>
      <c r="E400" s="3324"/>
      <c r="F400" s="3324"/>
      <c r="G400" s="3325"/>
      <c r="H400" s="3326"/>
      <c r="I400" s="1969"/>
      <c r="J400" s="1969"/>
    </row>
    <row r="401" spans="1:10">
      <c r="A401" s="1969"/>
      <c r="B401" s="1969"/>
      <c r="C401" s="1969"/>
      <c r="D401" s="3324"/>
      <c r="E401" s="3324"/>
      <c r="F401" s="3324"/>
      <c r="G401" s="3325"/>
      <c r="H401" s="3326"/>
      <c r="I401" s="1969"/>
      <c r="J401" s="1969"/>
    </row>
    <row r="402" spans="1:10">
      <c r="A402" s="1969"/>
      <c r="B402" s="1969"/>
      <c r="C402" s="1969"/>
      <c r="D402" s="3324"/>
      <c r="E402" s="3324"/>
      <c r="F402" s="3324"/>
      <c r="G402" s="3325"/>
      <c r="H402" s="3326"/>
      <c r="I402" s="1969"/>
      <c r="J402" s="1969"/>
    </row>
    <row r="403" spans="1:10">
      <c r="A403" s="1969"/>
      <c r="B403" s="1969"/>
      <c r="C403" s="1969"/>
      <c r="D403" s="3324"/>
      <c r="E403" s="3324"/>
      <c r="F403" s="3324"/>
      <c r="G403" s="3325"/>
      <c r="H403" s="3326"/>
      <c r="I403" s="1969"/>
      <c r="J403" s="1969"/>
    </row>
    <row r="404" spans="1:10">
      <c r="A404" s="1969"/>
      <c r="B404" s="1969"/>
      <c r="C404" s="1969"/>
      <c r="D404" s="3324"/>
      <c r="E404" s="3324"/>
      <c r="F404" s="3324"/>
      <c r="G404" s="3325"/>
      <c r="H404" s="3326"/>
      <c r="I404" s="1969"/>
      <c r="J404" s="1969"/>
    </row>
    <row r="405" spans="1:10">
      <c r="A405" s="1969"/>
      <c r="B405" s="1969"/>
      <c r="C405" s="1969"/>
      <c r="D405" s="3324"/>
      <c r="E405" s="3324"/>
      <c r="F405" s="3324"/>
      <c r="G405" s="3325"/>
      <c r="H405" s="3326"/>
      <c r="I405" s="1969"/>
      <c r="J405" s="1969"/>
    </row>
    <row r="406" spans="1:10">
      <c r="A406" s="1969"/>
      <c r="B406" s="1969"/>
      <c r="C406" s="1969"/>
      <c r="D406" s="3324"/>
      <c r="E406" s="3324"/>
      <c r="F406" s="3324"/>
      <c r="G406" s="3325"/>
      <c r="H406" s="3326"/>
      <c r="I406" s="1969"/>
      <c r="J406" s="1969"/>
    </row>
    <row r="407" spans="1:10">
      <c r="A407" s="1969"/>
      <c r="B407" s="1969"/>
      <c r="C407" s="1969"/>
      <c r="D407" s="3324"/>
      <c r="E407" s="3324"/>
      <c r="F407" s="3324"/>
      <c r="G407" s="3325"/>
      <c r="H407" s="3326"/>
      <c r="I407" s="1969"/>
      <c r="J407" s="1969"/>
    </row>
    <row r="408" spans="1:10">
      <c r="A408" s="1969"/>
      <c r="B408" s="1969"/>
      <c r="C408" s="1969"/>
      <c r="D408" s="3324"/>
      <c r="E408" s="3324"/>
      <c r="F408" s="3324"/>
      <c r="G408" s="3325"/>
      <c r="H408" s="3326"/>
      <c r="I408" s="1969"/>
      <c r="J408" s="1969"/>
    </row>
    <row r="409" spans="1:10">
      <c r="A409" s="1969"/>
      <c r="B409" s="1969"/>
      <c r="C409" s="1969"/>
      <c r="D409" s="3324"/>
      <c r="E409" s="3324"/>
      <c r="F409" s="3324"/>
      <c r="G409" s="3325"/>
      <c r="H409" s="3326"/>
      <c r="I409" s="1969"/>
      <c r="J409" s="1969"/>
    </row>
    <row r="410" spans="1:10">
      <c r="A410" s="1969"/>
      <c r="B410" s="1969"/>
      <c r="C410" s="1969"/>
      <c r="D410" s="3324"/>
      <c r="E410" s="3324"/>
      <c r="F410" s="3324"/>
      <c r="G410" s="3325"/>
      <c r="H410" s="3326"/>
      <c r="I410" s="1969"/>
      <c r="J410" s="1969"/>
    </row>
    <row r="411" spans="1:10">
      <c r="A411" s="1969"/>
      <c r="B411" s="1969"/>
      <c r="C411" s="1969"/>
      <c r="D411" s="3324"/>
      <c r="E411" s="3324"/>
      <c r="F411" s="3324"/>
      <c r="G411" s="3325"/>
      <c r="H411" s="3326"/>
      <c r="I411" s="1969"/>
      <c r="J411" s="1969"/>
    </row>
    <row r="412" spans="1:10">
      <c r="A412" s="1969"/>
      <c r="B412" s="1969"/>
      <c r="C412" s="1969"/>
      <c r="D412" s="3324"/>
      <c r="E412" s="3324"/>
      <c r="F412" s="3324"/>
      <c r="G412" s="3325"/>
      <c r="H412" s="3326"/>
      <c r="I412" s="1969"/>
      <c r="J412" s="1969"/>
    </row>
    <row r="413" spans="1:10">
      <c r="A413" s="1969"/>
      <c r="B413" s="1969"/>
      <c r="C413" s="1969"/>
      <c r="D413" s="3324"/>
      <c r="E413" s="3324"/>
      <c r="F413" s="3324"/>
      <c r="G413" s="3325"/>
      <c r="H413" s="3326"/>
      <c r="I413" s="1969"/>
      <c r="J413" s="1969"/>
    </row>
    <row r="414" spans="1:10">
      <c r="A414" s="1969"/>
      <c r="B414" s="1969"/>
      <c r="C414" s="1969"/>
      <c r="D414" s="3324"/>
      <c r="E414" s="3324"/>
      <c r="F414" s="3324"/>
      <c r="G414" s="3325"/>
      <c r="H414" s="3326"/>
      <c r="I414" s="1969"/>
      <c r="J414" s="1969"/>
    </row>
    <row r="415" spans="1:10">
      <c r="A415" s="1969"/>
      <c r="B415" s="1969"/>
      <c r="C415" s="1969"/>
      <c r="D415" s="3324"/>
      <c r="E415" s="3324"/>
      <c r="F415" s="3324"/>
      <c r="G415" s="3325"/>
      <c r="H415" s="3326"/>
      <c r="I415" s="1969"/>
      <c r="J415" s="1969"/>
    </row>
    <row r="416" spans="1:10">
      <c r="A416" s="1969"/>
      <c r="B416" s="1969"/>
      <c r="C416" s="1969"/>
      <c r="D416" s="3324"/>
      <c r="E416" s="3324"/>
      <c r="F416" s="3324"/>
      <c r="G416" s="3325"/>
      <c r="H416" s="3326"/>
      <c r="I416" s="1969"/>
      <c r="J416" s="1969"/>
    </row>
    <row r="417" spans="1:10">
      <c r="A417" s="1969"/>
      <c r="B417" s="1969"/>
      <c r="C417" s="1969"/>
      <c r="D417" s="3324"/>
      <c r="E417" s="3324"/>
      <c r="F417" s="3324"/>
      <c r="G417" s="3325"/>
      <c r="H417" s="3326"/>
      <c r="I417" s="1969"/>
      <c r="J417" s="1969"/>
    </row>
    <row r="418" spans="1:10">
      <c r="A418" s="1969"/>
      <c r="B418" s="1969"/>
      <c r="C418" s="1969"/>
      <c r="D418" s="3324"/>
      <c r="E418" s="3324"/>
      <c r="F418" s="3324"/>
      <c r="G418" s="3325"/>
      <c r="H418" s="3326"/>
      <c r="I418" s="1969"/>
      <c r="J418" s="1969"/>
    </row>
    <row r="419" spans="1:10">
      <c r="A419" s="1969"/>
      <c r="B419" s="1969"/>
      <c r="C419" s="1969"/>
      <c r="D419" s="3324"/>
      <c r="E419" s="3324"/>
      <c r="F419" s="3324"/>
      <c r="G419" s="3325"/>
      <c r="H419" s="3326"/>
      <c r="I419" s="1969"/>
      <c r="J419" s="1969"/>
    </row>
    <row r="420" spans="1:10">
      <c r="A420" s="1969"/>
      <c r="B420" s="1969"/>
      <c r="C420" s="1969"/>
      <c r="D420" s="3324"/>
      <c r="E420" s="3324"/>
      <c r="F420" s="3324"/>
      <c r="G420" s="3325"/>
      <c r="H420" s="3326"/>
      <c r="I420" s="1969"/>
      <c r="J420" s="1969"/>
    </row>
    <row r="421" spans="1:10">
      <c r="A421" s="1969"/>
      <c r="B421" s="1969"/>
      <c r="C421" s="1969"/>
      <c r="D421" s="3324"/>
      <c r="E421" s="3324"/>
      <c r="F421" s="3324"/>
      <c r="G421" s="3325"/>
      <c r="H421" s="3326"/>
      <c r="I421" s="1969"/>
      <c r="J421" s="1969"/>
    </row>
    <row r="422" spans="1:10">
      <c r="A422" s="1969"/>
      <c r="B422" s="1969"/>
      <c r="C422" s="1969"/>
      <c r="D422" s="3324"/>
      <c r="E422" s="3324"/>
      <c r="F422" s="3324"/>
      <c r="G422" s="3325"/>
      <c r="H422" s="3326"/>
      <c r="I422" s="1969"/>
      <c r="J422" s="1969"/>
    </row>
    <row r="423" spans="1:10">
      <c r="A423" s="1969"/>
      <c r="B423" s="1969"/>
      <c r="C423" s="1969"/>
      <c r="D423" s="3324"/>
      <c r="E423" s="3324"/>
      <c r="F423" s="3324"/>
      <c r="G423" s="3325"/>
      <c r="H423" s="3326"/>
      <c r="I423" s="1969"/>
      <c r="J423" s="1969"/>
    </row>
    <row r="424" spans="1:10">
      <c r="A424" s="1969"/>
      <c r="B424" s="1969"/>
      <c r="C424" s="1969"/>
      <c r="D424" s="3324"/>
      <c r="E424" s="3324"/>
      <c r="F424" s="3324"/>
      <c r="G424" s="3325"/>
      <c r="H424" s="3326"/>
      <c r="I424" s="1969"/>
      <c r="J424" s="1969"/>
    </row>
    <row r="425" spans="1:10">
      <c r="A425" s="1969"/>
      <c r="B425" s="1969"/>
      <c r="C425" s="1969"/>
      <c r="D425" s="3324"/>
      <c r="E425" s="3324"/>
      <c r="F425" s="3324"/>
      <c r="G425" s="3325"/>
      <c r="H425" s="3326"/>
      <c r="I425" s="1969"/>
      <c r="J425" s="1969"/>
    </row>
    <row r="426" spans="1:10">
      <c r="A426" s="1969"/>
      <c r="B426" s="1969"/>
      <c r="C426" s="1969"/>
      <c r="D426" s="3324"/>
      <c r="E426" s="3324"/>
      <c r="F426" s="3324"/>
      <c r="G426" s="3325"/>
      <c r="H426" s="3326"/>
      <c r="I426" s="1969"/>
      <c r="J426" s="1969"/>
    </row>
    <row r="427" spans="1:10">
      <c r="A427" s="1969"/>
      <c r="B427" s="1969"/>
      <c r="C427" s="1969"/>
      <c r="D427" s="3324"/>
      <c r="E427" s="3324"/>
      <c r="F427" s="3324"/>
      <c r="G427" s="3325"/>
      <c r="H427" s="3326"/>
      <c r="I427" s="1969"/>
      <c r="J427" s="1969"/>
    </row>
    <row r="428" spans="1:10">
      <c r="A428" s="1969"/>
      <c r="B428" s="1969"/>
      <c r="C428" s="1969"/>
      <c r="D428" s="3324"/>
      <c r="E428" s="3324"/>
      <c r="F428" s="3324"/>
      <c r="G428" s="3325"/>
      <c r="H428" s="3326"/>
      <c r="I428" s="1969"/>
      <c r="J428" s="1969"/>
    </row>
    <row r="429" spans="1:10">
      <c r="A429" s="1969"/>
      <c r="B429" s="1969"/>
      <c r="C429" s="1969"/>
      <c r="D429" s="3324"/>
      <c r="E429" s="3324"/>
      <c r="F429" s="3324"/>
      <c r="G429" s="3325"/>
      <c r="H429" s="3326"/>
      <c r="I429" s="1969"/>
      <c r="J429" s="1969"/>
    </row>
    <row r="430" spans="1:10">
      <c r="A430" s="1969"/>
      <c r="B430" s="1969"/>
      <c r="C430" s="1969"/>
      <c r="D430" s="3324"/>
      <c r="E430" s="3324"/>
      <c r="F430" s="3324"/>
      <c r="G430" s="3325"/>
      <c r="H430" s="3326"/>
      <c r="I430" s="1969"/>
      <c r="J430" s="1969"/>
    </row>
    <row r="431" spans="1:10">
      <c r="A431" s="1969"/>
      <c r="B431" s="1969"/>
      <c r="C431" s="1969"/>
      <c r="D431" s="3324"/>
      <c r="E431" s="3324"/>
      <c r="F431" s="3324"/>
      <c r="G431" s="3325"/>
      <c r="H431" s="3326"/>
      <c r="I431" s="1969"/>
      <c r="J431" s="1969"/>
    </row>
    <row r="432" spans="1:10">
      <c r="A432" s="1969"/>
      <c r="B432" s="1969"/>
      <c r="C432" s="1969"/>
      <c r="D432" s="3324"/>
      <c r="E432" s="3324"/>
      <c r="F432" s="3324"/>
      <c r="G432" s="3325"/>
      <c r="H432" s="3326"/>
      <c r="I432" s="1969"/>
      <c r="J432" s="1969"/>
    </row>
    <row r="433" spans="1:10">
      <c r="A433" s="1969"/>
      <c r="B433" s="1969"/>
      <c r="C433" s="1969"/>
      <c r="D433" s="3324"/>
      <c r="E433" s="3324"/>
      <c r="F433" s="3324"/>
      <c r="G433" s="3325"/>
      <c r="H433" s="3326"/>
      <c r="I433" s="1969"/>
      <c r="J433" s="1969"/>
    </row>
    <row r="434" spans="1:10">
      <c r="A434" s="1969"/>
      <c r="B434" s="1969"/>
      <c r="C434" s="1969"/>
      <c r="D434" s="3324"/>
      <c r="E434" s="3324"/>
      <c r="F434" s="3324"/>
      <c r="G434" s="3325"/>
      <c r="H434" s="3326"/>
      <c r="I434" s="1969"/>
      <c r="J434" s="1969"/>
    </row>
    <row r="435" spans="1:10">
      <c r="A435" s="1969"/>
      <c r="B435" s="1969"/>
      <c r="C435" s="1969"/>
      <c r="D435" s="3324"/>
      <c r="E435" s="3324"/>
      <c r="F435" s="3324"/>
      <c r="G435" s="3325"/>
      <c r="H435" s="3326"/>
      <c r="I435" s="1969"/>
      <c r="J435" s="1969"/>
    </row>
    <row r="436" spans="1:10">
      <c r="A436" s="1969"/>
      <c r="B436" s="1969"/>
      <c r="C436" s="1969"/>
      <c r="D436" s="3324"/>
      <c r="E436" s="3324"/>
      <c r="F436" s="3324"/>
      <c r="G436" s="3325"/>
      <c r="H436" s="3326"/>
      <c r="I436" s="1969"/>
      <c r="J436" s="1969"/>
    </row>
    <row r="437" spans="1:10">
      <c r="A437" s="1969"/>
      <c r="B437" s="1969"/>
      <c r="C437" s="1969"/>
      <c r="D437" s="3324"/>
      <c r="E437" s="3324"/>
      <c r="F437" s="3324"/>
      <c r="G437" s="3325"/>
      <c r="H437" s="3326"/>
      <c r="I437" s="1969"/>
      <c r="J437" s="1969"/>
    </row>
    <row r="438" spans="1:10">
      <c r="A438" s="1969"/>
      <c r="B438" s="1969"/>
      <c r="C438" s="1969"/>
      <c r="D438" s="3324"/>
      <c r="E438" s="3324"/>
      <c r="F438" s="3324"/>
      <c r="G438" s="3325"/>
      <c r="H438" s="3326"/>
      <c r="I438" s="1969"/>
      <c r="J438" s="1969"/>
    </row>
    <row r="439" spans="1:10">
      <c r="A439" s="1969"/>
      <c r="B439" s="1969"/>
      <c r="C439" s="1969"/>
      <c r="D439" s="3324"/>
      <c r="E439" s="3324"/>
      <c r="F439" s="3324"/>
      <c r="G439" s="3325"/>
      <c r="H439" s="3326"/>
      <c r="I439" s="1969"/>
      <c r="J439" s="1969"/>
    </row>
    <row r="440" spans="1:10">
      <c r="A440" s="1969"/>
      <c r="B440" s="1969"/>
      <c r="C440" s="1969"/>
      <c r="D440" s="3324"/>
      <c r="E440" s="3324"/>
      <c r="F440" s="3324"/>
      <c r="G440" s="3325"/>
      <c r="H440" s="3326"/>
      <c r="I440" s="1969"/>
      <c r="J440" s="1969"/>
    </row>
    <row r="441" spans="1:10">
      <c r="A441" s="1969"/>
      <c r="B441" s="1969"/>
      <c r="C441" s="1969"/>
      <c r="D441" s="3324"/>
      <c r="E441" s="3324"/>
      <c r="F441" s="3324"/>
      <c r="G441" s="3325"/>
      <c r="H441" s="3326"/>
      <c r="I441" s="1969"/>
      <c r="J441" s="1969"/>
    </row>
    <row r="442" spans="1:10">
      <c r="A442" s="1969"/>
      <c r="B442" s="1969"/>
      <c r="C442" s="1969"/>
      <c r="D442" s="3324"/>
      <c r="E442" s="3324"/>
      <c r="F442" s="3324"/>
      <c r="G442" s="3325"/>
      <c r="H442" s="3326"/>
      <c r="I442" s="1969"/>
      <c r="J442" s="1969"/>
    </row>
    <row r="443" spans="1:10">
      <c r="A443" s="1969"/>
      <c r="B443" s="1969"/>
      <c r="C443" s="1969"/>
      <c r="D443" s="3324"/>
      <c r="E443" s="3324"/>
      <c r="F443" s="3324"/>
      <c r="G443" s="3325"/>
      <c r="H443" s="3326"/>
      <c r="I443" s="1969"/>
      <c r="J443" s="1969"/>
    </row>
    <row r="444" spans="1:10">
      <c r="A444" s="1969"/>
      <c r="B444" s="1969"/>
      <c r="C444" s="1969"/>
      <c r="D444" s="3324"/>
      <c r="E444" s="3324"/>
      <c r="F444" s="3324"/>
      <c r="G444" s="3325"/>
      <c r="H444" s="3326"/>
      <c r="I444" s="1969"/>
      <c r="J444" s="1969"/>
    </row>
    <row r="445" spans="1:10">
      <c r="A445" s="1969"/>
      <c r="B445" s="1969"/>
      <c r="C445" s="1969"/>
      <c r="D445" s="3324"/>
      <c r="E445" s="3324"/>
      <c r="F445" s="3324"/>
      <c r="G445" s="3325"/>
      <c r="H445" s="3326"/>
      <c r="I445" s="1969"/>
      <c r="J445" s="1969"/>
    </row>
    <row r="446" spans="1:10">
      <c r="A446" s="1969"/>
      <c r="B446" s="1969"/>
      <c r="C446" s="1969"/>
      <c r="D446" s="3324"/>
      <c r="E446" s="3324"/>
      <c r="F446" s="3324"/>
      <c r="G446" s="3325"/>
      <c r="H446" s="3326"/>
      <c r="I446" s="1969"/>
      <c r="J446" s="1969"/>
    </row>
    <row r="447" spans="1:10">
      <c r="A447" s="1969"/>
      <c r="B447" s="1969"/>
      <c r="C447" s="1969"/>
      <c r="D447" s="3324"/>
      <c r="E447" s="3324"/>
      <c r="F447" s="3324"/>
      <c r="G447" s="3325"/>
      <c r="H447" s="3326"/>
      <c r="I447" s="1969"/>
      <c r="J447" s="1969"/>
    </row>
    <row r="448" spans="1:10">
      <c r="A448" s="1969"/>
      <c r="B448" s="1969"/>
      <c r="C448" s="1969"/>
      <c r="D448" s="3324"/>
      <c r="E448" s="3324"/>
      <c r="F448" s="3324"/>
      <c r="G448" s="3325"/>
      <c r="H448" s="3326"/>
      <c r="I448" s="1969"/>
      <c r="J448" s="1969"/>
    </row>
    <row r="449" spans="1:10">
      <c r="A449" s="1969"/>
      <c r="B449" s="1969"/>
      <c r="C449" s="1969"/>
      <c r="D449" s="3324"/>
      <c r="E449" s="3324"/>
      <c r="F449" s="3324"/>
      <c r="G449" s="3325"/>
      <c r="H449" s="3326"/>
      <c r="I449" s="1969"/>
      <c r="J449" s="1969"/>
    </row>
    <row r="450" spans="1:10">
      <c r="A450" s="1969"/>
      <c r="B450" s="1969"/>
      <c r="C450" s="1969"/>
      <c r="D450" s="3324"/>
      <c r="E450" s="3324"/>
      <c r="F450" s="3324"/>
      <c r="G450" s="3325"/>
      <c r="H450" s="3326"/>
      <c r="I450" s="1969"/>
      <c r="J450" s="1969"/>
    </row>
    <row r="451" spans="1:10">
      <c r="A451" s="1969"/>
      <c r="B451" s="1969"/>
      <c r="C451" s="1969"/>
      <c r="D451" s="3324"/>
      <c r="E451" s="3324"/>
      <c r="F451" s="3324"/>
      <c r="G451" s="3325"/>
      <c r="H451" s="3326"/>
      <c r="I451" s="1969"/>
      <c r="J451" s="1969"/>
    </row>
    <row r="452" spans="1:10">
      <c r="A452" s="1969"/>
      <c r="B452" s="1969"/>
      <c r="C452" s="1969"/>
      <c r="D452" s="3324"/>
      <c r="E452" s="3324"/>
      <c r="F452" s="3324"/>
      <c r="G452" s="3325"/>
      <c r="H452" s="3326"/>
      <c r="I452" s="1969"/>
      <c r="J452" s="1969"/>
    </row>
    <row r="453" spans="1:10">
      <c r="A453" s="1969"/>
      <c r="B453" s="1969"/>
      <c r="C453" s="1969"/>
      <c r="D453" s="3324"/>
      <c r="E453" s="3324"/>
      <c r="F453" s="3324"/>
      <c r="G453" s="3325"/>
      <c r="H453" s="3326"/>
      <c r="I453" s="1969"/>
      <c r="J453" s="1969"/>
    </row>
    <row r="454" spans="1:10">
      <c r="A454" s="1969"/>
      <c r="B454" s="1969"/>
      <c r="C454" s="1969"/>
      <c r="D454" s="3324"/>
      <c r="E454" s="3324"/>
      <c r="F454" s="3324"/>
      <c r="G454" s="3325"/>
      <c r="H454" s="3326"/>
      <c r="I454" s="1969"/>
      <c r="J454" s="1969"/>
    </row>
    <row r="455" spans="1:10">
      <c r="A455" s="1969"/>
      <c r="B455" s="1969"/>
      <c r="C455" s="1969"/>
      <c r="D455" s="3324"/>
      <c r="E455" s="3324"/>
      <c r="F455" s="3324"/>
      <c r="G455" s="3325"/>
      <c r="H455" s="3326"/>
      <c r="I455" s="1969"/>
      <c r="J455" s="1969"/>
    </row>
    <row r="456" spans="1:10">
      <c r="A456" s="1969"/>
      <c r="B456" s="1969"/>
      <c r="C456" s="1969"/>
      <c r="D456" s="3324"/>
      <c r="E456" s="3324"/>
      <c r="F456" s="3324"/>
      <c r="G456" s="3325"/>
      <c r="H456" s="3326"/>
      <c r="I456" s="1969"/>
      <c r="J456" s="1969"/>
    </row>
    <row r="457" spans="1:10">
      <c r="A457" s="1969"/>
      <c r="B457" s="1969"/>
      <c r="C457" s="1969"/>
      <c r="D457" s="3324"/>
      <c r="E457" s="3324"/>
      <c r="F457" s="3324"/>
      <c r="G457" s="3325"/>
      <c r="H457" s="3326"/>
      <c r="I457" s="1969"/>
      <c r="J457" s="1969"/>
    </row>
    <row r="458" spans="1:10">
      <c r="A458" s="1969"/>
      <c r="B458" s="1969"/>
      <c r="C458" s="1969"/>
      <c r="D458" s="3324"/>
      <c r="E458" s="3324"/>
      <c r="F458" s="3324"/>
      <c r="G458" s="3325"/>
      <c r="H458" s="3326"/>
      <c r="I458" s="1969"/>
      <c r="J458" s="1969"/>
    </row>
    <row r="459" spans="1:10">
      <c r="A459" s="1969"/>
      <c r="B459" s="1969"/>
      <c r="C459" s="1969"/>
      <c r="D459" s="3324"/>
      <c r="E459" s="3324"/>
      <c r="F459" s="3324"/>
      <c r="G459" s="3325"/>
      <c r="H459" s="3326"/>
      <c r="I459" s="1969"/>
      <c r="J459" s="1969"/>
    </row>
    <row r="460" spans="1:10">
      <c r="A460" s="1969"/>
      <c r="B460" s="1969"/>
      <c r="C460" s="1969"/>
      <c r="D460" s="3324"/>
      <c r="E460" s="3324"/>
      <c r="F460" s="3324"/>
      <c r="G460" s="3325"/>
      <c r="H460" s="3326"/>
      <c r="I460" s="1969"/>
      <c r="J460" s="1969"/>
    </row>
    <row r="461" spans="1:10">
      <c r="A461" s="1969"/>
      <c r="B461" s="1969"/>
      <c r="C461" s="1969"/>
      <c r="D461" s="3324"/>
      <c r="E461" s="3324"/>
      <c r="F461" s="3324"/>
      <c r="G461" s="3325"/>
      <c r="H461" s="3326"/>
      <c r="I461" s="1969"/>
      <c r="J461" s="1969"/>
    </row>
    <row r="462" spans="1:10">
      <c r="A462" s="1969"/>
      <c r="B462" s="1969"/>
      <c r="C462" s="1969"/>
      <c r="D462" s="3324"/>
      <c r="E462" s="3324"/>
      <c r="F462" s="3324"/>
      <c r="G462" s="3325"/>
      <c r="H462" s="3326"/>
      <c r="I462" s="1969"/>
      <c r="J462" s="1969"/>
    </row>
    <row r="463" spans="1:10">
      <c r="A463" s="1969"/>
      <c r="B463" s="1969"/>
      <c r="C463" s="1969"/>
      <c r="D463" s="3324"/>
      <c r="E463" s="3324"/>
      <c r="F463" s="3324"/>
      <c r="G463" s="3325"/>
      <c r="H463" s="3326"/>
      <c r="I463" s="1969"/>
      <c r="J463" s="1969"/>
    </row>
    <row r="464" spans="1:10">
      <c r="A464" s="1969"/>
      <c r="B464" s="1969"/>
      <c r="C464" s="1969"/>
      <c r="D464" s="3324"/>
      <c r="E464" s="3324"/>
      <c r="F464" s="3324"/>
      <c r="G464" s="3325"/>
      <c r="H464" s="3326"/>
      <c r="I464" s="1969"/>
      <c r="J464" s="1969"/>
    </row>
    <row r="465" spans="1:10">
      <c r="A465" s="1969"/>
      <c r="B465" s="1969"/>
      <c r="C465" s="1969"/>
      <c r="D465" s="3324"/>
      <c r="E465" s="3324"/>
      <c r="F465" s="3324"/>
      <c r="G465" s="3325"/>
      <c r="H465" s="3326"/>
      <c r="I465" s="1969"/>
      <c r="J465" s="1969"/>
    </row>
    <row r="466" spans="1:10">
      <c r="A466" s="1969"/>
      <c r="B466" s="1969"/>
      <c r="C466" s="1969"/>
      <c r="D466" s="3324"/>
      <c r="E466" s="3324"/>
      <c r="F466" s="3324"/>
      <c r="G466" s="3325"/>
      <c r="H466" s="3326"/>
      <c r="I466" s="1969"/>
      <c r="J466" s="1969"/>
    </row>
    <row r="467" spans="1:10">
      <c r="A467" s="1969"/>
      <c r="B467" s="1969"/>
      <c r="C467" s="1969"/>
      <c r="D467" s="3324"/>
      <c r="E467" s="3324"/>
      <c r="F467" s="3324"/>
      <c r="G467" s="3325"/>
      <c r="H467" s="3326"/>
      <c r="I467" s="1969"/>
      <c r="J467" s="1969"/>
    </row>
    <row r="468" spans="1:10">
      <c r="A468" s="1969"/>
      <c r="B468" s="1969"/>
      <c r="C468" s="1969"/>
      <c r="D468" s="3324"/>
      <c r="E468" s="3324"/>
      <c r="F468" s="3324"/>
      <c r="G468" s="3325"/>
      <c r="H468" s="3326"/>
      <c r="I468" s="1969"/>
      <c r="J468" s="1969"/>
    </row>
    <row r="469" spans="1:10">
      <c r="A469" s="1969"/>
      <c r="B469" s="1969"/>
      <c r="C469" s="1969"/>
      <c r="D469" s="3324"/>
      <c r="E469" s="3324"/>
      <c r="F469" s="3324"/>
      <c r="G469" s="3325"/>
      <c r="H469" s="3326"/>
      <c r="I469" s="1969"/>
      <c r="J469" s="1969"/>
    </row>
    <row r="470" spans="1:10">
      <c r="A470" s="1969"/>
      <c r="B470" s="1969"/>
      <c r="C470" s="1969"/>
      <c r="D470" s="3324"/>
      <c r="E470" s="3324"/>
      <c r="F470" s="3324"/>
      <c r="G470" s="3325"/>
      <c r="H470" s="3326"/>
      <c r="I470" s="1969"/>
      <c r="J470" s="1969"/>
    </row>
    <row r="471" spans="1:10">
      <c r="A471" s="1969"/>
      <c r="B471" s="1969"/>
      <c r="C471" s="1969"/>
      <c r="D471" s="3324"/>
      <c r="E471" s="3324"/>
      <c r="F471" s="3324"/>
      <c r="G471" s="3325"/>
      <c r="H471" s="3326"/>
      <c r="I471" s="1969"/>
      <c r="J471" s="1969"/>
    </row>
    <row r="472" spans="1:10">
      <c r="A472" s="1969"/>
      <c r="B472" s="1969"/>
      <c r="C472" s="1969"/>
      <c r="D472" s="3324"/>
      <c r="E472" s="3324"/>
      <c r="F472" s="3324"/>
      <c r="G472" s="3325"/>
      <c r="H472" s="3326"/>
      <c r="I472" s="1969"/>
      <c r="J472" s="1969"/>
    </row>
    <row r="473" spans="1:10">
      <c r="A473" s="1969"/>
      <c r="B473" s="1969"/>
      <c r="C473" s="1969"/>
      <c r="D473" s="3324"/>
      <c r="E473" s="3324"/>
      <c r="F473" s="3324"/>
      <c r="G473" s="3325"/>
      <c r="H473" s="3326"/>
      <c r="I473" s="1969"/>
      <c r="J473" s="1969"/>
    </row>
    <row r="474" spans="1:10">
      <c r="A474" s="1969"/>
      <c r="B474" s="1969"/>
      <c r="C474" s="1969"/>
      <c r="D474" s="3324"/>
      <c r="E474" s="3324"/>
      <c r="F474" s="3324"/>
      <c r="G474" s="3325"/>
      <c r="H474" s="3326"/>
      <c r="I474" s="1969"/>
      <c r="J474" s="1969"/>
    </row>
    <row r="475" spans="1:10">
      <c r="A475" s="1969"/>
      <c r="B475" s="1969"/>
      <c r="C475" s="1969"/>
      <c r="D475" s="3324"/>
      <c r="E475" s="3324"/>
      <c r="F475" s="3324"/>
      <c r="G475" s="3325"/>
      <c r="H475" s="3326"/>
      <c r="I475" s="1969"/>
      <c r="J475" s="1969"/>
    </row>
    <row r="476" spans="1:10">
      <c r="A476" s="1969"/>
      <c r="B476" s="1969"/>
      <c r="C476" s="1969"/>
      <c r="D476" s="3324"/>
      <c r="E476" s="3324"/>
      <c r="F476" s="3324"/>
      <c r="G476" s="3325"/>
      <c r="H476" s="3326"/>
      <c r="I476" s="1969"/>
      <c r="J476" s="1969"/>
    </row>
    <row r="477" spans="1:10">
      <c r="A477" s="1969"/>
      <c r="B477" s="1969"/>
      <c r="C477" s="1969"/>
      <c r="D477" s="3324"/>
      <c r="E477" s="3324"/>
      <c r="F477" s="3324"/>
      <c r="G477" s="3325"/>
      <c r="H477" s="3326"/>
      <c r="I477" s="1969"/>
      <c r="J477" s="1969"/>
    </row>
    <row r="478" spans="1:10">
      <c r="A478" s="1969"/>
      <c r="B478" s="1969"/>
      <c r="C478" s="1969"/>
      <c r="D478" s="3324"/>
      <c r="E478" s="3324"/>
      <c r="F478" s="3324"/>
      <c r="G478" s="3325"/>
      <c r="H478" s="3326"/>
      <c r="I478" s="1969"/>
      <c r="J478" s="1969"/>
    </row>
    <row r="479" spans="1:10">
      <c r="A479" s="1969"/>
      <c r="B479" s="1969"/>
      <c r="C479" s="1969"/>
      <c r="D479" s="3324"/>
      <c r="E479" s="3324"/>
      <c r="F479" s="3324"/>
      <c r="G479" s="3325"/>
      <c r="H479" s="3326"/>
      <c r="I479" s="1969"/>
      <c r="J479" s="1969"/>
    </row>
    <row r="480" spans="1:10">
      <c r="A480" s="1969"/>
      <c r="B480" s="1969"/>
      <c r="C480" s="1969"/>
      <c r="D480" s="3324"/>
      <c r="E480" s="3324"/>
      <c r="F480" s="3324"/>
      <c r="G480" s="3325"/>
      <c r="H480" s="3326"/>
      <c r="I480" s="1969"/>
      <c r="J480" s="1969"/>
    </row>
    <row r="481" spans="1:10">
      <c r="A481" s="1969"/>
      <c r="B481" s="1969"/>
      <c r="C481" s="1969"/>
      <c r="D481" s="3324"/>
      <c r="E481" s="3324"/>
      <c r="F481" s="3324"/>
      <c r="G481" s="3325"/>
      <c r="H481" s="3326"/>
      <c r="I481" s="1969"/>
      <c r="J481" s="1969"/>
    </row>
    <row r="482" spans="1:10">
      <c r="A482" s="1969"/>
      <c r="B482" s="1969"/>
      <c r="C482" s="1969"/>
      <c r="D482" s="3324"/>
      <c r="E482" s="3324"/>
      <c r="F482" s="3324"/>
      <c r="G482" s="3325"/>
      <c r="H482" s="3326"/>
      <c r="I482" s="1969"/>
      <c r="J482" s="1969"/>
    </row>
    <row r="483" spans="1:10">
      <c r="A483" s="1969"/>
      <c r="B483" s="1969"/>
      <c r="C483" s="1969"/>
      <c r="D483" s="3324"/>
      <c r="E483" s="3324"/>
      <c r="F483" s="3324"/>
      <c r="G483" s="3325"/>
      <c r="H483" s="3326"/>
      <c r="I483" s="1969"/>
      <c r="J483" s="1969"/>
    </row>
    <row r="484" spans="1:10">
      <c r="A484" s="1969"/>
      <c r="B484" s="1969"/>
      <c r="C484" s="1969"/>
      <c r="D484" s="3324"/>
      <c r="E484" s="3324"/>
      <c r="F484" s="3324"/>
      <c r="G484" s="3325"/>
      <c r="H484" s="3326"/>
      <c r="I484" s="1969"/>
      <c r="J484" s="1969"/>
    </row>
    <row r="485" spans="1:10">
      <c r="A485" s="1969"/>
      <c r="B485" s="1969"/>
      <c r="C485" s="1969"/>
      <c r="D485" s="3324"/>
      <c r="E485" s="3324"/>
      <c r="F485" s="3324"/>
      <c r="G485" s="3325"/>
      <c r="H485" s="3326"/>
      <c r="I485" s="1969"/>
      <c r="J485" s="1969"/>
    </row>
    <row r="486" spans="1:10">
      <c r="A486" s="1969"/>
      <c r="B486" s="1969"/>
      <c r="C486" s="1969"/>
      <c r="D486" s="3324"/>
      <c r="E486" s="3324"/>
      <c r="F486" s="3324"/>
      <c r="G486" s="3325"/>
      <c r="H486" s="3326"/>
      <c r="I486" s="1969"/>
      <c r="J486" s="1969"/>
    </row>
    <row r="487" spans="1:10">
      <c r="A487" s="1969"/>
      <c r="B487" s="1969"/>
      <c r="C487" s="1969"/>
      <c r="D487" s="3324"/>
      <c r="E487" s="3324"/>
      <c r="F487" s="3324"/>
      <c r="G487" s="3325"/>
      <c r="H487" s="3326"/>
      <c r="I487" s="1969"/>
      <c r="J487" s="1969"/>
    </row>
    <row r="488" spans="1:10">
      <c r="A488" s="1969"/>
      <c r="B488" s="1969"/>
      <c r="C488" s="1969"/>
      <c r="D488" s="3324"/>
      <c r="E488" s="3324"/>
      <c r="F488" s="3324"/>
      <c r="G488" s="3325"/>
      <c r="H488" s="3326"/>
      <c r="I488" s="1969"/>
      <c r="J488" s="1969"/>
    </row>
    <row r="489" spans="1:10">
      <c r="A489" s="1969"/>
      <c r="B489" s="1969"/>
      <c r="C489" s="1969"/>
      <c r="D489" s="3324"/>
      <c r="E489" s="3324"/>
      <c r="F489" s="3324"/>
      <c r="G489" s="3325"/>
      <c r="H489" s="3326"/>
      <c r="I489" s="1969"/>
      <c r="J489" s="1969"/>
    </row>
    <row r="490" spans="1:10">
      <c r="A490" s="1969"/>
      <c r="B490" s="1969"/>
      <c r="C490" s="1969"/>
      <c r="D490" s="3324"/>
      <c r="E490" s="3324"/>
      <c r="F490" s="3324"/>
      <c r="G490" s="3325"/>
      <c r="H490" s="3326"/>
      <c r="I490" s="1969"/>
      <c r="J490" s="1969"/>
    </row>
    <row r="491" spans="1:10">
      <c r="A491" s="1969"/>
      <c r="B491" s="1969"/>
      <c r="C491" s="1969"/>
      <c r="D491" s="3324"/>
      <c r="E491" s="3324"/>
      <c r="F491" s="3324"/>
      <c r="G491" s="3325"/>
      <c r="H491" s="3326"/>
      <c r="I491" s="1969"/>
      <c r="J491" s="1969"/>
    </row>
    <row r="492" spans="1:10">
      <c r="A492" s="1969"/>
      <c r="B492" s="1969"/>
      <c r="C492" s="1969"/>
      <c r="D492" s="3324"/>
      <c r="E492" s="3324"/>
      <c r="F492" s="3324"/>
      <c r="G492" s="3325"/>
      <c r="H492" s="3326"/>
      <c r="I492" s="1969"/>
      <c r="J492" s="1969"/>
    </row>
    <row r="493" spans="1:10">
      <c r="A493" s="1969"/>
      <c r="B493" s="1969"/>
      <c r="C493" s="1969"/>
      <c r="D493" s="3324"/>
      <c r="E493" s="3324"/>
      <c r="F493" s="3324"/>
      <c r="G493" s="3325"/>
      <c r="H493" s="3326"/>
      <c r="I493" s="1969"/>
      <c r="J493" s="1969"/>
    </row>
    <row r="494" spans="1:10">
      <c r="A494" s="1969"/>
      <c r="B494" s="1969"/>
      <c r="C494" s="1969"/>
      <c r="D494" s="3324"/>
      <c r="E494" s="3324"/>
      <c r="F494" s="3324"/>
      <c r="G494" s="3325"/>
      <c r="H494" s="3326"/>
      <c r="I494" s="1969"/>
      <c r="J494" s="1969"/>
    </row>
    <row r="495" spans="1:10">
      <c r="A495" s="1969"/>
      <c r="B495" s="1969"/>
      <c r="C495" s="1969"/>
      <c r="D495" s="3324"/>
      <c r="E495" s="3324"/>
      <c r="F495" s="3324"/>
      <c r="G495" s="3325"/>
      <c r="H495" s="3326"/>
      <c r="I495" s="1969"/>
      <c r="J495" s="1969"/>
    </row>
    <row r="496" spans="1:10">
      <c r="A496" s="1969"/>
      <c r="B496" s="1969"/>
      <c r="C496" s="1969"/>
      <c r="D496" s="3324"/>
      <c r="E496" s="3324"/>
      <c r="F496" s="3324"/>
      <c r="G496" s="3325"/>
      <c r="H496" s="3326"/>
      <c r="I496" s="1969"/>
      <c r="J496" s="1969"/>
    </row>
    <row r="497" spans="1:10">
      <c r="A497" s="1969"/>
      <c r="B497" s="1969"/>
      <c r="C497" s="1969"/>
      <c r="D497" s="3324"/>
      <c r="E497" s="3324"/>
      <c r="F497" s="3324"/>
      <c r="G497" s="3325"/>
      <c r="H497" s="3326"/>
      <c r="I497" s="1969"/>
      <c r="J497" s="1969"/>
    </row>
    <row r="498" spans="1:10">
      <c r="A498" s="1969"/>
      <c r="B498" s="1969"/>
      <c r="C498" s="1969"/>
      <c r="D498" s="3324"/>
      <c r="E498" s="3324"/>
      <c r="F498" s="3324"/>
      <c r="G498" s="3325"/>
      <c r="H498" s="3326"/>
      <c r="I498" s="1969"/>
      <c r="J498" s="1969"/>
    </row>
    <row r="499" spans="1:10">
      <c r="A499" s="1969"/>
      <c r="B499" s="1969"/>
      <c r="C499" s="1969"/>
      <c r="D499" s="3324"/>
      <c r="E499" s="3324"/>
      <c r="F499" s="3324"/>
      <c r="G499" s="3325"/>
      <c r="H499" s="3326"/>
      <c r="I499" s="1969"/>
      <c r="J499" s="1969"/>
    </row>
    <row r="500" spans="1:10">
      <c r="A500" s="1969"/>
      <c r="B500" s="1969"/>
      <c r="C500" s="1969"/>
      <c r="D500" s="3324"/>
      <c r="E500" s="3324"/>
      <c r="F500" s="3324"/>
      <c r="G500" s="3325"/>
      <c r="H500" s="3326"/>
      <c r="I500" s="1969"/>
      <c r="J500" s="1969"/>
    </row>
    <row r="501" spans="1:10">
      <c r="A501" s="1969"/>
      <c r="B501" s="1969"/>
      <c r="C501" s="1969"/>
      <c r="D501" s="3324"/>
      <c r="E501" s="3324"/>
      <c r="F501" s="3324"/>
      <c r="G501" s="3325"/>
      <c r="H501" s="3326"/>
      <c r="I501" s="1969"/>
      <c r="J501" s="1969"/>
    </row>
    <row r="502" spans="1:10">
      <c r="A502" s="1969"/>
      <c r="B502" s="1969"/>
      <c r="C502" s="1969"/>
      <c r="D502" s="3324"/>
      <c r="E502" s="3324"/>
      <c r="F502" s="3324"/>
      <c r="G502" s="3325"/>
      <c r="H502" s="3326"/>
      <c r="I502" s="1969"/>
      <c r="J502" s="1969"/>
    </row>
    <row r="503" spans="1:10">
      <c r="A503" s="1969"/>
      <c r="B503" s="1969"/>
      <c r="C503" s="1969"/>
      <c r="D503" s="3324"/>
      <c r="E503" s="3324"/>
      <c r="F503" s="3324"/>
      <c r="G503" s="3325"/>
      <c r="H503" s="3326"/>
      <c r="I503" s="1969"/>
      <c r="J503" s="1969"/>
    </row>
    <row r="504" spans="1:10">
      <c r="A504" s="1969"/>
      <c r="B504" s="1969"/>
      <c r="C504" s="1969"/>
      <c r="D504" s="3324"/>
      <c r="E504" s="3324"/>
      <c r="F504" s="3324"/>
      <c r="G504" s="3325"/>
      <c r="H504" s="3326"/>
      <c r="I504" s="1969"/>
      <c r="J504" s="1969"/>
    </row>
    <row r="505" spans="1:10">
      <c r="A505" s="1969"/>
      <c r="B505" s="1969"/>
      <c r="C505" s="1969"/>
      <c r="D505" s="3324"/>
      <c r="E505" s="3324"/>
      <c r="F505" s="3324"/>
      <c r="G505" s="3325"/>
      <c r="H505" s="3326"/>
      <c r="I505" s="1969"/>
      <c r="J505" s="1969"/>
    </row>
    <row r="506" spans="1:10">
      <c r="A506" s="1969"/>
      <c r="B506" s="1969"/>
      <c r="C506" s="1969"/>
      <c r="D506" s="3324"/>
      <c r="E506" s="3324"/>
      <c r="F506" s="3324"/>
      <c r="G506" s="3325"/>
      <c r="H506" s="3326"/>
      <c r="I506" s="1969"/>
      <c r="J506" s="1969"/>
    </row>
    <row r="507" spans="1:10">
      <c r="A507" s="1969"/>
      <c r="B507" s="1969"/>
      <c r="C507" s="1969"/>
      <c r="D507" s="3324"/>
      <c r="E507" s="3324"/>
      <c r="F507" s="3324"/>
      <c r="G507" s="3325"/>
      <c r="H507" s="3326"/>
      <c r="I507" s="1969"/>
      <c r="J507" s="1969"/>
    </row>
    <row r="508" spans="1:10">
      <c r="A508" s="1969"/>
      <c r="B508" s="1969"/>
      <c r="C508" s="1969"/>
      <c r="D508" s="3324"/>
      <c r="E508" s="3324"/>
      <c r="F508" s="3324"/>
      <c r="G508" s="3325"/>
      <c r="H508" s="3326"/>
      <c r="I508" s="1969"/>
      <c r="J508" s="1969"/>
    </row>
    <row r="509" spans="1:10">
      <c r="A509" s="1969"/>
      <c r="B509" s="1969"/>
      <c r="C509" s="1969"/>
      <c r="D509" s="3324"/>
      <c r="E509" s="3324"/>
      <c r="F509" s="3324"/>
      <c r="G509" s="3325"/>
      <c r="H509" s="3326"/>
      <c r="I509" s="1969"/>
      <c r="J509" s="1969"/>
    </row>
    <row r="510" spans="1:10">
      <c r="A510" s="1969"/>
      <c r="B510" s="1969"/>
      <c r="C510" s="1969"/>
      <c r="D510" s="3324"/>
      <c r="E510" s="3324"/>
      <c r="F510" s="3324"/>
      <c r="G510" s="3325"/>
      <c r="H510" s="3326"/>
      <c r="I510" s="1969"/>
      <c r="J510" s="1969"/>
    </row>
    <row r="511" spans="1:10">
      <c r="A511" s="1969"/>
      <c r="B511" s="1969"/>
      <c r="C511" s="1969"/>
      <c r="D511" s="3324"/>
      <c r="E511" s="3324"/>
      <c r="F511" s="3324"/>
      <c r="G511" s="3325"/>
      <c r="H511" s="3326"/>
      <c r="I511" s="1969"/>
      <c r="J511" s="1969"/>
    </row>
    <row r="512" spans="1:10">
      <c r="A512" s="1969"/>
      <c r="B512" s="1969"/>
      <c r="C512" s="1969"/>
      <c r="D512" s="3324"/>
      <c r="E512" s="3324"/>
      <c r="F512" s="3324"/>
      <c r="G512" s="3325"/>
      <c r="H512" s="3326"/>
      <c r="I512" s="1969"/>
      <c r="J512" s="1969"/>
    </row>
    <row r="513" spans="1:10">
      <c r="A513" s="1969"/>
      <c r="B513" s="1969"/>
      <c r="C513" s="1969"/>
      <c r="D513" s="3324"/>
      <c r="E513" s="3324"/>
      <c r="F513" s="3324"/>
      <c r="G513" s="3325"/>
      <c r="H513" s="3326"/>
      <c r="I513" s="1969"/>
      <c r="J513" s="1969"/>
    </row>
    <row r="514" spans="1:10">
      <c r="A514" s="1969"/>
      <c r="B514" s="1969"/>
      <c r="C514" s="1969"/>
      <c r="D514" s="3324"/>
      <c r="E514" s="3324"/>
      <c r="F514" s="3324"/>
      <c r="G514" s="3325"/>
      <c r="H514" s="3326"/>
      <c r="I514" s="1969"/>
      <c r="J514" s="1969"/>
    </row>
    <row r="515" spans="1:10">
      <c r="A515" s="1969"/>
      <c r="B515" s="1969"/>
      <c r="C515" s="1969"/>
      <c r="D515" s="3324"/>
      <c r="E515" s="3324"/>
      <c r="F515" s="3324"/>
      <c r="G515" s="3325"/>
      <c r="H515" s="3326"/>
      <c r="I515" s="1969"/>
      <c r="J515" s="1969"/>
    </row>
    <row r="516" spans="1:10">
      <c r="A516" s="1969"/>
      <c r="B516" s="1969"/>
      <c r="C516" s="1969"/>
      <c r="D516" s="3324"/>
      <c r="E516" s="3324"/>
      <c r="F516" s="3324"/>
      <c r="G516" s="3325"/>
      <c r="H516" s="3326"/>
      <c r="I516" s="1969"/>
      <c r="J516" s="1969"/>
    </row>
    <row r="517" spans="1:10">
      <c r="A517" s="1969"/>
      <c r="B517" s="1969"/>
      <c r="C517" s="1969"/>
      <c r="D517" s="3324"/>
      <c r="E517" s="3324"/>
      <c r="F517" s="3324"/>
      <c r="G517" s="3325"/>
      <c r="H517" s="3326"/>
      <c r="I517" s="1969"/>
      <c r="J517" s="1969"/>
    </row>
    <row r="518" spans="1:10">
      <c r="A518" s="1969"/>
      <c r="B518" s="1969"/>
      <c r="C518" s="1969"/>
      <c r="D518" s="3324"/>
      <c r="E518" s="3324"/>
      <c r="F518" s="3324"/>
      <c r="G518" s="3325"/>
      <c r="H518" s="3326"/>
      <c r="I518" s="1969"/>
      <c r="J518" s="1969"/>
    </row>
    <row r="519" spans="1:10">
      <c r="A519" s="1969"/>
      <c r="B519" s="1969"/>
      <c r="C519" s="1969"/>
      <c r="D519" s="3324"/>
      <c r="E519" s="3324"/>
      <c r="F519" s="3324"/>
      <c r="G519" s="3325"/>
      <c r="H519" s="3326"/>
      <c r="I519" s="1969"/>
      <c r="J519" s="1969"/>
    </row>
    <row r="520" spans="1:10">
      <c r="A520" s="1969"/>
      <c r="B520" s="1969"/>
      <c r="C520" s="1969"/>
      <c r="D520" s="3324"/>
      <c r="E520" s="3324"/>
      <c r="F520" s="3324"/>
      <c r="G520" s="3325"/>
      <c r="H520" s="3326"/>
      <c r="I520" s="1969"/>
      <c r="J520" s="1969"/>
    </row>
    <row r="521" spans="1:10">
      <c r="A521" s="1969"/>
      <c r="B521" s="1969"/>
      <c r="C521" s="1969"/>
      <c r="D521" s="3324"/>
      <c r="E521" s="3324"/>
      <c r="F521" s="3324"/>
      <c r="G521" s="3325"/>
      <c r="H521" s="3326"/>
      <c r="I521" s="1969"/>
      <c r="J521" s="1969"/>
    </row>
    <row r="522" spans="1:10">
      <c r="A522" s="1969"/>
      <c r="B522" s="1969"/>
      <c r="C522" s="1969"/>
      <c r="D522" s="3324"/>
      <c r="E522" s="3324"/>
      <c r="F522" s="3324"/>
      <c r="G522" s="3325"/>
      <c r="H522" s="3326"/>
      <c r="I522" s="1969"/>
      <c r="J522" s="1969"/>
    </row>
    <row r="523" spans="1:10">
      <c r="A523" s="1969"/>
      <c r="B523" s="1969"/>
      <c r="C523" s="1969"/>
      <c r="D523" s="3324"/>
      <c r="E523" s="3324"/>
      <c r="F523" s="3324"/>
      <c r="G523" s="3325"/>
      <c r="H523" s="3326"/>
      <c r="I523" s="1969"/>
      <c r="J523" s="1969"/>
    </row>
    <row r="524" spans="1:10">
      <c r="A524" s="1969"/>
      <c r="B524" s="1969"/>
      <c r="C524" s="1969"/>
      <c r="D524" s="3324"/>
      <c r="E524" s="3324"/>
      <c r="F524" s="3324"/>
      <c r="G524" s="3325"/>
      <c r="H524" s="3326"/>
      <c r="I524" s="1969"/>
      <c r="J524" s="1969"/>
    </row>
    <row r="525" spans="1:10">
      <c r="A525" s="1969"/>
      <c r="B525" s="1969"/>
      <c r="C525" s="1969"/>
      <c r="D525" s="3324"/>
      <c r="E525" s="3324"/>
      <c r="F525" s="3324"/>
      <c r="G525" s="3325"/>
      <c r="H525" s="3326"/>
      <c r="I525" s="1969"/>
      <c r="J525" s="1969"/>
    </row>
    <row r="526" spans="1:10">
      <c r="A526" s="1969"/>
      <c r="B526" s="1969"/>
      <c r="C526" s="1969"/>
      <c r="D526" s="3324"/>
      <c r="E526" s="3324"/>
      <c r="F526" s="3324"/>
      <c r="G526" s="3325"/>
      <c r="H526" s="3326"/>
      <c r="I526" s="1969"/>
      <c r="J526" s="1969"/>
    </row>
    <row r="527" spans="1:10">
      <c r="A527" s="1969"/>
      <c r="B527" s="1969"/>
      <c r="C527" s="1969"/>
      <c r="D527" s="3324"/>
      <c r="E527" s="3324"/>
      <c r="F527" s="3324"/>
      <c r="G527" s="3325"/>
      <c r="H527" s="3326"/>
      <c r="I527" s="1969"/>
      <c r="J527" s="1969"/>
    </row>
    <row r="528" spans="1:10">
      <c r="A528" s="1969"/>
      <c r="B528" s="1969"/>
      <c r="C528" s="1969"/>
      <c r="D528" s="3324"/>
      <c r="E528" s="3324"/>
      <c r="F528" s="3324"/>
      <c r="G528" s="3325"/>
      <c r="H528" s="3326"/>
      <c r="I528" s="1969"/>
      <c r="J528" s="1969"/>
    </row>
    <row r="529" spans="1:10">
      <c r="A529" s="1969"/>
      <c r="B529" s="1969"/>
      <c r="C529" s="1969"/>
      <c r="D529" s="3324"/>
      <c r="E529" s="3324"/>
      <c r="F529" s="3324"/>
      <c r="G529" s="3325"/>
      <c r="H529" s="3326"/>
      <c r="I529" s="1969"/>
      <c r="J529" s="1969"/>
    </row>
    <row r="530" spans="1:10">
      <c r="A530" s="1969"/>
      <c r="B530" s="1969"/>
      <c r="C530" s="1969"/>
      <c r="D530" s="3324"/>
      <c r="E530" s="3324"/>
      <c r="F530" s="3324"/>
      <c r="G530" s="3325"/>
      <c r="H530" s="3326"/>
      <c r="I530" s="1969"/>
      <c r="J530" s="1969"/>
    </row>
    <row r="531" spans="1:10">
      <c r="A531" s="1969"/>
      <c r="B531" s="1969"/>
      <c r="C531" s="1969"/>
      <c r="D531" s="3324"/>
      <c r="E531" s="3324"/>
      <c r="F531" s="3324"/>
      <c r="G531" s="3325"/>
      <c r="H531" s="3326"/>
      <c r="I531" s="1969"/>
      <c r="J531" s="1969"/>
    </row>
    <row r="532" spans="1:10">
      <c r="A532" s="1969"/>
      <c r="B532" s="1969"/>
      <c r="C532" s="1969"/>
      <c r="D532" s="3324"/>
      <c r="E532" s="3324"/>
      <c r="F532" s="3324"/>
      <c r="G532" s="3325"/>
      <c r="H532" s="3326"/>
      <c r="I532" s="1969"/>
      <c r="J532" s="1969"/>
    </row>
    <row r="533" spans="1:10">
      <c r="A533" s="1969"/>
      <c r="B533" s="1969"/>
      <c r="C533" s="1969"/>
      <c r="D533" s="3324"/>
      <c r="E533" s="3324"/>
      <c r="F533" s="3324"/>
      <c r="G533" s="3325"/>
      <c r="H533" s="3326"/>
      <c r="I533" s="1969"/>
      <c r="J533" s="1969"/>
    </row>
    <row r="534" spans="1:10">
      <c r="A534" s="1969"/>
      <c r="B534" s="1969"/>
      <c r="C534" s="1969"/>
      <c r="D534" s="3324"/>
      <c r="E534" s="3324"/>
      <c r="F534" s="3324"/>
      <c r="G534" s="3325"/>
      <c r="H534" s="3326"/>
      <c r="I534" s="1969"/>
      <c r="J534" s="1969"/>
    </row>
    <row r="535" spans="1:10">
      <c r="A535" s="1969"/>
      <c r="B535" s="1969"/>
      <c r="C535" s="1969"/>
      <c r="D535" s="3324"/>
      <c r="E535" s="3324"/>
      <c r="F535" s="3324"/>
      <c r="G535" s="3325"/>
      <c r="H535" s="3326"/>
      <c r="I535" s="1969"/>
      <c r="J535" s="1969"/>
    </row>
    <row r="536" spans="1:10">
      <c r="A536" s="1969"/>
      <c r="B536" s="1969"/>
      <c r="C536" s="1969"/>
      <c r="D536" s="3324"/>
      <c r="E536" s="3324"/>
      <c r="F536" s="3324"/>
      <c r="G536" s="3325"/>
      <c r="H536" s="3326"/>
      <c r="I536" s="1969"/>
      <c r="J536" s="1969"/>
    </row>
    <row r="537" spans="1:10">
      <c r="A537" s="1969"/>
      <c r="B537" s="1969"/>
      <c r="C537" s="1969"/>
      <c r="D537" s="3324"/>
      <c r="E537" s="3324"/>
      <c r="F537" s="3324"/>
      <c r="G537" s="3325"/>
      <c r="H537" s="3326"/>
      <c r="I537" s="1969"/>
      <c r="J537" s="1969"/>
    </row>
    <row r="538" spans="1:10">
      <c r="A538" s="1969"/>
      <c r="B538" s="1969"/>
      <c r="C538" s="1969"/>
      <c r="D538" s="3324"/>
      <c r="E538" s="3324"/>
      <c r="F538" s="3324"/>
      <c r="G538" s="3325"/>
      <c r="H538" s="3326"/>
      <c r="I538" s="1969"/>
      <c r="J538" s="1969"/>
    </row>
    <row r="539" spans="1:10">
      <c r="A539" s="1969"/>
      <c r="B539" s="1969"/>
      <c r="C539" s="1969"/>
      <c r="D539" s="3324"/>
      <c r="E539" s="3324"/>
      <c r="F539" s="3324"/>
      <c r="G539" s="3325"/>
      <c r="H539" s="3326"/>
      <c r="I539" s="1969"/>
      <c r="J539" s="1969"/>
    </row>
    <row r="540" spans="1:10">
      <c r="A540" s="1969"/>
      <c r="B540" s="1969"/>
      <c r="C540" s="1969"/>
      <c r="D540" s="3324"/>
      <c r="E540" s="3324"/>
      <c r="F540" s="3324"/>
      <c r="G540" s="3325"/>
      <c r="H540" s="3326"/>
      <c r="I540" s="1969"/>
      <c r="J540" s="1969"/>
    </row>
    <row r="541" spans="1:10">
      <c r="A541" s="1969"/>
      <c r="B541" s="1969"/>
      <c r="C541" s="1969"/>
      <c r="D541" s="3324"/>
      <c r="E541" s="3324"/>
      <c r="F541" s="3324"/>
      <c r="G541" s="3325"/>
      <c r="H541" s="3326"/>
      <c r="I541" s="1969"/>
      <c r="J541" s="1969"/>
    </row>
    <row r="542" spans="1:10">
      <c r="A542" s="1969"/>
      <c r="B542" s="1969"/>
      <c r="C542" s="1969"/>
      <c r="D542" s="3324"/>
      <c r="E542" s="3324"/>
      <c r="F542" s="3324"/>
      <c r="G542" s="3325"/>
      <c r="H542" s="3326"/>
      <c r="I542" s="1969"/>
      <c r="J542" s="1969"/>
    </row>
    <row r="543" spans="1:10">
      <c r="A543" s="1969"/>
      <c r="B543" s="1969"/>
      <c r="C543" s="1969"/>
      <c r="D543" s="3324"/>
      <c r="E543" s="3324"/>
      <c r="F543" s="3324"/>
      <c r="G543" s="3325"/>
      <c r="H543" s="3326"/>
      <c r="I543" s="1969"/>
      <c r="J543" s="1969"/>
    </row>
    <row r="544" spans="1:10">
      <c r="A544" s="1969"/>
      <c r="B544" s="1969"/>
      <c r="C544" s="1969"/>
      <c r="D544" s="3324"/>
      <c r="E544" s="3324"/>
      <c r="F544" s="3324"/>
      <c r="G544" s="3325"/>
      <c r="H544" s="3326"/>
      <c r="I544" s="1969"/>
      <c r="J544" s="1969"/>
    </row>
    <row r="545" spans="1:10">
      <c r="A545" s="1969"/>
      <c r="B545" s="1969"/>
      <c r="C545" s="1969"/>
      <c r="D545" s="3324"/>
      <c r="E545" s="3324"/>
      <c r="F545" s="3324"/>
      <c r="G545" s="3325"/>
      <c r="H545" s="3326"/>
      <c r="I545" s="1969"/>
      <c r="J545" s="1969"/>
    </row>
    <row r="546" spans="1:10">
      <c r="A546" s="1969"/>
      <c r="B546" s="1969"/>
      <c r="C546" s="1969"/>
      <c r="D546" s="3324"/>
      <c r="E546" s="3324"/>
      <c r="F546" s="3324"/>
      <c r="G546" s="3325"/>
      <c r="H546" s="3326"/>
      <c r="I546" s="1969"/>
      <c r="J546" s="1969"/>
    </row>
    <row r="547" spans="1:10">
      <c r="A547" s="1969"/>
      <c r="B547" s="1969"/>
      <c r="C547" s="1969"/>
      <c r="D547" s="3324"/>
      <c r="E547" s="3324"/>
      <c r="F547" s="3324"/>
      <c r="G547" s="3325"/>
      <c r="H547" s="3326"/>
      <c r="I547" s="1969"/>
      <c r="J547" s="1969"/>
    </row>
    <row r="548" spans="1:10">
      <c r="A548" s="1969"/>
      <c r="B548" s="1969"/>
      <c r="C548" s="1969"/>
      <c r="D548" s="3324"/>
      <c r="E548" s="3324"/>
      <c r="F548" s="3324"/>
      <c r="G548" s="3325"/>
      <c r="H548" s="3326"/>
      <c r="I548" s="1969"/>
      <c r="J548" s="1969"/>
    </row>
    <row r="549" spans="1:10">
      <c r="A549" s="1969"/>
      <c r="B549" s="1969"/>
      <c r="C549" s="1969"/>
      <c r="D549" s="3324"/>
      <c r="E549" s="3324"/>
      <c r="F549" s="3324"/>
      <c r="G549" s="3325"/>
      <c r="H549" s="3326"/>
      <c r="I549" s="1969"/>
      <c r="J549" s="1969"/>
    </row>
    <row r="550" spans="1:10">
      <c r="A550" s="1969"/>
      <c r="B550" s="1969"/>
      <c r="C550" s="1969"/>
      <c r="D550" s="3324"/>
      <c r="E550" s="3324"/>
      <c r="F550" s="3324"/>
      <c r="G550" s="3325"/>
      <c r="H550" s="3326"/>
      <c r="I550" s="1969"/>
      <c r="J550" s="1969"/>
    </row>
    <row r="551" spans="1:10">
      <c r="A551" s="1969"/>
      <c r="B551" s="1969"/>
      <c r="C551" s="1969"/>
      <c r="D551" s="3324"/>
      <c r="E551" s="3324"/>
      <c r="F551" s="3324"/>
      <c r="G551" s="3325"/>
      <c r="H551" s="3326"/>
      <c r="I551" s="1969"/>
      <c r="J551" s="1969"/>
    </row>
    <row r="552" spans="1:10">
      <c r="A552" s="1969"/>
      <c r="B552" s="1969"/>
      <c r="C552" s="1969"/>
      <c r="D552" s="3324"/>
      <c r="E552" s="3324"/>
      <c r="F552" s="3324"/>
      <c r="G552" s="3325"/>
      <c r="H552" s="3326"/>
      <c r="I552" s="1969"/>
      <c r="J552" s="1969"/>
    </row>
    <row r="553" spans="1:10">
      <c r="A553" s="1969"/>
      <c r="B553" s="1969"/>
      <c r="C553" s="1969"/>
      <c r="D553" s="3324"/>
      <c r="E553" s="3324"/>
      <c r="F553" s="3324"/>
      <c r="G553" s="3325"/>
      <c r="H553" s="3326"/>
      <c r="I553" s="1969"/>
      <c r="J553" s="1969"/>
    </row>
    <row r="554" spans="1:10">
      <c r="A554" s="1969"/>
      <c r="B554" s="1969"/>
      <c r="C554" s="1969"/>
      <c r="D554" s="3324"/>
      <c r="E554" s="3324"/>
      <c r="F554" s="3324"/>
      <c r="G554" s="3325"/>
      <c r="H554" s="3326"/>
      <c r="I554" s="1969"/>
      <c r="J554" s="1969"/>
    </row>
    <row r="555" spans="1:10">
      <c r="A555" s="1969"/>
      <c r="B555" s="1969"/>
      <c r="C555" s="1969"/>
      <c r="D555" s="3324"/>
      <c r="E555" s="3324"/>
      <c r="F555" s="3324"/>
      <c r="G555" s="3325"/>
      <c r="H555" s="3326"/>
      <c r="I555" s="1969"/>
      <c r="J555" s="1969"/>
    </row>
    <row r="556" spans="1:10">
      <c r="A556" s="1969"/>
      <c r="B556" s="1969"/>
      <c r="C556" s="1969"/>
      <c r="D556" s="3324"/>
      <c r="E556" s="3324"/>
      <c r="F556" s="3324"/>
      <c r="G556" s="3325"/>
      <c r="H556" s="3326"/>
      <c r="I556" s="1969"/>
      <c r="J556" s="1969"/>
    </row>
    <row r="557" spans="1:10">
      <c r="A557" s="1969"/>
      <c r="B557" s="1969"/>
      <c r="C557" s="1969"/>
      <c r="D557" s="3324"/>
      <c r="E557" s="3324"/>
      <c r="F557" s="3324"/>
      <c r="G557" s="3325"/>
      <c r="H557" s="3326"/>
      <c r="I557" s="1969"/>
      <c r="J557" s="1969"/>
    </row>
    <row r="558" spans="1:10">
      <c r="A558" s="1969"/>
      <c r="B558" s="1969"/>
      <c r="C558" s="1969"/>
      <c r="D558" s="3324"/>
      <c r="E558" s="3324"/>
      <c r="F558" s="3324"/>
      <c r="G558" s="3325"/>
      <c r="H558" s="3326"/>
      <c r="I558" s="1969"/>
      <c r="J558" s="1969"/>
    </row>
    <row r="559" spans="1:10">
      <c r="A559" s="1969"/>
      <c r="B559" s="1969"/>
      <c r="C559" s="1969"/>
      <c r="D559" s="3324"/>
      <c r="E559" s="3324"/>
      <c r="F559" s="3324"/>
      <c r="G559" s="3325"/>
      <c r="H559" s="3326"/>
      <c r="I559" s="1969"/>
      <c r="J559" s="1969"/>
    </row>
    <row r="560" spans="1:10">
      <c r="A560" s="1969"/>
      <c r="B560" s="1969"/>
      <c r="C560" s="1969"/>
      <c r="D560" s="3324"/>
      <c r="E560" s="3324"/>
      <c r="F560" s="3324"/>
      <c r="G560" s="3325"/>
      <c r="H560" s="3326"/>
      <c r="I560" s="1969"/>
      <c r="J560" s="1969"/>
    </row>
    <row r="561" spans="1:10">
      <c r="A561" s="1969"/>
      <c r="B561" s="1969"/>
      <c r="C561" s="1969"/>
      <c r="D561" s="3324"/>
      <c r="E561" s="3324"/>
      <c r="F561" s="3324"/>
      <c r="G561" s="3325"/>
      <c r="H561" s="3326"/>
      <c r="I561" s="1969"/>
      <c r="J561" s="1969"/>
    </row>
    <row r="562" spans="1:10">
      <c r="A562" s="1969"/>
      <c r="B562" s="1969"/>
      <c r="C562" s="1969"/>
      <c r="D562" s="3324"/>
      <c r="E562" s="3324"/>
      <c r="F562" s="3324"/>
      <c r="G562" s="3325"/>
      <c r="H562" s="3326"/>
      <c r="I562" s="1969"/>
      <c r="J562" s="1969"/>
    </row>
    <row r="563" spans="1:10">
      <c r="A563" s="1969"/>
      <c r="B563" s="1969"/>
      <c r="C563" s="1969"/>
      <c r="D563" s="3324"/>
      <c r="E563" s="3324"/>
      <c r="F563" s="3324"/>
      <c r="G563" s="3325"/>
      <c r="H563" s="3326"/>
      <c r="I563" s="1969"/>
      <c r="J563" s="1969"/>
    </row>
    <row r="564" spans="1:10">
      <c r="A564" s="1969"/>
      <c r="B564" s="1969"/>
      <c r="C564" s="1969"/>
      <c r="D564" s="3324"/>
      <c r="E564" s="3324"/>
      <c r="F564" s="3324"/>
      <c r="G564" s="3325"/>
      <c r="H564" s="3326"/>
      <c r="I564" s="1969"/>
      <c r="J564" s="1969"/>
    </row>
    <row r="565" spans="1:10">
      <c r="A565" s="1969"/>
      <c r="B565" s="1969"/>
      <c r="C565" s="1969"/>
      <c r="D565" s="3324"/>
      <c r="E565" s="3324"/>
      <c r="F565" s="3324"/>
      <c r="G565" s="3325"/>
      <c r="H565" s="3326"/>
      <c r="I565" s="1969"/>
      <c r="J565" s="1969"/>
    </row>
    <row r="566" spans="1:10">
      <c r="A566" s="1969"/>
      <c r="B566" s="1969"/>
      <c r="C566" s="1969"/>
      <c r="D566" s="3324"/>
      <c r="E566" s="3324"/>
      <c r="F566" s="3324"/>
      <c r="G566" s="3325"/>
      <c r="H566" s="3326"/>
      <c r="I566" s="1969"/>
      <c r="J566" s="1969"/>
    </row>
    <row r="567" spans="1:10">
      <c r="A567" s="1969"/>
      <c r="B567" s="1969"/>
      <c r="C567" s="1969"/>
      <c r="D567" s="3324"/>
      <c r="E567" s="3324"/>
      <c r="F567" s="3324"/>
      <c r="G567" s="3325"/>
      <c r="H567" s="3326"/>
      <c r="I567" s="1969"/>
      <c r="J567" s="1969"/>
    </row>
    <row r="568" spans="1:10">
      <c r="A568" s="1969"/>
      <c r="B568" s="1969"/>
      <c r="C568" s="1969"/>
      <c r="D568" s="3324"/>
      <c r="E568" s="3324"/>
      <c r="F568" s="3324"/>
      <c r="G568" s="3325"/>
      <c r="H568" s="3326"/>
      <c r="I568" s="1969"/>
      <c r="J568" s="1969"/>
    </row>
    <row r="569" spans="1:10">
      <c r="A569" s="1969"/>
      <c r="B569" s="1969"/>
      <c r="C569" s="1969"/>
      <c r="D569" s="3324"/>
      <c r="E569" s="3324"/>
      <c r="F569" s="3324"/>
      <c r="G569" s="3325"/>
      <c r="H569" s="3326"/>
      <c r="I569" s="1969"/>
      <c r="J569" s="1969"/>
    </row>
    <row r="570" spans="1:10">
      <c r="A570" s="1969"/>
      <c r="B570" s="1969"/>
      <c r="C570" s="1969"/>
      <c r="D570" s="3324"/>
      <c r="E570" s="3324"/>
      <c r="F570" s="3324"/>
      <c r="G570" s="3325"/>
      <c r="H570" s="3326"/>
      <c r="I570" s="1969"/>
      <c r="J570" s="1969"/>
    </row>
    <row r="571" spans="1:10">
      <c r="A571" s="1969"/>
      <c r="B571" s="1969"/>
      <c r="C571" s="1969"/>
      <c r="D571" s="3324"/>
      <c r="E571" s="3324"/>
      <c r="F571" s="3324"/>
      <c r="G571" s="3325"/>
      <c r="H571" s="3326"/>
      <c r="I571" s="1969"/>
      <c r="J571" s="1969"/>
    </row>
    <row r="572" spans="1:10">
      <c r="A572" s="1969"/>
      <c r="B572" s="1969"/>
      <c r="C572" s="1969"/>
      <c r="D572" s="3324"/>
      <c r="E572" s="3324"/>
      <c r="F572" s="3324"/>
      <c r="G572" s="3325"/>
      <c r="H572" s="3326"/>
      <c r="I572" s="1969"/>
      <c r="J572" s="1969"/>
    </row>
    <row r="573" spans="1:10">
      <c r="A573" s="1969"/>
      <c r="B573" s="1969"/>
      <c r="C573" s="1969"/>
      <c r="D573" s="3324"/>
      <c r="E573" s="3324"/>
      <c r="F573" s="3324"/>
      <c r="G573" s="3325"/>
      <c r="H573" s="3326"/>
      <c r="I573" s="1969"/>
      <c r="J573" s="1969"/>
    </row>
    <row r="574" spans="1:10">
      <c r="A574" s="1969"/>
      <c r="B574" s="1969"/>
      <c r="C574" s="1969"/>
      <c r="D574" s="3324"/>
      <c r="E574" s="3324"/>
      <c r="F574" s="3324"/>
      <c r="G574" s="3325"/>
      <c r="H574" s="3326"/>
      <c r="I574" s="1969"/>
      <c r="J574" s="1969"/>
    </row>
    <row r="575" spans="1:10">
      <c r="A575" s="1969"/>
      <c r="B575" s="1969"/>
      <c r="C575" s="1969"/>
      <c r="D575" s="3324"/>
      <c r="E575" s="3324"/>
      <c r="F575" s="3324"/>
      <c r="G575" s="3325"/>
      <c r="H575" s="3326"/>
      <c r="I575" s="1969"/>
      <c r="J575" s="1969"/>
    </row>
    <row r="576" spans="1:10">
      <c r="A576" s="1969"/>
      <c r="B576" s="1969"/>
      <c r="C576" s="1969"/>
      <c r="D576" s="3324"/>
      <c r="E576" s="3324"/>
      <c r="F576" s="3324"/>
      <c r="G576" s="3325"/>
      <c r="H576" s="3326"/>
      <c r="I576" s="1969"/>
      <c r="J576" s="1969"/>
    </row>
    <row r="577" spans="1:10">
      <c r="A577" s="1969"/>
      <c r="B577" s="1969"/>
      <c r="C577" s="1969"/>
      <c r="D577" s="3324"/>
      <c r="E577" s="3324"/>
      <c r="F577" s="3324"/>
      <c r="G577" s="3325"/>
      <c r="H577" s="3326"/>
      <c r="I577" s="1969"/>
      <c r="J577" s="1969"/>
    </row>
    <row r="578" spans="1:10">
      <c r="A578" s="1969"/>
      <c r="B578" s="1969"/>
      <c r="C578" s="1969"/>
      <c r="D578" s="3324"/>
      <c r="E578" s="3324"/>
      <c r="F578" s="3324"/>
      <c r="G578" s="3325"/>
      <c r="H578" s="3326"/>
      <c r="I578" s="1969"/>
      <c r="J578" s="1969"/>
    </row>
    <row r="579" spans="1:10">
      <c r="A579" s="1969"/>
      <c r="B579" s="1969"/>
      <c r="C579" s="1969"/>
      <c r="D579" s="1969"/>
      <c r="E579" s="1969"/>
      <c r="F579" s="1969"/>
      <c r="G579" s="1969"/>
      <c r="H579" s="1969"/>
      <c r="I579" s="1969"/>
      <c r="J579" s="1969"/>
    </row>
    <row r="580" spans="1:10">
      <c r="A580" s="1969"/>
      <c r="B580" s="1969"/>
      <c r="C580" s="1969"/>
      <c r="D580" s="1969"/>
      <c r="E580" s="1969"/>
      <c r="F580" s="1969"/>
      <c r="G580" s="1969"/>
      <c r="H580" s="1969"/>
      <c r="I580" s="1969"/>
      <c r="J580" s="1969"/>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H24" sqref="H24"/>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0" customWidth="1"/>
    <col min="12" max="13" width="10" style="2030"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67" t="s">
        <v>2499</v>
      </c>
      <c r="B1" s="3404" t="str">
        <f>IF(B10="北京市","北京市",C10)&amp;F10&amp;IF(结果表!G1="在建","出让国有建设用地使用权及在建建筑物",IF(结果表!G1="土地","出让国有建设用地使用权",))&amp;B9&amp;"预评估"</f>
        <v>北京市海淀区彰化路138号院房地产抵押价值预评估</v>
      </c>
      <c r="C1" s="3405"/>
      <c r="D1" s="3405"/>
      <c r="E1" s="3405"/>
      <c r="F1" s="3405"/>
      <c r="G1" s="3405"/>
      <c r="H1" s="3405"/>
      <c r="I1" s="3406"/>
      <c r="J1" s="2019"/>
      <c r="K1" s="2125"/>
      <c r="L1" s="2020"/>
      <c r="M1" s="2020"/>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北京市海淀区彰化路138号院房地产抵押价值</v>
      </c>
    </row>
    <row r="2" spans="1:19" ht="18" customHeight="1">
      <c r="A2" s="2019" t="s">
        <v>2500</v>
      </c>
      <c r="B2" s="1966" t="s">
        <v>3456</v>
      </c>
      <c r="C2" s="2021"/>
      <c r="D2" s="2019"/>
      <c r="E2" s="2022"/>
      <c r="F2" s="2022"/>
      <c r="G2" s="2019"/>
      <c r="H2" s="2019"/>
      <c r="I2" s="2019"/>
      <c r="J2" s="2019"/>
      <c r="K2" s="2125"/>
      <c r="L2" s="2020"/>
      <c r="M2" s="2020"/>
      <c r="N2" s="1203"/>
      <c r="O2" s="11"/>
      <c r="P2" s="1203"/>
      <c r="Q2" s="1203"/>
      <c r="R2" s="1203"/>
      <c r="S2" s="1202" t="str">
        <f>IF(B10="北京市","北京市",C10)&amp;F10&amp;IF(结果表!G1="在建","出让国有建设用地使用权及在建建筑物房地产",IF(结果表!G1="土地","出让国有建设用地使用权","房地产"))</f>
        <v>北京市海淀区彰化路138号院房地产</v>
      </c>
    </row>
    <row r="3" spans="1:19" ht="18" customHeight="1">
      <c r="A3" s="1964" t="s">
        <v>2368</v>
      </c>
      <c r="B3" s="3276">
        <v>42930</v>
      </c>
      <c r="C3" s="1946" t="s">
        <v>2369</v>
      </c>
      <c r="D3" s="3276">
        <v>42930</v>
      </c>
      <c r="E3" s="2019"/>
      <c r="F3" s="2019"/>
      <c r="G3" s="2019"/>
      <c r="H3" s="2019"/>
      <c r="I3" s="2019"/>
      <c r="J3" s="2019"/>
      <c r="K3" s="2125"/>
      <c r="L3" s="2020"/>
      <c r="M3" s="2020"/>
      <c r="N3" s="1203"/>
      <c r="O3" s="11"/>
      <c r="P3" s="1203"/>
      <c r="Q3" s="1203"/>
      <c r="R3" s="1203"/>
      <c r="S3" s="1202"/>
    </row>
    <row r="4" spans="1:19" ht="18" customHeight="1" thickBot="1">
      <c r="A4" s="1947" t="s">
        <v>2370</v>
      </c>
      <c r="B4" s="1948" t="s">
        <v>3376</v>
      </c>
      <c r="C4" s="1949">
        <f ca="1">SUMIF(注册房地产估价师,B4,估价师及机构信息!B3:B24)</f>
        <v>1120050019</v>
      </c>
      <c r="D4" s="1948" t="s">
        <v>3375</v>
      </c>
      <c r="E4" s="1950">
        <f ca="1">SUMIF(注册房地产估价师,D4,估价师及机构信息!B3:B24)</f>
        <v>1120070131</v>
      </c>
      <c r="F4" s="1948" t="s">
        <v>759</v>
      </c>
      <c r="G4" s="1978">
        <f>SUMIF(注册房地产估价师,F4,估价师及机构信息!B3:B24)</f>
        <v>0</v>
      </c>
      <c r="H4" s="1948" t="s">
        <v>759</v>
      </c>
      <c r="I4" s="2926">
        <f>SUMIF(注册房地产估价师,H4,估价师及机构信息!B3:B24)</f>
        <v>0</v>
      </c>
      <c r="J4" s="2024"/>
      <c r="K4" s="2126" t="str">
        <f ca="1">CONCATENATE(B4,"（注册号：",C4,")、",D4,"（注册号：",E4,")")</f>
        <v>王鹏（注册号：1120050019)、郑燚（注册号：1120070131)</v>
      </c>
      <c r="L4" s="2020"/>
      <c r="M4" s="2020"/>
      <c r="N4" s="1203"/>
      <c r="O4" s="11"/>
      <c r="P4" s="1203"/>
      <c r="Q4" s="1203"/>
      <c r="R4" s="1203"/>
      <c r="S4" s="1202"/>
    </row>
    <row r="5" spans="1:19" ht="18" customHeight="1" thickTop="1">
      <c r="A5" s="1951" t="s">
        <v>2463</v>
      </c>
      <c r="B5" s="2062" t="s">
        <v>3438</v>
      </c>
      <c r="C5" s="2063"/>
      <c r="D5" s="2025"/>
      <c r="E5" s="2024"/>
      <c r="F5" s="2024"/>
      <c r="G5" s="2024"/>
      <c r="H5" s="2024"/>
      <c r="I5" s="2024"/>
      <c r="J5" s="2024"/>
      <c r="K5" s="2126" t="str">
        <f>IF(F4="——","",IF(H4="——",F4&amp;"（注册号："&amp;G4&amp;")",CONCATENATE(F4,"（注册号：",G4,")、",H4,"（注册号：",I4,")")))</f>
        <v/>
      </c>
      <c r="L5" s="2020"/>
      <c r="M5" s="2020"/>
      <c r="N5" s="1203"/>
      <c r="O5" s="11"/>
      <c r="P5" s="1203"/>
      <c r="Q5" s="1203"/>
      <c r="R5" s="1203"/>
    </row>
    <row r="6" spans="1:19" ht="18" customHeight="1">
      <c r="A6" s="1952" t="s">
        <v>2464</v>
      </c>
      <c r="B6" s="2064" t="s">
        <v>3437</v>
      </c>
      <c r="C6" s="2065"/>
      <c r="D6" s="2026"/>
      <c r="E6" s="2022"/>
      <c r="F6" s="2024"/>
      <c r="G6" s="2024"/>
      <c r="H6" s="2024"/>
      <c r="I6" s="2024"/>
      <c r="J6" s="2024"/>
      <c r="K6" s="2127"/>
      <c r="L6" s="2020"/>
      <c r="M6" s="2020"/>
      <c r="N6" s="1203"/>
      <c r="O6" s="11"/>
      <c r="P6" s="1203"/>
      <c r="Q6" s="1203"/>
      <c r="R6" s="1203"/>
    </row>
    <row r="7" spans="1:19" ht="18" customHeight="1">
      <c r="A7" s="1953" t="s">
        <v>3283</v>
      </c>
      <c r="B7" s="2062" t="s">
        <v>3438</v>
      </c>
      <c r="C7" s="2065"/>
      <c r="D7" s="2026"/>
      <c r="E7" s="2022"/>
      <c r="F7" s="2024"/>
      <c r="G7" s="2024"/>
      <c r="H7" s="2024"/>
      <c r="I7" s="2024"/>
      <c r="J7" s="2024"/>
      <c r="K7" s="2127"/>
      <c r="L7" s="2020"/>
      <c r="M7" s="2020"/>
      <c r="N7" s="1203"/>
      <c r="O7" s="11"/>
      <c r="P7" s="1203"/>
      <c r="Q7" s="1203"/>
      <c r="R7" s="1203"/>
    </row>
    <row r="8" spans="1:19" ht="18" customHeight="1">
      <c r="A8" s="1953" t="s">
        <v>2315</v>
      </c>
      <c r="B8" s="2058" t="s">
        <v>2465</v>
      </c>
      <c r="C8" s="2027"/>
      <c r="D8" s="3407" t="s">
        <v>2377</v>
      </c>
      <c r="E8" s="2059" t="s">
        <v>3395</v>
      </c>
      <c r="F8" s="2060"/>
      <c r="G8" s="2019"/>
      <c r="H8" s="2019"/>
      <c r="I8" s="2019"/>
      <c r="J8" s="2024"/>
      <c r="K8" s="2126"/>
      <c r="L8" s="2020"/>
      <c r="M8" s="2020"/>
      <c r="N8" s="1203"/>
      <c r="O8" s="11"/>
      <c r="P8" s="1203"/>
      <c r="Q8" s="1203"/>
      <c r="R8" s="1203"/>
    </row>
    <row r="9" spans="1:19" ht="18" customHeight="1" thickBot="1">
      <c r="A9" s="1978" t="s">
        <v>2316</v>
      </c>
      <c r="B9" s="1979" t="s">
        <v>3394</v>
      </c>
      <c r="C9" s="2028"/>
      <c r="D9" s="3408"/>
      <c r="E9" s="1979" t="s">
        <v>759</v>
      </c>
      <c r="F9" s="2929"/>
      <c r="G9" s="2023"/>
      <c r="H9" s="2023"/>
      <c r="I9" s="2023"/>
      <c r="J9" s="2024"/>
      <c r="K9" s="2127"/>
      <c r="L9" s="2020"/>
      <c r="M9" s="2020"/>
      <c r="N9" s="1203"/>
      <c r="O9" s="11"/>
      <c r="P9" s="1203"/>
      <c r="Q9" s="1203"/>
      <c r="R9" s="1203"/>
    </row>
    <row r="10" spans="1:19" ht="18" customHeight="1" thickTop="1">
      <c r="A10" s="2033" t="s">
        <v>2435</v>
      </c>
      <c r="B10" s="2079" t="s">
        <v>2322</v>
      </c>
      <c r="C10" s="2061"/>
      <c r="D10" s="2025"/>
      <c r="E10" s="1963" t="s">
        <v>2317</v>
      </c>
      <c r="F10" s="1976" t="s">
        <v>3439</v>
      </c>
      <c r="G10" s="2927"/>
      <c r="H10" s="2928"/>
      <c r="I10" s="2025"/>
      <c r="J10" s="2024"/>
      <c r="K10" s="2127"/>
      <c r="L10" s="2020"/>
      <c r="M10" s="2020"/>
      <c r="N10" s="1203"/>
      <c r="O10" s="11"/>
      <c r="P10" s="1203"/>
      <c r="Q10" s="1203"/>
      <c r="R10" s="1203"/>
    </row>
    <row r="11" spans="1:19" ht="18" customHeight="1">
      <c r="A11" s="1982" t="s">
        <v>2436</v>
      </c>
      <c r="B11" s="2078" t="s">
        <v>1491</v>
      </c>
      <c r="C11" s="2062" t="s">
        <v>2501</v>
      </c>
      <c r="D11" s="2029"/>
      <c r="E11" s="2024"/>
      <c r="F11" s="2024"/>
      <c r="G11" s="2024"/>
      <c r="H11" s="2024"/>
      <c r="I11" s="2024"/>
      <c r="J11" s="2024"/>
      <c r="K11" s="2127"/>
      <c r="L11" s="2020"/>
      <c r="M11" s="2020"/>
      <c r="N11" s="1203"/>
      <c r="O11" s="11"/>
      <c r="P11" s="1203"/>
      <c r="Q11" s="1203"/>
      <c r="R11" s="1203"/>
    </row>
    <row r="12" spans="1:19" ht="18" customHeight="1">
      <c r="A12" s="2077" t="s">
        <v>2462</v>
      </c>
      <c r="B12" s="2078" t="s">
        <v>2388</v>
      </c>
      <c r="C12" s="2036" t="s">
        <v>2467</v>
      </c>
      <c r="D12" s="2048" t="s">
        <v>2309</v>
      </c>
      <c r="E12" s="2048" t="s">
        <v>3117</v>
      </c>
      <c r="F12" s="2048" t="s">
        <v>3118</v>
      </c>
      <c r="G12" s="2048" t="s">
        <v>3119</v>
      </c>
      <c r="H12" s="2048" t="s">
        <v>3120</v>
      </c>
      <c r="I12" s="2048" t="s">
        <v>3121</v>
      </c>
      <c r="J12" s="2024"/>
      <c r="K12" s="2127"/>
      <c r="L12" s="2020"/>
      <c r="M12" s="2020"/>
      <c r="N12" s="1203"/>
      <c r="O12" s="11"/>
      <c r="P12" s="1203"/>
      <c r="Q12" s="1203"/>
      <c r="R12" s="1203"/>
    </row>
    <row r="13" spans="1:19" ht="18" customHeight="1">
      <c r="A13" s="2032"/>
      <c r="B13" s="2107"/>
      <c r="C13" s="2108" t="s">
        <v>2466</v>
      </c>
      <c r="D13" s="3275"/>
      <c r="E13" s="3334">
        <v>53948</v>
      </c>
      <c r="F13" s="3275"/>
      <c r="G13" s="3275"/>
      <c r="H13" s="3275"/>
      <c r="I13" s="2073"/>
      <c r="J13" s="2024"/>
      <c r="K13" s="2127"/>
      <c r="L13" s="2020"/>
      <c r="M13" s="2020"/>
      <c r="N13" s="1203"/>
      <c r="O13" s="11"/>
      <c r="P13" s="1203"/>
      <c r="Q13" s="1203"/>
      <c r="R13" s="1203"/>
    </row>
    <row r="14" spans="1:19" ht="18" customHeight="1">
      <c r="A14" s="2032"/>
      <c r="B14" s="2107"/>
      <c r="C14" s="2108" t="s">
        <v>2468</v>
      </c>
      <c r="D14" s="2076">
        <v>70</v>
      </c>
      <c r="E14" s="2076">
        <v>40</v>
      </c>
      <c r="F14" s="2076">
        <v>50</v>
      </c>
      <c r="G14" s="2076">
        <v>50</v>
      </c>
      <c r="H14" s="2076">
        <v>50</v>
      </c>
      <c r="I14" s="2076">
        <v>50</v>
      </c>
      <c r="J14" s="2024"/>
      <c r="K14" s="2128"/>
      <c r="L14" s="2020"/>
      <c r="M14" s="2020"/>
      <c r="N14" s="1203"/>
      <c r="O14" s="11"/>
      <c r="P14" s="1203"/>
      <c r="Q14" s="1203"/>
      <c r="R14" s="1203"/>
    </row>
    <row r="15" spans="1:19" ht="18" customHeight="1">
      <c r="A15" s="2033"/>
      <c r="B15" s="2109"/>
      <c r="C15" s="2108" t="s">
        <v>2469</v>
      </c>
      <c r="D15" s="2075" t="str">
        <f>IF(B12="出让",IF(D13="","",ROUNDDOWN(MIN((D13-$D$3)/365,D14),2)),D14)</f>
        <v/>
      </c>
      <c r="E15" s="2075">
        <f>IF(B12="出让",IF(E13="","",ROUNDDOWN(MIN((E13-$D$3)/365,E14),2)),E14)</f>
        <v>30.18</v>
      </c>
      <c r="F15" s="2075" t="str">
        <f>IF(B12="出让",IF(F13="","",ROUNDDOWN(MIN((F13-$D$3)/365,F14),2)),F14)</f>
        <v/>
      </c>
      <c r="G15" s="2075" t="str">
        <f>IF(B12="出让",IF(G13="","",ROUNDDOWN(MIN((G13-$D$3)/365,G14),2)),G14)</f>
        <v/>
      </c>
      <c r="H15" s="2075" t="str">
        <f>IF(B12="出让",IF(H13="","",ROUNDDOWN(MIN((H13-$D$3)/365,H14),2)),H14)</f>
        <v/>
      </c>
      <c r="I15" s="2075" t="str">
        <f>IF(B12="出让",IF(I13="","",ROUNDDOWN(MIN((I13-$D$3)/365,I14),2)),I14)</f>
        <v/>
      </c>
      <c r="J15" s="2024"/>
      <c r="K15" s="2129"/>
      <c r="L15" s="1237"/>
      <c r="M15" s="1237"/>
      <c r="N15" s="2044"/>
      <c r="O15" s="1237"/>
      <c r="P15" s="2044"/>
      <c r="Q15" s="1203"/>
      <c r="R15" s="1203"/>
    </row>
    <row r="16" spans="1:19" ht="30.75" customHeight="1">
      <c r="A16" s="1963" t="s">
        <v>2470</v>
      </c>
      <c r="B16" s="3414"/>
      <c r="C16" s="3415"/>
      <c r="D16" s="3416"/>
      <c r="E16" s="1980" t="s">
        <v>2389</v>
      </c>
      <c r="F16" s="3417"/>
      <c r="G16" s="3418"/>
      <c r="H16" s="3418"/>
      <c r="I16" s="3419"/>
      <c r="J16" s="1203"/>
      <c r="K16" s="2129"/>
      <c r="L16" s="1237"/>
      <c r="M16" s="1237"/>
      <c r="N16" s="2044"/>
      <c r="O16" s="1237"/>
      <c r="P16" s="2044"/>
      <c r="Q16" s="1203"/>
      <c r="R16" s="1203"/>
    </row>
    <row r="17" spans="1:22" ht="18" customHeight="1">
      <c r="A17" s="2031" t="s">
        <v>2318</v>
      </c>
      <c r="B17" s="1964" t="s">
        <v>2319</v>
      </c>
      <c r="C17" s="2110">
        <f>'数据-汇总表'!E3</f>
        <v>11376.31</v>
      </c>
      <c r="D17" s="1965" t="s">
        <v>2320</v>
      </c>
      <c r="E17" s="3420"/>
      <c r="F17" s="3421"/>
      <c r="G17" s="3421"/>
      <c r="H17" s="3421"/>
      <c r="I17" s="3422"/>
      <c r="J17" s="1203"/>
      <c r="K17" s="2733"/>
      <c r="L17" s="1237"/>
      <c r="M17" s="1237"/>
      <c r="N17" s="2044"/>
      <c r="O17" s="1237"/>
      <c r="P17" s="2044"/>
      <c r="Q17" s="1203"/>
      <c r="R17" s="1203"/>
      <c r="S17" s="1203"/>
      <c r="T17" s="1203"/>
      <c r="U17" s="1203"/>
      <c r="V17" s="1203"/>
    </row>
    <row r="18" spans="1:22" ht="36" customHeight="1" thickBot="1">
      <c r="A18" s="2935" t="s">
        <v>3113</v>
      </c>
      <c r="B18" s="1947" t="s">
        <v>2321</v>
      </c>
      <c r="C18" s="2936">
        <f>'数据-汇总表'!D3</f>
        <v>2992.36</v>
      </c>
      <c r="D18" s="2937" t="s">
        <v>2320</v>
      </c>
      <c r="E18" s="3423"/>
      <c r="F18" s="3424"/>
      <c r="G18" s="3424"/>
      <c r="H18" s="3424"/>
      <c r="I18" s="3425"/>
      <c r="J18" s="1203"/>
      <c r="K18" s="2733"/>
      <c r="L18" s="1237"/>
      <c r="M18" s="1237"/>
      <c r="N18" s="2044"/>
      <c r="O18" s="1237"/>
      <c r="P18" s="2044"/>
      <c r="Q18" s="1203"/>
      <c r="R18" s="1203"/>
      <c r="S18" s="1203"/>
      <c r="T18" s="1203"/>
      <c r="U18" s="1203"/>
      <c r="V18" s="1203"/>
    </row>
    <row r="19" spans="1:22" ht="18" customHeight="1" thickTop="1" thickBot="1">
      <c r="A19" s="2934" t="s">
        <v>2414</v>
      </c>
      <c r="B19" s="2084" t="s">
        <v>2415</v>
      </c>
      <c r="C19" s="2085" t="s">
        <v>39</v>
      </c>
      <c r="D19" s="2067" t="s">
        <v>2418</v>
      </c>
      <c r="E19" s="2066" t="s">
        <v>39</v>
      </c>
      <c r="F19" s="2068" t="str">
        <f>IF(AND(C19="是",E19="否"),"是否提供他项权证或相关说明","")</f>
        <v/>
      </c>
      <c r="G19" s="2069" t="s">
        <v>39</v>
      </c>
      <c r="H19" s="2024"/>
      <c r="I19" s="2024"/>
      <c r="J19" s="2024"/>
      <c r="K19" s="2127"/>
      <c r="L19" s="2020"/>
      <c r="M19" s="2020"/>
      <c r="N19" s="2044"/>
      <c r="O19" s="1237"/>
      <c r="P19" s="2044"/>
      <c r="Q19" s="1203"/>
      <c r="R19" s="1203"/>
      <c r="S19" s="1203"/>
      <c r="T19" s="1203"/>
      <c r="U19" s="1203"/>
      <c r="V19" s="1203"/>
    </row>
    <row r="20" spans="1:22" ht="18" customHeight="1">
      <c r="A20" s="2086" t="s">
        <v>2419</v>
      </c>
      <c r="B20" s="3410" t="s">
        <v>2420</v>
      </c>
      <c r="C20" s="3411"/>
      <c r="D20" s="3412" t="s">
        <v>2421</v>
      </c>
      <c r="E20" s="3413"/>
      <c r="F20" s="2092" t="s">
        <v>2422</v>
      </c>
      <c r="G20" s="2024"/>
      <c r="H20" s="2024"/>
      <c r="I20" s="2024"/>
      <c r="J20" s="2024"/>
      <c r="K20" s="3409" t="s">
        <v>2417</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0"/>
      <c r="N20" s="2044"/>
      <c r="O20" s="1237"/>
      <c r="P20" s="2044"/>
      <c r="Q20" s="1203"/>
      <c r="R20" s="1203"/>
      <c r="S20" s="1203"/>
      <c r="T20" s="1203"/>
      <c r="U20" s="1203"/>
      <c r="V20" s="1203"/>
    </row>
    <row r="21" spans="1:22" ht="18" customHeight="1">
      <c r="A21" s="2086"/>
      <c r="B21" s="2087" t="s">
        <v>2423</v>
      </c>
      <c r="C21" s="2056" t="s">
        <v>2424</v>
      </c>
      <c r="D21" s="2013" t="s">
        <v>2427</v>
      </c>
      <c r="E21" s="2057" t="s">
        <v>2424</v>
      </c>
      <c r="F21" s="2002"/>
      <c r="G21" s="2024"/>
      <c r="H21" s="2024"/>
      <c r="I21" s="2024"/>
      <c r="J21" s="2024"/>
      <c r="K21" s="3409"/>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0"/>
      <c r="N21" s="2044"/>
      <c r="O21" s="1237"/>
      <c r="P21" s="2044"/>
      <c r="Q21" s="1203"/>
      <c r="R21" s="1203"/>
      <c r="S21" s="1203"/>
      <c r="T21" s="1203"/>
      <c r="U21" s="1203"/>
      <c r="V21" s="1203"/>
    </row>
    <row r="22" spans="1:22" ht="18" customHeight="1" thickBot="1">
      <c r="A22" s="2086"/>
      <c r="B22" s="2088" t="s">
        <v>2425</v>
      </c>
      <c r="C22" s="2056" t="s">
        <v>2426</v>
      </c>
      <c r="D22" s="2019"/>
      <c r="E22" s="2019"/>
      <c r="F22" s="2093"/>
      <c r="G22" s="2024"/>
      <c r="H22" s="2024"/>
      <c r="I22" s="2024"/>
      <c r="J22" s="2024"/>
      <c r="K22" s="3409"/>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44"/>
      <c r="O22" s="1237"/>
      <c r="P22" s="2044"/>
      <c r="Q22" s="1203"/>
      <c r="R22" s="1203"/>
      <c r="S22" s="1203"/>
      <c r="T22" s="1203"/>
      <c r="U22" s="1203"/>
      <c r="V22" s="1203"/>
    </row>
    <row r="23" spans="1:22" ht="18" customHeight="1">
      <c r="A23" s="2001" t="s">
        <v>2428</v>
      </c>
      <c r="B23" s="2089" t="s">
        <v>2429</v>
      </c>
      <c r="C23" s="2090"/>
      <c r="D23" s="2003" t="s">
        <v>2429</v>
      </c>
      <c r="E23" s="2011"/>
      <c r="F23" s="2093"/>
      <c r="G23" s="2024"/>
      <c r="H23" s="2024"/>
      <c r="I23" s="2024"/>
      <c r="J23" s="2024"/>
      <c r="K23" s="226"/>
      <c r="L23" s="2646"/>
      <c r="M23" s="2020"/>
      <c r="N23" s="2044"/>
      <c r="O23" s="1237"/>
      <c r="P23" s="2044"/>
      <c r="Q23" s="1203"/>
      <c r="R23" s="1203"/>
      <c r="S23" s="1203"/>
      <c r="T23" s="1203"/>
      <c r="U23" s="1203"/>
      <c r="V23" s="1203"/>
    </row>
    <row r="24" spans="1:22" ht="18" customHeight="1">
      <c r="A24" s="2004"/>
      <c r="B24" s="2089" t="s">
        <v>2430</v>
      </c>
      <c r="C24" s="2091"/>
      <c r="D24" s="2001" t="s">
        <v>2430</v>
      </c>
      <c r="E24" s="2012"/>
      <c r="F24" s="2093"/>
      <c r="G24" s="2024"/>
      <c r="H24" s="2024"/>
      <c r="I24" s="2024"/>
      <c r="J24" s="2024"/>
      <c r="K24" s="226"/>
      <c r="L24" s="2646"/>
      <c r="M24" s="2020"/>
      <c r="N24" s="2044"/>
      <c r="O24" s="1237"/>
      <c r="P24" s="2044"/>
      <c r="Q24" s="1203"/>
      <c r="R24" s="1203"/>
      <c r="S24" s="1203"/>
      <c r="T24" s="1203"/>
      <c r="U24" s="1203"/>
      <c r="V24" s="1203"/>
    </row>
    <row r="25" spans="1:22" ht="18" customHeight="1">
      <c r="A25" s="2004"/>
      <c r="B25" s="2089" t="s">
        <v>2431</v>
      </c>
      <c r="C25" s="2091"/>
      <c r="D25" s="2001" t="s">
        <v>2431</v>
      </c>
      <c r="E25" s="2012"/>
      <c r="F25" s="2093"/>
      <c r="G25" s="2024"/>
      <c r="H25" s="2024"/>
      <c r="I25" s="2024"/>
      <c r="J25" s="2024"/>
      <c r="K25" s="2127"/>
      <c r="L25" s="2020"/>
      <c r="M25" s="2020"/>
      <c r="N25" s="2044"/>
      <c r="O25" s="1237"/>
      <c r="P25" s="2044"/>
      <c r="Q25" s="1203"/>
      <c r="R25" s="1203"/>
      <c r="S25" s="1203"/>
      <c r="T25" s="1203"/>
      <c r="U25" s="1203"/>
      <c r="V25" s="1203"/>
    </row>
    <row r="26" spans="1:22" ht="18" customHeight="1" thickBot="1">
      <c r="A26" s="2081"/>
      <c r="B26" s="2094" t="s">
        <v>2432</v>
      </c>
      <c r="C26" s="2095"/>
      <c r="D26" s="2083" t="s">
        <v>2432</v>
      </c>
      <c r="E26" s="2082"/>
      <c r="F26" s="2096"/>
      <c r="G26" s="2023"/>
      <c r="H26" s="2023"/>
      <c r="I26" s="2023"/>
      <c r="J26" s="2024"/>
      <c r="K26" s="2127"/>
      <c r="L26" s="2020"/>
      <c r="M26" s="2020"/>
      <c r="N26" s="2044"/>
      <c r="O26" s="1237"/>
      <c r="P26" s="2044"/>
      <c r="Q26" s="1203"/>
      <c r="R26" s="1203"/>
      <c r="S26" s="1203"/>
      <c r="T26" s="1203"/>
      <c r="U26" s="1203"/>
      <c r="V26" s="1203"/>
    </row>
    <row r="27" spans="1:22" ht="18" customHeight="1" thickTop="1">
      <c r="A27" s="3397" t="s">
        <v>2437</v>
      </c>
      <c r="B27" s="2033" t="s">
        <v>2438</v>
      </c>
      <c r="C27" s="1954" t="s">
        <v>2787</v>
      </c>
      <c r="D27" s="1955"/>
      <c r="E27" s="2024"/>
      <c r="F27" s="2024"/>
      <c r="G27" s="2024"/>
      <c r="H27" s="2024"/>
      <c r="I27" s="2024"/>
      <c r="J27" s="1203"/>
      <c r="K27" s="2129"/>
      <c r="L27" s="1237"/>
      <c r="M27" s="1237"/>
      <c r="N27" s="2044"/>
      <c r="O27" s="1237"/>
      <c r="P27" s="2044"/>
      <c r="Q27" s="1203"/>
      <c r="R27" s="1203"/>
      <c r="S27" s="1203"/>
      <c r="T27" s="1203"/>
      <c r="U27" s="1203"/>
      <c r="V27" s="1203"/>
    </row>
    <row r="28" spans="1:22" ht="18" customHeight="1">
      <c r="A28" s="3397"/>
      <c r="B28" s="1964" t="s">
        <v>2439</v>
      </c>
      <c r="C28" s="1956" t="s">
        <v>240</v>
      </c>
      <c r="D28" s="1957"/>
      <c r="E28" s="2024"/>
      <c r="F28" s="2024"/>
      <c r="G28" s="2024"/>
      <c r="H28" s="2024"/>
      <c r="I28" s="2024"/>
      <c r="J28" s="1203"/>
      <c r="K28" s="2133"/>
      <c r="L28" s="2020"/>
      <c r="M28" s="2020"/>
      <c r="N28" s="1203"/>
      <c r="O28" s="11"/>
      <c r="P28" s="1203"/>
      <c r="Q28" s="1203"/>
      <c r="R28" s="1203"/>
      <c r="S28" s="1203"/>
      <c r="T28" s="1203"/>
      <c r="U28" s="1203"/>
      <c r="V28" s="1203"/>
    </row>
    <row r="29" spans="1:22" ht="18" customHeight="1">
      <c r="A29" s="3397"/>
      <c r="B29" s="1964" t="s">
        <v>2440</v>
      </c>
      <c r="C29" s="1958" t="s">
        <v>44</v>
      </c>
      <c r="D29" s="1959"/>
      <c r="E29" s="2024"/>
      <c r="F29" s="2024"/>
      <c r="G29" s="2024"/>
      <c r="H29" s="2024"/>
      <c r="I29" s="2024"/>
      <c r="J29" s="1203"/>
      <c r="K29" s="2133"/>
      <c r="L29" s="2020"/>
      <c r="M29" s="2020"/>
      <c r="N29" s="1203"/>
      <c r="O29" s="11"/>
      <c r="P29" s="1203"/>
      <c r="Q29" s="1203"/>
      <c r="R29" s="1203"/>
      <c r="S29" s="1203"/>
      <c r="T29" s="1203"/>
      <c r="U29" s="1203"/>
      <c r="V29" s="1203"/>
    </row>
    <row r="30" spans="1:22" ht="18" customHeight="1">
      <c r="A30" s="3398"/>
      <c r="B30" s="1964" t="s">
        <v>2441</v>
      </c>
      <c r="C30" s="3399"/>
      <c r="D30" s="3400"/>
      <c r="E30" s="2024"/>
      <c r="F30" s="2024"/>
      <c r="G30" s="2024"/>
      <c r="H30" s="2024"/>
      <c r="I30" s="2024"/>
      <c r="J30" s="1203"/>
      <c r="K30" s="2133"/>
      <c r="L30" s="2020"/>
      <c r="M30" s="2020"/>
      <c r="N30" s="1203"/>
      <c r="O30" s="11"/>
      <c r="P30" s="1203"/>
      <c r="Q30" s="1203"/>
      <c r="R30" s="1203"/>
      <c r="S30" s="1203"/>
      <c r="T30" s="1203"/>
      <c r="U30" s="1203"/>
      <c r="V30" s="1203"/>
    </row>
    <row r="31" spans="1:22" ht="18" customHeight="1">
      <c r="A31" s="3401" t="s">
        <v>2442</v>
      </c>
      <c r="B31" s="1960" t="s">
        <v>275</v>
      </c>
      <c r="C31" s="1961" t="str">
        <f>IF(B31="现房","成新及维护状况正常否",IF(B31="在建","工程状态是否正常",IF(B31="土地","是否闲置","-")))</f>
        <v>工程状态是否正常</v>
      </c>
      <c r="D31" s="2034"/>
      <c r="E31" s="1962" t="s">
        <v>1484</v>
      </c>
      <c r="F31" s="2024"/>
      <c r="G31" s="2024"/>
      <c r="H31" s="2024"/>
      <c r="I31" s="2024"/>
      <c r="J31" s="2024"/>
      <c r="K31" s="2131"/>
      <c r="L31" s="2020"/>
      <c r="M31" s="2020"/>
      <c r="N31" s="1203"/>
      <c r="O31" s="11"/>
      <c r="P31" s="1203"/>
      <c r="Q31" s="1203"/>
      <c r="R31" s="1203"/>
      <c r="S31" s="1203"/>
      <c r="T31" s="1203"/>
      <c r="U31" s="1203"/>
      <c r="V31" s="1203"/>
    </row>
    <row r="32" spans="1:22" ht="18" customHeight="1">
      <c r="A32" s="3402"/>
      <c r="B32" s="1960" t="s">
        <v>275</v>
      </c>
      <c r="C32" s="1961" t="str">
        <f>IF(B32="现房","成新及维护状况是否正常",IF(B32="在建","工程状态是否正常",IF(B32="土地","是否闲置","-")))</f>
        <v>工程状态是否正常</v>
      </c>
      <c r="D32" s="2034"/>
      <c r="E32" s="1962" t="s">
        <v>1484</v>
      </c>
      <c r="F32" s="2024"/>
      <c r="G32" s="2024"/>
      <c r="H32" s="2024"/>
      <c r="I32" s="2024"/>
      <c r="J32" s="2024"/>
      <c r="K32" s="2127"/>
      <c r="L32" s="2020"/>
      <c r="M32" s="2020"/>
      <c r="N32" s="1203"/>
      <c r="O32" s="11"/>
      <c r="P32" s="1203"/>
      <c r="Q32" s="1203"/>
      <c r="R32" s="1203"/>
      <c r="S32" s="1203"/>
      <c r="T32" s="1203"/>
      <c r="U32" s="1203"/>
      <c r="V32" s="1203"/>
    </row>
    <row r="33" spans="1:22" ht="18" customHeight="1">
      <c r="A33" s="3402"/>
      <c r="B33" s="1981"/>
      <c r="C33" s="1982" t="str">
        <f>IF(B33="现房","成新及维护状况是否正常",IF(B33="在建","工程状态是否正常",IF(B33="土地","是否闲置","-")))</f>
        <v>-</v>
      </c>
      <c r="D33" s="2035"/>
      <c r="E33" s="1983"/>
      <c r="F33" s="2024"/>
      <c r="G33" s="2024"/>
      <c r="H33" s="2024"/>
      <c r="I33" s="2024"/>
      <c r="J33" s="2024"/>
      <c r="K33" s="2127"/>
      <c r="L33" s="2020"/>
      <c r="M33" s="2020"/>
      <c r="N33" s="1203"/>
      <c r="O33" s="11"/>
      <c r="P33" s="1203"/>
      <c r="Q33" s="1203"/>
      <c r="R33" s="1203"/>
      <c r="S33" s="1203"/>
      <c r="T33" s="1203"/>
      <c r="U33" s="1203"/>
      <c r="V33" s="1203"/>
    </row>
    <row r="34" spans="1:22" ht="18" customHeight="1">
      <c r="A34" s="1964" t="s">
        <v>2390</v>
      </c>
      <c r="B34" s="1984" t="s">
        <v>2391</v>
      </c>
      <c r="C34" s="1984" t="s">
        <v>2392</v>
      </c>
      <c r="D34" s="1984" t="s">
        <v>2393</v>
      </c>
      <c r="E34" s="1984" t="s">
        <v>2394</v>
      </c>
      <c r="F34" s="1984" t="s">
        <v>2395</v>
      </c>
      <c r="G34" s="1984" t="s">
        <v>759</v>
      </c>
      <c r="H34" s="1984" t="s">
        <v>759</v>
      </c>
      <c r="I34" s="2024"/>
      <c r="J34" s="2024"/>
      <c r="K34" s="2924">
        <f>COUNTIF(B34:H34,"——")</f>
        <v>2</v>
      </c>
      <c r="L34" s="2036" t="s">
        <v>2472</v>
      </c>
      <c r="M34" s="2036" t="s">
        <v>2473</v>
      </c>
      <c r="N34" s="2036" t="s">
        <v>2474</v>
      </c>
      <c r="O34" s="2036" t="s">
        <v>2475</v>
      </c>
      <c r="P34" s="2036" t="s">
        <v>2476</v>
      </c>
      <c r="Q34" s="2036" t="s">
        <v>2477</v>
      </c>
      <c r="R34" s="2036" t="s">
        <v>2478</v>
      </c>
      <c r="S34" s="3396" t="s">
        <v>2479</v>
      </c>
      <c r="T34" s="2037" t="str">
        <f>NUMBERSTRING(7-K34,1)&amp;"通"</f>
        <v>五通</v>
      </c>
      <c r="U34" s="1203"/>
      <c r="V34" s="1203"/>
    </row>
    <row r="35" spans="1:22" ht="18" customHeight="1">
      <c r="A35" s="2038"/>
      <c r="B35" s="3403" t="s">
        <v>2234</v>
      </c>
      <c r="C35" s="3403"/>
      <c r="D35" s="3403"/>
      <c r="E35" s="3403"/>
      <c r="F35" s="2039">
        <f>C10</f>
        <v>0</v>
      </c>
      <c r="G35" s="2024"/>
      <c r="H35" s="2024"/>
      <c r="I35" s="2024"/>
      <c r="J35" s="2024"/>
      <c r="K35" s="2036"/>
      <c r="L35" s="203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96"/>
      <c r="T35" s="23" t="str">
        <f>IF(T34="一通",L35,IF(T34="二通",M35,IF(T34="三通",N35,IF(T34="四通",O35,IF(T34="五通",P35,IF(T34="六通",Q35,R35))))))</f>
        <v>通路、通电、通上水、通下水、通讯</v>
      </c>
      <c r="U35" s="1203"/>
      <c r="V35" s="1203"/>
    </row>
    <row r="36" spans="1:22" ht="18" customHeight="1">
      <c r="A36" s="2040"/>
      <c r="B36" s="2039" t="s">
        <v>2314</v>
      </c>
      <c r="C36" s="2039" t="s">
        <v>2310</v>
      </c>
      <c r="D36" s="2039" t="s">
        <v>2309</v>
      </c>
      <c r="E36" s="2039" t="s">
        <v>2311</v>
      </c>
      <c r="F36" s="2041"/>
      <c r="G36" s="2024"/>
      <c r="H36" s="2024"/>
      <c r="I36" s="2024"/>
      <c r="J36" s="2024"/>
      <c r="K36" s="2127"/>
      <c r="L36" s="2020"/>
      <c r="M36" s="2020"/>
      <c r="N36" s="1203"/>
      <c r="O36" s="11"/>
      <c r="P36" s="1203"/>
      <c r="Q36" s="1203"/>
      <c r="R36" s="1203"/>
      <c r="S36" s="1203"/>
      <c r="T36" s="1203"/>
      <c r="U36" s="1203"/>
      <c r="V36" s="1203"/>
    </row>
    <row r="37" spans="1:22" ht="18" customHeight="1">
      <c r="A37" s="2042" t="s">
        <v>2233</v>
      </c>
      <c r="B37" s="2043" t="s">
        <v>1493</v>
      </c>
      <c r="C37" s="2043" t="s">
        <v>370</v>
      </c>
      <c r="D37" s="2043" t="s">
        <v>1812</v>
      </c>
      <c r="E37" s="2043" t="s">
        <v>1898</v>
      </c>
      <c r="F37" s="2041"/>
      <c r="G37" s="2024"/>
      <c r="H37" s="2024"/>
      <c r="I37" s="2024"/>
      <c r="J37" s="2024"/>
      <c r="K37" s="2127"/>
      <c r="L37" s="2020"/>
      <c r="M37" s="2020"/>
      <c r="N37" s="1203"/>
      <c r="O37" s="11"/>
      <c r="P37" s="1203"/>
      <c r="Q37" s="1203"/>
      <c r="R37" s="1203"/>
      <c r="S37" s="1203"/>
      <c r="T37" s="1203"/>
      <c r="U37" s="1203"/>
      <c r="V37" s="1203"/>
    </row>
    <row r="38" spans="1:22" ht="18" customHeight="1" thickBot="1">
      <c r="A38" s="2070" t="s">
        <v>2235</v>
      </c>
      <c r="B38" s="2071" t="s">
        <v>1609</v>
      </c>
      <c r="C38" s="2071" t="s">
        <v>3399</v>
      </c>
      <c r="D38" s="2071" t="s">
        <v>1608</v>
      </c>
      <c r="E38" s="2071" t="s">
        <v>2911</v>
      </c>
      <c r="F38" s="2072"/>
      <c r="G38" s="2023"/>
      <c r="H38" s="2023"/>
      <c r="I38" s="2023"/>
      <c r="J38" s="2024"/>
      <c r="K38" s="2127"/>
      <c r="L38" s="2020"/>
      <c r="M38" s="2020"/>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38"/>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4"/>
      <c r="K40" s="2132"/>
      <c r="L40" s="1237"/>
      <c r="M40" s="1237"/>
      <c r="N40" s="2044"/>
      <c r="O40" s="1237"/>
      <c r="P40" s="1203"/>
      <c r="Q40" s="1203"/>
      <c r="R40" s="1203"/>
      <c r="S40" s="1203"/>
      <c r="T40" s="1203"/>
      <c r="U40" s="1203"/>
      <c r="V40" s="1203"/>
    </row>
    <row r="41" spans="1:22" ht="18" customHeight="1">
      <c r="A41" s="2045" t="s">
        <v>2443</v>
      </c>
      <c r="B41" s="2046"/>
      <c r="C41" s="2047"/>
      <c r="D41" s="1203"/>
      <c r="E41" s="1203"/>
      <c r="F41" s="1203"/>
      <c r="G41" s="1203"/>
      <c r="H41" s="1203"/>
      <c r="I41" s="11"/>
      <c r="J41" s="1203"/>
      <c r="K41" s="2133"/>
      <c r="L41" s="2020"/>
      <c r="M41" s="2020"/>
      <c r="N41" s="1203"/>
      <c r="O41" s="11"/>
      <c r="P41" s="1203"/>
      <c r="Q41" s="1203"/>
      <c r="R41" s="1203"/>
      <c r="S41" s="1203"/>
      <c r="T41" s="1203"/>
      <c r="U41" s="1203"/>
      <c r="V41" s="1203"/>
    </row>
    <row r="42" spans="1:22" ht="18" customHeight="1">
      <c r="A42" s="2036" t="s">
        <v>2444</v>
      </c>
      <c r="B42" s="2010" t="s">
        <v>2445</v>
      </c>
      <c r="C42" s="2010" t="s">
        <v>2446</v>
      </c>
      <c r="D42" s="2010" t="s">
        <v>2447</v>
      </c>
      <c r="E42" s="2010" t="s">
        <v>2448</v>
      </c>
      <c r="F42" s="2010" t="s">
        <v>2449</v>
      </c>
      <c r="G42" s="2010" t="s">
        <v>2450</v>
      </c>
      <c r="H42" s="2010" t="s">
        <v>2451</v>
      </c>
      <c r="I42" s="2010" t="s">
        <v>2452</v>
      </c>
      <c r="J42" s="2123" t="s">
        <v>2453</v>
      </c>
      <c r="K42" s="2048" t="s">
        <v>2454</v>
      </c>
      <c r="L42" s="2048" t="s">
        <v>2455</v>
      </c>
      <c r="M42" s="2048" t="s">
        <v>2456</v>
      </c>
      <c r="N42" s="2010" t="s">
        <v>2457</v>
      </c>
      <c r="O42" s="2010" t="s">
        <v>2458</v>
      </c>
      <c r="P42" s="2010" t="s">
        <v>2459</v>
      </c>
      <c r="Q42" s="2036" t="s">
        <v>2460</v>
      </c>
      <c r="R42" s="2036" t="s">
        <v>2461</v>
      </c>
      <c r="S42" s="1203"/>
      <c r="T42" s="1203"/>
      <c r="U42" s="1203"/>
      <c r="V42" s="1203"/>
    </row>
    <row r="43" spans="1:22" s="2268" customFormat="1" ht="18" customHeight="1">
      <c r="A43" s="1423"/>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3"/>
      <c r="B44" s="1423"/>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3"/>
      <c r="B45" s="1423"/>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3"/>
      <c r="B46" s="1423"/>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3"/>
      <c r="B47" s="1423"/>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3"/>
      <c r="B48" s="1423"/>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3"/>
      <c r="B49" s="1423"/>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3"/>
      <c r="B50" s="1423"/>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3"/>
      <c r="B51" s="1423"/>
      <c r="C51" s="216"/>
      <c r="D51" s="216"/>
      <c r="E51" s="216"/>
      <c r="F51" s="216"/>
      <c r="G51" s="216"/>
      <c r="H51" s="2"/>
      <c r="I51" s="2"/>
      <c r="J51" s="9"/>
      <c r="K51" s="4"/>
      <c r="L51" s="4"/>
      <c r="M51" s="2"/>
      <c r="N51" s="216"/>
      <c r="O51" s="2"/>
      <c r="P51" s="216"/>
      <c r="Q51" s="216"/>
      <c r="R51" s="216"/>
    </row>
    <row r="52" spans="1:22" s="2268" customFormat="1" ht="18" customHeight="1">
      <c r="A52" s="2049"/>
      <c r="B52" s="2049"/>
      <c r="C52" s="2049"/>
      <c r="D52" s="2049"/>
      <c r="E52" s="2049"/>
      <c r="F52" s="2"/>
      <c r="G52" s="2049"/>
      <c r="H52" s="2049"/>
      <c r="I52" s="2049"/>
      <c r="J52" s="2124"/>
      <c r="K52" s="4"/>
      <c r="L52" s="4"/>
      <c r="M52" s="4"/>
      <c r="N52" s="2049"/>
      <c r="O52" s="2049"/>
      <c r="P52" s="2049"/>
      <c r="Q52" s="2049"/>
      <c r="R52" s="2049"/>
    </row>
    <row r="53" spans="1:22" s="2268" customFormat="1" ht="18" customHeight="1">
      <c r="A53" s="2049"/>
      <c r="B53" s="2049"/>
      <c r="C53" s="2049"/>
      <c r="D53" s="2049"/>
      <c r="E53" s="2049"/>
      <c r="F53" s="2"/>
      <c r="G53" s="2049"/>
      <c r="H53" s="2049"/>
      <c r="I53" s="2049"/>
      <c r="J53" s="2124"/>
      <c r="K53" s="4"/>
      <c r="L53" s="4"/>
      <c r="M53" s="4"/>
      <c r="N53" s="2049"/>
      <c r="O53" s="2049"/>
      <c r="P53" s="2049"/>
      <c r="Q53" s="2049"/>
      <c r="R53" s="2049"/>
    </row>
    <row r="54" spans="1:22" s="2268" customFormat="1" ht="18" customHeight="1">
      <c r="A54" s="2049"/>
      <c r="B54" s="2049"/>
      <c r="C54" s="2049"/>
      <c r="D54" s="2049"/>
      <c r="E54" s="2049"/>
      <c r="F54" s="2"/>
      <c r="G54" s="2049"/>
      <c r="H54" s="2049"/>
      <c r="I54" s="2049"/>
      <c r="J54" s="2124"/>
      <c r="K54" s="4"/>
      <c r="L54" s="4"/>
      <c r="M54" s="4"/>
      <c r="N54" s="2049"/>
      <c r="O54" s="2049"/>
      <c r="P54" s="2049"/>
      <c r="Q54" s="2049"/>
      <c r="R54" s="2049"/>
    </row>
    <row r="55" spans="1:22" s="2268" customFormat="1" ht="18" customHeight="1">
      <c r="A55" s="2049"/>
      <c r="B55" s="2049"/>
      <c r="C55" s="2049"/>
      <c r="D55" s="2049"/>
      <c r="E55" s="2049"/>
      <c r="F55" s="2"/>
      <c r="G55" s="2049"/>
      <c r="H55" s="2049"/>
      <c r="I55" s="2049"/>
      <c r="J55" s="2124"/>
      <c r="K55" s="4"/>
      <c r="L55" s="4"/>
      <c r="M55" s="4"/>
      <c r="N55" s="2049"/>
      <c r="O55" s="2049"/>
      <c r="P55" s="2049"/>
      <c r="Q55" s="2049"/>
      <c r="R55" s="2049"/>
    </row>
    <row r="56" spans="1:22" s="2268" customFormat="1" ht="18" customHeight="1">
      <c r="A56" s="2049"/>
      <c r="B56" s="2049"/>
      <c r="C56" s="2049"/>
      <c r="D56" s="2049"/>
      <c r="E56" s="2049"/>
      <c r="F56" s="2"/>
      <c r="G56" s="2049"/>
      <c r="H56" s="2049"/>
      <c r="I56" s="2049"/>
      <c r="J56" s="2124"/>
      <c r="K56" s="4"/>
      <c r="L56" s="4"/>
      <c r="M56" s="4"/>
      <c r="N56" s="2049"/>
      <c r="O56" s="2049"/>
      <c r="P56" s="2049"/>
      <c r="Q56" s="2049"/>
      <c r="R56" s="204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hidden="1" customWidth="1"/>
    <col min="31" max="31" width="9.75" style="1169" hidden="1" customWidth="1"/>
    <col min="32" max="37" width="9.5" style="1169" hidden="1" customWidth="1"/>
    <col min="38"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845</v>
      </c>
      <c r="B2" s="82" t="s">
        <v>846</v>
      </c>
      <c r="C2" s="82" t="s">
        <v>847</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48" t="s">
        <v>2788</v>
      </c>
      <c r="AZ2" s="2549" t="s">
        <v>2789</v>
      </c>
      <c r="BA2" s="2550" t="s">
        <v>2790</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面积!D2</f>
        <v>2992.36</v>
      </c>
      <c r="B3" s="308">
        <f>IF(C3="否",G5-AT5,G5)</f>
        <v>11376.31</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1"/>
      <c r="AZ3" s="2552"/>
      <c r="BA3" s="2553"/>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848</v>
      </c>
      <c r="B5" s="220"/>
      <c r="C5" s="220"/>
      <c r="D5" s="218"/>
      <c r="E5" s="311" t="s">
        <v>23</v>
      </c>
      <c r="F5" s="311">
        <f>SUM(F13:F587)</f>
        <v>0</v>
      </c>
      <c r="G5" s="311">
        <f>SUM(G13:G587)</f>
        <v>11376.31</v>
      </c>
      <c r="H5" s="311">
        <f t="shared" ref="H5:AT5" si="0">SUM(H13:H656)</f>
        <v>11376.31</v>
      </c>
      <c r="I5" s="311">
        <f t="shared" si="0"/>
        <v>3097.6099999999997</v>
      </c>
      <c r="J5" s="311">
        <f t="shared" si="0"/>
        <v>0</v>
      </c>
      <c r="K5" s="311">
        <f t="shared" si="0"/>
        <v>3185.37</v>
      </c>
      <c r="L5" s="311">
        <f t="shared" si="0"/>
        <v>0</v>
      </c>
      <c r="M5" s="311">
        <f t="shared" si="0"/>
        <v>5093.33</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848</v>
      </c>
      <c r="AW5" s="220"/>
      <c r="AX5" s="220"/>
      <c r="AY5" s="312" t="s">
        <v>29</v>
      </c>
      <c r="AZ5" s="313">
        <f t="shared" ref="AZ5:BT5" si="1">SUM(AZ13:AZ656)</f>
        <v>11376.31</v>
      </c>
      <c r="BA5" s="313">
        <f t="shared" si="1"/>
        <v>11376.31</v>
      </c>
      <c r="BB5" s="313">
        <f t="shared" si="1"/>
        <v>3097.6099999999997</v>
      </c>
      <c r="BC5" s="313">
        <f t="shared" si="1"/>
        <v>3185.37</v>
      </c>
      <c r="BD5" s="313">
        <f t="shared" si="1"/>
        <v>5093.33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849</v>
      </c>
      <c r="B6" s="223"/>
      <c r="C6" s="223"/>
      <c r="D6" s="224"/>
      <c r="E6" s="311">
        <f>H6+AC6+AT6</f>
        <v>2992.3599999999997</v>
      </c>
      <c r="F6" s="311" t="s">
        <v>23</v>
      </c>
      <c r="G6" s="311" t="s">
        <v>25</v>
      </c>
      <c r="H6" s="315">
        <f>SUMIF(I$12:AB$12,"总值",I6:AB6)</f>
        <v>2992.3599999999997</v>
      </c>
      <c r="I6" s="311">
        <f t="shared" ref="I6:AB6" si="2">ROUND($A$3*I5/$B$3,2)</f>
        <v>814.78</v>
      </c>
      <c r="J6" s="311">
        <f t="shared" si="2"/>
        <v>0</v>
      </c>
      <c r="K6" s="311">
        <f t="shared" si="2"/>
        <v>837.86</v>
      </c>
      <c r="L6" s="311">
        <f t="shared" si="2"/>
        <v>0</v>
      </c>
      <c r="M6" s="311">
        <f t="shared" si="2"/>
        <v>1339.72</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849</v>
      </c>
      <c r="AW6" s="223"/>
      <c r="AX6" s="223"/>
      <c r="AY6" s="316">
        <f>IF(AY3&gt;0,AY3,ROUND($A$3*AZ5/$B$3,2))</f>
        <v>2992.36</v>
      </c>
      <c r="AZ6" s="311" t="s">
        <v>29</v>
      </c>
      <c r="BA6" s="311">
        <f>ROUND($AY$6*BA5/$AZ$5,2)</f>
        <v>2992.36</v>
      </c>
      <c r="BB6" s="311">
        <f>ROUND($AY$6*BB5/$AZ$5,2)</f>
        <v>814.78</v>
      </c>
      <c r="BC6" s="311">
        <f t="shared" ref="BC6:BH6" si="4">ROUND($AY$6*BC5/$AZ$5,2)</f>
        <v>837.86</v>
      </c>
      <c r="BD6" s="311">
        <f t="shared" si="4"/>
        <v>1339.72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850</v>
      </c>
      <c r="B7" s="226" t="s">
        <v>851</v>
      </c>
      <c r="C7" s="226" t="s">
        <v>852</v>
      </c>
      <c r="D7" s="226" t="s">
        <v>853</v>
      </c>
      <c r="E7" s="226" t="s">
        <v>849</v>
      </c>
      <c r="F7" s="226" t="s">
        <v>854</v>
      </c>
      <c r="G7" s="227" t="s">
        <v>855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856</v>
      </c>
      <c r="AV7" s="78" t="s">
        <v>850</v>
      </c>
      <c r="AW7" s="229" t="s">
        <v>851</v>
      </c>
      <c r="AX7" s="78" t="s">
        <v>852</v>
      </c>
      <c r="AY7" s="220" t="s">
        <v>857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858</v>
      </c>
      <c r="H8" s="234" t="s">
        <v>859</v>
      </c>
      <c r="I8" s="235"/>
      <c r="J8" s="236"/>
      <c r="K8" s="236"/>
      <c r="L8" s="236"/>
      <c r="M8" s="236"/>
      <c r="N8" s="236"/>
      <c r="O8" s="236"/>
      <c r="P8" s="236"/>
      <c r="Q8" s="236"/>
      <c r="R8" s="236"/>
      <c r="S8" s="236"/>
      <c r="T8" s="236"/>
      <c r="U8" s="236"/>
      <c r="V8" s="237"/>
      <c r="W8" s="236"/>
      <c r="X8" s="236"/>
      <c r="Y8" s="236"/>
      <c r="Z8" s="236"/>
      <c r="AA8" s="237"/>
      <c r="AB8" s="238"/>
      <c r="AC8" s="245" t="s">
        <v>860</v>
      </c>
      <c r="AD8" s="239"/>
      <c r="AE8" s="230"/>
      <c r="AF8" s="236"/>
      <c r="AG8" s="236"/>
      <c r="AH8" s="236"/>
      <c r="AI8" s="236"/>
      <c r="AJ8" s="236"/>
      <c r="AK8" s="236"/>
      <c r="AL8" s="236"/>
      <c r="AM8" s="236"/>
      <c r="AN8" s="236"/>
      <c r="AO8" s="236"/>
      <c r="AP8" s="236"/>
      <c r="AQ8" s="236"/>
      <c r="AR8" s="236"/>
      <c r="AS8" s="236"/>
      <c r="AT8" s="240" t="s">
        <v>760</v>
      </c>
      <c r="AU8" s="232" t="s">
        <v>861</v>
      </c>
      <c r="AV8" s="240"/>
      <c r="AW8" s="241"/>
      <c r="AX8" s="240"/>
      <c r="AY8" s="229" t="s">
        <v>862</v>
      </c>
      <c r="AZ8" s="222" t="s">
        <v>863</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864</v>
      </c>
      <c r="I9" s="244" t="s">
        <v>41</v>
      </c>
      <c r="J9" s="245"/>
      <c r="K9" s="244" t="s">
        <v>41</v>
      </c>
      <c r="L9" s="245"/>
      <c r="M9" s="244" t="s">
        <v>41</v>
      </c>
      <c r="N9" s="245"/>
      <c r="O9" s="244" t="s">
        <v>3373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43</v>
      </c>
      <c r="J10" s="245"/>
      <c r="K10" s="252" t="s">
        <v>43</v>
      </c>
      <c r="L10" s="245"/>
      <c r="M10" s="252" t="s">
        <v>43</v>
      </c>
      <c r="N10" s="245"/>
      <c r="O10" s="252" t="s">
        <v>43</v>
      </c>
      <c r="P10" s="245"/>
      <c r="Q10" s="252"/>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3377</v>
      </c>
      <c r="J11" s="259"/>
      <c r="K11" s="258" t="s">
        <v>178</v>
      </c>
      <c r="L11" s="259"/>
      <c r="M11" s="258" t="s">
        <v>3427</v>
      </c>
      <c r="N11" s="259"/>
      <c r="O11" s="258" t="s">
        <v>3378</v>
      </c>
      <c r="P11" s="259"/>
      <c r="Q11" s="258"/>
      <c r="R11" s="259"/>
      <c r="S11" s="258"/>
      <c r="T11" s="259"/>
      <c r="U11" s="258"/>
      <c r="V11" s="259"/>
      <c r="W11" s="258"/>
      <c r="X11" s="259"/>
      <c r="Y11" s="258"/>
      <c r="Z11" s="259"/>
      <c r="AA11" s="258"/>
      <c r="AB11" s="259"/>
      <c r="AC11" s="240"/>
      <c r="AD11" s="2541" t="s">
        <v>2776</v>
      </c>
      <c r="AE11" s="2520"/>
      <c r="AF11" s="2541" t="s">
        <v>2776</v>
      </c>
      <c r="AG11" s="2520"/>
      <c r="AH11" s="2541" t="s">
        <v>2777</v>
      </c>
      <c r="AI11" s="2542"/>
      <c r="AJ11" s="2541" t="s">
        <v>2777</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865</v>
      </c>
      <c r="J12" s="82" t="s">
        <v>866</v>
      </c>
      <c r="K12" s="82" t="s">
        <v>865</v>
      </c>
      <c r="L12" s="82" t="s">
        <v>866</v>
      </c>
      <c r="M12" s="82" t="s">
        <v>865</v>
      </c>
      <c r="N12" s="82" t="s">
        <v>866</v>
      </c>
      <c r="O12" s="82" t="s">
        <v>865</v>
      </c>
      <c r="P12" s="82" t="s">
        <v>866</v>
      </c>
      <c r="Q12" s="82" t="s">
        <v>865</v>
      </c>
      <c r="R12" s="82" t="s">
        <v>866</v>
      </c>
      <c r="S12" s="82" t="s">
        <v>865</v>
      </c>
      <c r="T12" s="82" t="s">
        <v>866</v>
      </c>
      <c r="U12" s="82" t="s">
        <v>865</v>
      </c>
      <c r="V12" s="221" t="s">
        <v>866</v>
      </c>
      <c r="W12" s="82" t="s">
        <v>865</v>
      </c>
      <c r="X12" s="82" t="s">
        <v>866</v>
      </c>
      <c r="Y12" s="82" t="s">
        <v>865</v>
      </c>
      <c r="Z12" s="82" t="s">
        <v>866</v>
      </c>
      <c r="AA12" s="82" t="s">
        <v>865</v>
      </c>
      <c r="AB12" s="82" t="s">
        <v>866</v>
      </c>
      <c r="AC12" s="264"/>
      <c r="AD12" s="218" t="s">
        <v>865</v>
      </c>
      <c r="AE12" s="82" t="s">
        <v>866</v>
      </c>
      <c r="AF12" s="82" t="s">
        <v>865</v>
      </c>
      <c r="AG12" s="82" t="s">
        <v>866</v>
      </c>
      <c r="AH12" s="82" t="s">
        <v>865</v>
      </c>
      <c r="AI12" s="82" t="s">
        <v>866</v>
      </c>
      <c r="AJ12" s="82" t="s">
        <v>865</v>
      </c>
      <c r="AK12" s="82" t="s">
        <v>866</v>
      </c>
      <c r="AL12" s="82" t="s">
        <v>865</v>
      </c>
      <c r="AM12" s="82" t="s">
        <v>866</v>
      </c>
      <c r="AN12" s="82" t="s">
        <v>865</v>
      </c>
      <c r="AO12" s="82" t="s">
        <v>866</v>
      </c>
      <c r="AP12" s="82" t="s">
        <v>865</v>
      </c>
      <c r="AQ12" s="82" t="s">
        <v>866</v>
      </c>
      <c r="AR12" s="81" t="s">
        <v>865</v>
      </c>
      <c r="AS12" s="262" t="s">
        <v>866</v>
      </c>
      <c r="AT12" s="265"/>
      <c r="AU12" s="262"/>
      <c r="AV12" s="80"/>
      <c r="AW12" s="229"/>
      <c r="AX12" s="80"/>
      <c r="AY12" s="266"/>
      <c r="AZ12" s="79"/>
      <c r="BA12" s="253"/>
      <c r="BB12" s="77" t="str">
        <f>I11</f>
        <v>办公楼</v>
      </c>
      <c r="BC12" s="267" t="str">
        <f>K11</f>
        <v>底商</v>
      </c>
      <c r="BD12" s="267" t="str">
        <f>M11</f>
        <v>酒店</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3440</v>
      </c>
      <c r="D13" s="217" t="s">
        <v>39</v>
      </c>
      <c r="E13" s="311">
        <f>IF($C$3="是",ROUND($A$3*G13/$B$3,2),ROUND($A$3*(G13-AT13)/$B$3,2))</f>
        <v>814.78</v>
      </c>
      <c r="F13" s="327"/>
      <c r="G13" s="328">
        <f>H13+AC13+AT13</f>
        <v>3097.6099999999997</v>
      </c>
      <c r="H13" s="315">
        <f>SUMIF(I$12:AB$12,"总值",I13:AB13)</f>
        <v>3097.6099999999997</v>
      </c>
      <c r="I13" s="3320">
        <f>面积!D40</f>
        <v>3097.6099999999997</v>
      </c>
      <c r="J13" s="3320"/>
      <c r="K13" s="3320"/>
      <c r="L13" s="3320"/>
      <c r="M13" s="3320"/>
      <c r="N13" s="3320"/>
      <c r="O13" s="3320"/>
      <c r="P13" s="3320"/>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1485</v>
      </c>
      <c r="AV13" s="82">
        <f t="shared" ref="AV13:AX17" si="6">A13</f>
        <v>0</v>
      </c>
      <c r="AW13" s="82">
        <f t="shared" si="6"/>
        <v>0</v>
      </c>
      <c r="AX13" s="82" t="str">
        <f t="shared" si="6"/>
        <v>办公</v>
      </c>
      <c r="AY13" s="310">
        <f>ROUND($AY$6*AZ13/$AZ$5,2)</f>
        <v>814.78</v>
      </c>
      <c r="AZ13" s="311">
        <f>BA13+BL13</f>
        <v>3097.6099999999997</v>
      </c>
      <c r="BA13" s="311">
        <f>SUM(BB13:BK13)</f>
        <v>3097.6099999999997</v>
      </c>
      <c r="BB13" s="311">
        <f>IF($D13="是",I13-J13,0)</f>
        <v>3097.6099999999997</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c r="B14" s="216"/>
      <c r="C14" s="1423" t="s">
        <v>3441</v>
      </c>
      <c r="D14" s="217" t="s">
        <v>39</v>
      </c>
      <c r="E14" s="311">
        <f>IF($C$3="是",ROUND($A$3*G14/$B$3,2),ROUND($A$3*(G14-AT14)/$B$3,2))</f>
        <v>837.86</v>
      </c>
      <c r="F14" s="327"/>
      <c r="G14" s="328">
        <f>H14+AC14+AT14</f>
        <v>3185.37</v>
      </c>
      <c r="H14" s="315">
        <f>SUMIF(I$12:AB$12,"总值",I14:AB14)</f>
        <v>3185.37</v>
      </c>
      <c r="I14" s="3320"/>
      <c r="J14" s="3320"/>
      <c r="K14" s="3321">
        <f>面积!E40</f>
        <v>3185.37</v>
      </c>
      <c r="L14" s="3320"/>
      <c r="M14" s="3320"/>
      <c r="N14" s="3320"/>
      <c r="O14" s="3321"/>
      <c r="P14" s="3320"/>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商业</v>
      </c>
      <c r="AY14" s="310">
        <f>ROUND($AY$6*AZ14/$AZ$5,2)</f>
        <v>837.86</v>
      </c>
      <c r="AZ14" s="311">
        <f>BA14+BL14</f>
        <v>3185.37</v>
      </c>
      <c r="BA14" s="311">
        <f>SUM(BB14:BK14)</f>
        <v>3185.37</v>
      </c>
      <c r="BB14" s="311">
        <f>IF($D14="是",I14-J14,0)</f>
        <v>0</v>
      </c>
      <c r="BC14" s="311">
        <f>IF($D14="是",K14-L14,0)</f>
        <v>3185.37</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t="s">
        <v>3442</v>
      </c>
      <c r="D15" s="217" t="s">
        <v>39</v>
      </c>
      <c r="E15" s="311">
        <f>IF($C$3="是",ROUND($A$3*G15/$B$3,2),ROUND($A$3*(G15-AT15)/$B$3,2))</f>
        <v>1339.72</v>
      </c>
      <c r="F15" s="327"/>
      <c r="G15" s="328">
        <f>H15+AC15+AT15</f>
        <v>5093.33</v>
      </c>
      <c r="H15" s="315">
        <f>SUMIF(I$12:AB$12,"总值",I15:AB15)</f>
        <v>5093.33</v>
      </c>
      <c r="I15" s="3320"/>
      <c r="J15" s="3320"/>
      <c r="K15" s="3320"/>
      <c r="L15" s="3320"/>
      <c r="M15" s="3320">
        <f>面积!C40</f>
        <v>5093.33</v>
      </c>
      <c r="N15" s="3320"/>
      <c r="O15" s="3320"/>
      <c r="P15" s="3320"/>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酒店</v>
      </c>
      <c r="AY15" s="310">
        <f>ROUND($AY$6*AZ15/$AZ$5,2)</f>
        <v>1339.72</v>
      </c>
      <c r="AZ15" s="311">
        <f>BA15+BL15</f>
        <v>5093.33</v>
      </c>
      <c r="BA15" s="311">
        <f>SUM(BB15:BK15)</f>
        <v>5093.33</v>
      </c>
      <c r="BB15" s="311">
        <f>IF($D15="是",I15-J15,0)</f>
        <v>0</v>
      </c>
      <c r="BC15" s="311">
        <f>IF($D15="是",K15-L15,0)</f>
        <v>0</v>
      </c>
      <c r="BD15" s="311">
        <f>IF($D15="是",M15-N15,0)</f>
        <v>5093.33</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t="s">
        <v>44</v>
      </c>
      <c r="E16" s="311">
        <f>IF($C$3="是",ROUND($A$3*G16/$B$3,2),ROUND($A$3*(G16-AT16)/$B$3,2))</f>
        <v>0</v>
      </c>
      <c r="F16" s="327"/>
      <c r="G16" s="328">
        <f>H16+AC16+AT16</f>
        <v>0</v>
      </c>
      <c r="H16" s="315">
        <f>SUMIF(I$12:AB$12,"总值",I16:AB16)</f>
        <v>0</v>
      </c>
      <c r="I16" s="3320"/>
      <c r="J16" s="3320"/>
      <c r="K16" s="3320"/>
      <c r="L16" s="3320"/>
      <c r="M16" s="3320"/>
      <c r="N16" s="3320"/>
      <c r="O16" s="3320"/>
      <c r="P16" s="3320"/>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3319"/>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t="s">
        <v>44</v>
      </c>
      <c r="E17" s="311">
        <f>IF($C$3="是",ROUND($A$3*G17/$B$3,2),ROUND($A$3*(G17-AT17)/$B$3,2))</f>
        <v>0</v>
      </c>
      <c r="F17" s="327"/>
      <c r="G17" s="328">
        <f>H17+AC17+AT17</f>
        <v>0</v>
      </c>
      <c r="H17" s="315">
        <f>SUMIF(I$12:AB$12,"总值",I17:AB17)</f>
        <v>0</v>
      </c>
      <c r="I17" s="3320"/>
      <c r="J17" s="3320"/>
      <c r="K17" s="3320"/>
      <c r="L17" s="3320"/>
      <c r="M17" s="3320"/>
      <c r="N17" s="3320"/>
      <c r="O17" s="3320"/>
      <c r="P17" s="3320"/>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1"/>
      <c r="E18" s="330">
        <f t="shared" ref="E18:E112" si="7">IF($C$3="是",ROUND($A$3*G18/$B$3,2),ROUND($A$3*(G18-AT18)/$B$3,2))</f>
        <v>0</v>
      </c>
      <c r="F18" s="331"/>
      <c r="G18" s="332">
        <f t="shared" ref="G18:G109" si="8">H18+AC18+AT18</f>
        <v>0</v>
      </c>
      <c r="H18" s="333">
        <f t="shared" ref="H18:H109" si="9">SUMIF(I$12:AB$12,"总值",I18:AB18)</f>
        <v>0</v>
      </c>
      <c r="I18" s="3322"/>
      <c r="J18" s="3322"/>
      <c r="K18" s="3322"/>
      <c r="L18" s="3322"/>
      <c r="M18" s="3322"/>
      <c r="N18" s="3322"/>
      <c r="O18" s="3322"/>
      <c r="P18" s="3322"/>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1"/>
      <c r="E19" s="330">
        <f t="shared" si="7"/>
        <v>0</v>
      </c>
      <c r="F19" s="331"/>
      <c r="G19" s="332">
        <f t="shared" si="8"/>
        <v>0</v>
      </c>
      <c r="H19" s="333">
        <f t="shared" si="9"/>
        <v>0</v>
      </c>
      <c r="I19" s="3322"/>
      <c r="J19" s="3322"/>
      <c r="K19" s="3322"/>
      <c r="L19" s="3322"/>
      <c r="M19" s="3322"/>
      <c r="N19" s="3322"/>
      <c r="O19" s="3322"/>
      <c r="P19" s="3322"/>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9" t="s">
        <v>2</v>
      </c>
      <c r="B1" s="3369" t="s">
        <v>37</v>
      </c>
      <c r="C1" s="3369" t="s">
        <v>38</v>
      </c>
      <c r="D1" s="3426" t="s">
        <v>367</v>
      </c>
      <c r="E1" s="3426" t="s">
        <v>368</v>
      </c>
      <c r="F1" s="3426"/>
      <c r="G1" s="3426"/>
      <c r="H1" s="3426"/>
      <c r="I1" s="3426"/>
      <c r="J1" s="3426"/>
      <c r="K1" s="3426"/>
      <c r="L1" s="3426"/>
      <c r="M1" s="3426"/>
    </row>
    <row r="2" spans="1:13" ht="27" customHeight="1">
      <c r="A2" s="3369"/>
      <c r="B2" s="3369"/>
      <c r="C2" s="3369"/>
      <c r="D2" s="3426"/>
      <c r="E2" s="3426" t="s">
        <v>351</v>
      </c>
      <c r="F2" s="3426" t="s">
        <v>352</v>
      </c>
      <c r="G2" s="3426"/>
      <c r="H2" s="3426"/>
      <c r="I2" s="3426"/>
      <c r="J2" s="3426" t="s">
        <v>353</v>
      </c>
      <c r="K2" s="3426"/>
      <c r="L2" s="3426"/>
      <c r="M2" s="3426"/>
    </row>
    <row r="3" spans="1:13" ht="28.5">
      <c r="A3" s="3369"/>
      <c r="B3" s="3369"/>
      <c r="C3" s="3369"/>
      <c r="D3" s="3426"/>
      <c r="E3" s="3426"/>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6" t="s">
        <v>369</v>
      </c>
      <c r="B9" s="3426"/>
      <c r="C9" s="342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E4" sqref="E4"/>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872</v>
      </c>
      <c r="B1" s="2253"/>
      <c r="C1" s="2253"/>
      <c r="D1" s="2253"/>
      <c r="E1" s="2253"/>
      <c r="F1" s="2253"/>
      <c r="G1" s="2253"/>
      <c r="H1" s="2253"/>
      <c r="I1" s="2253"/>
      <c r="J1" s="2253"/>
      <c r="K1" s="2253"/>
      <c r="L1" s="2253"/>
      <c r="M1" s="2253"/>
      <c r="N1" s="2253"/>
      <c r="O1" s="2253"/>
      <c r="P1" s="2253"/>
    </row>
    <row r="2" spans="1:16">
      <c r="A2" s="3436" t="s">
        <v>873</v>
      </c>
      <c r="B2" s="3436"/>
      <c r="C2" s="3436"/>
      <c r="D2" s="2234" t="s">
        <v>874</v>
      </c>
      <c r="E2" s="19" t="s">
        <v>875</v>
      </c>
      <c r="F2" s="2253"/>
      <c r="G2" s="1186"/>
      <c r="H2" s="1187"/>
      <c r="I2" s="2242" t="s">
        <v>876</v>
      </c>
      <c r="J2" s="2253"/>
      <c r="K2" s="2253"/>
      <c r="L2" s="2253"/>
      <c r="M2" s="2253"/>
      <c r="N2" s="2262"/>
      <c r="O2" s="2253"/>
      <c r="P2" s="2253"/>
    </row>
    <row r="3" spans="1:16" ht="15.75" thickBot="1">
      <c r="A3" s="3437" t="s">
        <v>877</v>
      </c>
      <c r="B3" s="3437"/>
      <c r="C3" s="3437"/>
      <c r="D3" s="341">
        <f>'数据-基础表'!AY6</f>
        <v>2992.36</v>
      </c>
      <c r="E3" s="341">
        <f>'数据-基础表'!AZ5</f>
        <v>11376.31</v>
      </c>
      <c r="F3" s="2253"/>
      <c r="G3" s="447"/>
      <c r="H3" s="445" t="s">
        <v>878</v>
      </c>
      <c r="I3" s="350">
        <f>ROUND('数据-基础表'!B3/'数据-基础表'!A3,2)</f>
        <v>3.8</v>
      </c>
      <c r="J3" s="2253"/>
      <c r="K3" s="2253"/>
      <c r="L3" s="2253"/>
      <c r="M3" s="2253"/>
      <c r="N3" s="2262"/>
      <c r="O3" s="2253"/>
      <c r="P3" s="2253"/>
    </row>
    <row r="4" spans="1:16" ht="14.25">
      <c r="A4" s="3438"/>
      <c r="B4" s="3439"/>
      <c r="C4" s="3440"/>
      <c r="D4" s="20" t="s">
        <v>874</v>
      </c>
      <c r="E4" s="21" t="s">
        <v>875</v>
      </c>
      <c r="F4" s="2253"/>
      <c r="G4" s="1188" t="s">
        <v>2148</v>
      </c>
      <c r="H4" s="445" t="s">
        <v>879</v>
      </c>
      <c r="I4" s="350">
        <f>ROUND(SUMIF('数据-基础表'!I9:AS9,"地上",'数据-基础表'!I5:AS5)/'数据-基础表'!A3,2)</f>
        <v>3.8</v>
      </c>
      <c r="J4" s="2253"/>
      <c r="K4" s="2253"/>
      <c r="L4" s="2253"/>
      <c r="M4" s="2253"/>
      <c r="N4" s="2262"/>
      <c r="O4" s="2253"/>
      <c r="P4" s="2253"/>
    </row>
    <row r="5" spans="1:16" ht="14.25">
      <c r="A5" s="22" t="s">
        <v>880</v>
      </c>
      <c r="B5" s="3441" t="s">
        <v>881</v>
      </c>
      <c r="C5" s="3441"/>
      <c r="D5" s="343">
        <f>ROUND($D$3*E5/$E$3,2)</f>
        <v>0</v>
      </c>
      <c r="E5" s="344">
        <f>SUMIF('数据-基础表'!$11:$11,"住宅",'数据-基础表'!$5:$5)</f>
        <v>0</v>
      </c>
      <c r="F5" s="2253"/>
      <c r="G5" s="447"/>
      <c r="H5" s="445" t="s">
        <v>878</v>
      </c>
      <c r="I5" s="350">
        <f>ROUND(E31/D31,2)</f>
        <v>3.8</v>
      </c>
      <c r="J5" s="2253"/>
      <c r="K5" s="2253"/>
      <c r="L5" s="2253"/>
      <c r="M5" s="2253"/>
      <c r="N5" s="2253"/>
      <c r="O5" s="2253"/>
      <c r="P5" s="2253"/>
    </row>
    <row r="6" spans="1:16" ht="15" thickBot="1">
      <c r="A6" s="24"/>
      <c r="B6" s="3441" t="s">
        <v>882</v>
      </c>
      <c r="C6" s="3441"/>
      <c r="D6" s="343">
        <f>ROUND($D$3*E6/$E$3,2)</f>
        <v>2992.36</v>
      </c>
      <c r="E6" s="344">
        <f>E3-E5</f>
        <v>11376.31</v>
      </c>
      <c r="F6" s="2253"/>
      <c r="G6" s="1784" t="s">
        <v>2149</v>
      </c>
      <c r="H6" s="447" t="s">
        <v>879</v>
      </c>
      <c r="I6" s="1785">
        <f>ROUND(F31/D31,2)</f>
        <v>3.8</v>
      </c>
      <c r="J6" s="2253"/>
      <c r="K6" s="2253"/>
      <c r="L6" s="2253"/>
      <c r="M6" s="2253"/>
      <c r="N6" s="2253"/>
      <c r="O6" s="2253"/>
      <c r="P6" s="2253"/>
    </row>
    <row r="7" spans="1:16" ht="14.25">
      <c r="A7" s="3433"/>
      <c r="B7" s="3434"/>
      <c r="C7" s="3435"/>
      <c r="D7" s="20" t="s">
        <v>874</v>
      </c>
      <c r="E7" s="25" t="s">
        <v>875</v>
      </c>
      <c r="F7" s="2253"/>
      <c r="G7" s="1186" t="s">
        <v>2231</v>
      </c>
      <c r="H7" s="38"/>
      <c r="I7" s="769">
        <v>2</v>
      </c>
      <c r="J7" s="2253"/>
      <c r="K7" s="2253"/>
      <c r="L7" s="2253"/>
      <c r="M7" s="2253"/>
      <c r="N7" s="2253"/>
      <c r="O7" s="2253"/>
      <c r="P7" s="2253"/>
    </row>
    <row r="8" spans="1:16" ht="14.25">
      <c r="A8" s="22" t="s">
        <v>883</v>
      </c>
      <c r="B8" s="26" t="s">
        <v>884</v>
      </c>
      <c r="C8" s="23" t="s">
        <v>885</v>
      </c>
      <c r="D8" s="343">
        <f t="shared" ref="D8:D15" si="0">ROUND($D$3*E8/$E$3,2)</f>
        <v>2992.36</v>
      </c>
      <c r="E8" s="346">
        <f>SUMIF('数据-基础表'!BB10:BK10,"地上",'数据-基础表'!BB5:BK5)</f>
        <v>11376.31</v>
      </c>
      <c r="F8" s="2253"/>
      <c r="G8" s="2254"/>
      <c r="H8" s="2254"/>
      <c r="I8" s="2253"/>
      <c r="J8" s="2253"/>
      <c r="K8" s="2253"/>
      <c r="L8" s="2253"/>
      <c r="M8" s="2253"/>
      <c r="N8" s="2253"/>
      <c r="O8" s="2253"/>
      <c r="P8" s="2253"/>
    </row>
    <row r="9" spans="1:16" ht="14.25">
      <c r="A9" s="27"/>
      <c r="B9" s="28"/>
      <c r="C9" s="23" t="s">
        <v>886</v>
      </c>
      <c r="D9" s="343">
        <f t="shared" si="0"/>
        <v>0</v>
      </c>
      <c r="E9" s="347">
        <v>0</v>
      </c>
      <c r="F9" s="2253"/>
      <c r="G9" s="2254"/>
      <c r="H9" s="2254"/>
      <c r="I9" s="2253"/>
      <c r="J9" s="2253"/>
      <c r="K9" s="2253"/>
      <c r="L9" s="2253"/>
      <c r="M9" s="2253"/>
      <c r="N9" s="2253"/>
      <c r="O9" s="2253"/>
      <c r="P9" s="2253"/>
    </row>
    <row r="10" spans="1:16" ht="14.25">
      <c r="A10" s="27"/>
      <c r="B10" s="28"/>
      <c r="C10" s="23" t="s">
        <v>887</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2778</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888</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889</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890</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891</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892</v>
      </c>
      <c r="D16" s="345">
        <f>SUM(D8:D15)</f>
        <v>2992.36</v>
      </c>
      <c r="E16" s="348">
        <f>SUM(E8:E15)</f>
        <v>11376.31</v>
      </c>
      <c r="F16" s="2253"/>
      <c r="G16" s="2254"/>
      <c r="H16" s="1185" t="s">
        <v>762</v>
      </c>
      <c r="I16" s="1189"/>
      <c r="J16" s="2253"/>
      <c r="K16" s="3430" t="s">
        <v>762</v>
      </c>
      <c r="L16" s="3431"/>
      <c r="M16" s="3431"/>
      <c r="N16" s="3431"/>
      <c r="O16" s="3431"/>
      <c r="P16" s="3432"/>
    </row>
    <row r="17" spans="1:19" ht="14.25">
      <c r="A17" s="29" t="s">
        <v>893</v>
      </c>
      <c r="B17" s="30" t="s">
        <v>894</v>
      </c>
      <c r="C17" s="34" t="s">
        <v>2769</v>
      </c>
      <c r="D17" s="2099" t="s">
        <v>874</v>
      </c>
      <c r="E17" s="2097" t="s">
        <v>875</v>
      </c>
      <c r="F17" s="36"/>
      <c r="G17" s="37"/>
      <c r="H17" s="1190" t="s">
        <v>895</v>
      </c>
      <c r="I17" s="1191" t="s">
        <v>374</v>
      </c>
      <c r="J17" s="2253"/>
      <c r="K17" s="3427" t="s">
        <v>901</v>
      </c>
      <c r="L17" s="3428"/>
      <c r="M17" s="3429"/>
      <c r="N17" s="3427" t="s">
        <v>3099</v>
      </c>
      <c r="O17" s="3428"/>
      <c r="P17" s="3429"/>
      <c r="R17" s="2514" t="s">
        <v>2770</v>
      </c>
      <c r="S17" s="360"/>
    </row>
    <row r="18" spans="1:19">
      <c r="A18" s="27"/>
      <c r="B18" s="31"/>
      <c r="C18" s="35"/>
      <c r="D18" s="2100"/>
      <c r="E18" s="2098" t="s">
        <v>896</v>
      </c>
      <c r="F18" s="15" t="s">
        <v>897</v>
      </c>
      <c r="G18" s="16" t="s">
        <v>898</v>
      </c>
      <c r="H18" s="1192" t="s">
        <v>899</v>
      </c>
      <c r="I18" s="1193" t="s">
        <v>900</v>
      </c>
      <c r="J18" s="2253"/>
      <c r="K18" s="1192" t="s">
        <v>3092</v>
      </c>
      <c r="L18" s="6" t="s">
        <v>3100</v>
      </c>
      <c r="M18" s="2843" t="s">
        <v>3098</v>
      </c>
      <c r="N18" s="1192" t="s">
        <v>3092</v>
      </c>
      <c r="O18" s="6" t="s">
        <v>3100</v>
      </c>
      <c r="P18" s="2843" t="s">
        <v>3098</v>
      </c>
      <c r="R18" s="2515" t="s">
        <v>2771</v>
      </c>
      <c r="S18" s="2515" t="s">
        <v>2772</v>
      </c>
    </row>
    <row r="19" spans="1:19" ht="14.25">
      <c r="A19" s="32"/>
      <c r="B19" s="26" t="s">
        <v>174</v>
      </c>
      <c r="C19" s="1427" t="s">
        <v>3379</v>
      </c>
      <c r="D19" s="343">
        <f>ROUND($D$3*E19/$E$3,2)</f>
        <v>814.78</v>
      </c>
      <c r="E19" s="351">
        <f t="shared" ref="E19:E26" si="1">SUM(F19:G19)</f>
        <v>3097.6099999999997</v>
      </c>
      <c r="F19" s="352">
        <f>面积!D40</f>
        <v>3097.6099999999997</v>
      </c>
      <c r="G19" s="353"/>
      <c r="H19" s="1139">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814.78</v>
      </c>
      <c r="S19" s="2517">
        <f t="shared" si="5"/>
        <v>3097.6099999999997</v>
      </c>
    </row>
    <row r="20" spans="1:19" ht="14.25">
      <c r="A20" s="33"/>
      <c r="B20" s="26" t="s">
        <v>867</v>
      </c>
      <c r="C20" s="1427" t="s">
        <v>3443</v>
      </c>
      <c r="D20" s="343">
        <f t="shared" ref="D20:D26" si="6">ROUND($D$3*E20/$E$3,2)</f>
        <v>837.86</v>
      </c>
      <c r="E20" s="351">
        <f t="shared" si="1"/>
        <v>3185.37</v>
      </c>
      <c r="F20" s="352">
        <f>面积!E40</f>
        <v>3185.37</v>
      </c>
      <c r="G20" s="353"/>
      <c r="H20" s="1139">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837.86</v>
      </c>
      <c r="S20" s="2517">
        <f t="shared" si="5"/>
        <v>3185.37</v>
      </c>
    </row>
    <row r="21" spans="1:19" ht="14.25">
      <c r="A21" s="33"/>
      <c r="B21" s="26" t="s">
        <v>867</v>
      </c>
      <c r="C21" s="1427" t="s">
        <v>3444</v>
      </c>
      <c r="D21" s="343">
        <f t="shared" si="6"/>
        <v>1339.72</v>
      </c>
      <c r="E21" s="351">
        <f t="shared" si="1"/>
        <v>5093.33</v>
      </c>
      <c r="F21" s="352">
        <f>面积!C40</f>
        <v>5093.33</v>
      </c>
      <c r="G21" s="353"/>
      <c r="H21" s="1139">
        <f t="shared" si="7"/>
        <v>0</v>
      </c>
      <c r="I21" s="346">
        <f t="shared" si="2"/>
        <v>0</v>
      </c>
      <c r="J21" s="2253"/>
      <c r="K21" s="2844">
        <f t="shared" si="3"/>
        <v>0</v>
      </c>
      <c r="L21" s="2516">
        <f t="shared" si="4"/>
        <v>0</v>
      </c>
      <c r="M21" s="2862">
        <f t="shared" si="8"/>
        <v>0</v>
      </c>
      <c r="N21" s="2860"/>
      <c r="O21" s="2842"/>
      <c r="P21" s="2845">
        <f t="shared" si="9"/>
        <v>0</v>
      </c>
      <c r="R21" s="2516">
        <f t="shared" si="5"/>
        <v>1339.72</v>
      </c>
      <c r="S21" s="2517">
        <f t="shared" si="5"/>
        <v>5093.33</v>
      </c>
    </row>
    <row r="22" spans="1:19" ht="14.25">
      <c r="A22" s="33"/>
      <c r="B22" s="26" t="s">
        <v>867</v>
      </c>
      <c r="C22" s="1427"/>
      <c r="D22" s="343">
        <f t="shared" si="6"/>
        <v>0</v>
      </c>
      <c r="E22" s="351">
        <f t="shared" si="1"/>
        <v>0</v>
      </c>
      <c r="F22" s="356"/>
      <c r="G22" s="357"/>
      <c r="H22" s="1139">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867</v>
      </c>
      <c r="C23" s="355"/>
      <c r="D23" s="343">
        <f>ROUND($D$3*E23/$E$3,2)</f>
        <v>0</v>
      </c>
      <c r="E23" s="351">
        <f>SUM(F23:G23)</f>
        <v>0</v>
      </c>
      <c r="F23" s="356"/>
      <c r="G23" s="357"/>
      <c r="H23" s="1139">
        <f>ROUND($D$3*I23/$E$3,2)</f>
        <v>0</v>
      </c>
      <c r="I23" s="346">
        <f t="shared" si="2"/>
        <v>0</v>
      </c>
      <c r="J23" s="2253"/>
      <c r="K23" s="2844">
        <f t="shared" si="3"/>
        <v>0</v>
      </c>
      <c r="L23" s="2516">
        <f t="shared" si="4"/>
        <v>0</v>
      </c>
      <c r="M23" s="2862">
        <f t="shared" si="8"/>
        <v>0</v>
      </c>
      <c r="N23" s="2860"/>
      <c r="O23" s="2842"/>
      <c r="P23" s="2845">
        <f t="shared" si="9"/>
        <v>0</v>
      </c>
      <c r="R23" s="2516">
        <f t="shared" si="5"/>
        <v>0</v>
      </c>
      <c r="S23" s="2517">
        <f t="shared" si="5"/>
        <v>0</v>
      </c>
    </row>
    <row r="24" spans="1:19" ht="14.25">
      <c r="A24" s="33"/>
      <c r="B24" s="26" t="s">
        <v>867</v>
      </c>
      <c r="C24" s="355"/>
      <c r="D24" s="343">
        <f>ROUND($D$3*E24/$E$3,2)</f>
        <v>0</v>
      </c>
      <c r="E24" s="351">
        <f>SUM(F24:G24)</f>
        <v>0</v>
      </c>
      <c r="F24" s="356"/>
      <c r="G24" s="357"/>
      <c r="H24" s="1139">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867</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867</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15.75" thickBot="1">
      <c r="A27" s="33"/>
      <c r="B27" s="23"/>
      <c r="C27" s="2815" t="s">
        <v>868</v>
      </c>
      <c r="D27" s="2847">
        <f>SUM(D19:D26)</f>
        <v>2992.3599999999997</v>
      </c>
      <c r="E27" s="2848">
        <f>IF(SUM(E19:E26)='数据-基础表'!BA5,SUM(E19:E26),IF(F27="地上面积有误","面积有误","地下面积有误"))</f>
        <v>11376.31</v>
      </c>
      <c r="F27" s="2847">
        <f>IF(SUM(F19:F26)=E8,SUM(F19:F26),"地上面积有误")</f>
        <v>11376.31</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f>IF(SUM(R19:R26)=$D$3,SUM(R19:R26),SUM(R19:R26)&amp;"误差"&amp;ROUND(SUM(R19:R26)-$D$3,2))</f>
        <v>2992.3599999999997</v>
      </c>
      <c r="S27" s="2516">
        <f>IF(SUM(S19:S26)=$E$3,SUM(S19:S26),SUM(S19:S26)&amp;"误差"&amp;ROUND(SUM(S19:S26)-E3,2))</f>
        <v>11376.31</v>
      </c>
    </row>
    <row r="28" spans="1:19" ht="14.25">
      <c r="A28" s="33"/>
      <c r="B28" s="26" t="s">
        <v>869</v>
      </c>
      <c r="C28" s="5" t="s">
        <v>870</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869</v>
      </c>
      <c r="C29" s="13" t="s">
        <v>2773</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868</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4"/>
      <c r="B31" s="2555"/>
      <c r="C31" s="2556" t="s">
        <v>871</v>
      </c>
      <c r="D31" s="1195">
        <f>D27+D30</f>
        <v>2992.3599999999997</v>
      </c>
      <c r="E31" s="1195">
        <f>E27+E30</f>
        <v>11376.31</v>
      </c>
      <c r="F31" s="1196">
        <f>F27+F30</f>
        <v>11376.31</v>
      </c>
      <c r="G31" s="1197">
        <f>G27+G30</f>
        <v>0</v>
      </c>
      <c r="H31" s="2253"/>
      <c r="I31" s="2253"/>
      <c r="J31" s="2253"/>
      <c r="K31" s="2253"/>
      <c r="L31" s="2253"/>
      <c r="M31" s="2253"/>
      <c r="N31" s="2253"/>
      <c r="O31" s="2253"/>
      <c r="P31" s="2253"/>
    </row>
    <row r="32" spans="1:19" ht="14.25">
      <c r="A32" s="1188"/>
      <c r="B32" s="1188" t="s">
        <v>3115</v>
      </c>
      <c r="C32" s="1188"/>
      <c r="D32" s="1188"/>
      <c r="E32" s="2554">
        <f>SUMIF(C19:C26,"*住宅*",E19:E26)</f>
        <v>0</v>
      </c>
      <c r="F32" s="1188"/>
      <c r="G32" s="1188"/>
      <c r="H32" s="2253"/>
      <c r="I32" s="2253"/>
      <c r="J32" s="2253"/>
      <c r="K32" s="2253"/>
      <c r="L32" s="2253"/>
      <c r="M32" s="2253"/>
      <c r="N32" s="2253"/>
      <c r="O32" s="2253"/>
      <c r="P32" s="2253"/>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Z8" sqref="Z8"/>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6"/>
    <col min="41" max="41" width="11.625" style="2266" customWidth="1"/>
    <col min="42" max="42" width="9.75" style="2266" customWidth="1"/>
    <col min="43" max="67" width="13.75" style="2266"/>
    <col min="68" max="16384" width="13.75" style="1200"/>
  </cols>
  <sheetData>
    <row r="1" spans="1:67" ht="19.5" thickBot="1">
      <c r="A1" s="44" t="s">
        <v>902</v>
      </c>
      <c r="B1" s="1199"/>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2" customFormat="1" ht="15" thickBot="1">
      <c r="A2" s="45" t="s">
        <v>903</v>
      </c>
      <c r="B2" s="2545">
        <f>项目基本情况!D3</f>
        <v>42930</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2" customFormat="1" ht="14.25" thickBot="1">
      <c r="A3" s="1203"/>
      <c r="B3" s="1201"/>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2" customFormat="1" ht="14.25" thickBot="1">
      <c r="A4" s="46" t="s">
        <v>904</v>
      </c>
      <c r="B4" s="280"/>
      <c r="C4" s="281"/>
      <c r="D4" s="1204"/>
      <c r="E4" s="281" t="s">
        <v>765</v>
      </c>
      <c r="F4" s="281"/>
      <c r="G4" s="281"/>
      <c r="H4" s="281"/>
      <c r="I4" s="281"/>
      <c r="J4" s="282"/>
      <c r="K4" s="1205"/>
      <c r="L4" s="1206"/>
      <c r="M4" s="281"/>
      <c r="N4" s="281" t="s">
        <v>766</v>
      </c>
      <c r="O4" s="281"/>
      <c r="P4" s="281"/>
      <c r="Q4" s="281"/>
      <c r="R4" s="281"/>
      <c r="S4" s="282"/>
      <c r="T4" s="1207" t="str">
        <f>'数据-汇总表'!I17</f>
        <v>按面积比例</v>
      </c>
      <c r="U4" s="280" t="s">
        <v>905</v>
      </c>
      <c r="V4" s="281"/>
      <c r="W4" s="281"/>
      <c r="X4" s="281"/>
      <c r="Y4" s="282"/>
      <c r="Z4" s="34" t="s">
        <v>906</v>
      </c>
      <c r="AA4" s="34"/>
      <c r="AB4" s="34"/>
      <c r="AC4" s="34"/>
      <c r="AD4" s="34"/>
      <c r="AE4" s="29" t="s">
        <v>907</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9" customFormat="1" ht="54">
      <c r="A5" s="47" t="s">
        <v>2775</v>
      </c>
      <c r="B5" s="48" t="s">
        <v>908</v>
      </c>
      <c r="C5" s="49" t="s">
        <v>909</v>
      </c>
      <c r="D5" s="50" t="s">
        <v>910</v>
      </c>
      <c r="E5" s="51" t="s">
        <v>911</v>
      </c>
      <c r="F5" s="52" t="s">
        <v>912</v>
      </c>
      <c r="G5" s="51" t="s">
        <v>913</v>
      </c>
      <c r="H5" s="51" t="s">
        <v>914</v>
      </c>
      <c r="I5" s="51" t="s">
        <v>915</v>
      </c>
      <c r="J5" s="53" t="s">
        <v>916</v>
      </c>
      <c r="K5" s="54" t="s">
        <v>917</v>
      </c>
      <c r="L5" s="55" t="s">
        <v>918</v>
      </c>
      <c r="M5" s="56" t="s">
        <v>919</v>
      </c>
      <c r="N5" s="1208" t="s">
        <v>85</v>
      </c>
      <c r="O5" s="55" t="s">
        <v>920</v>
      </c>
      <c r="P5" s="57" t="s">
        <v>921</v>
      </c>
      <c r="Q5" s="58" t="s">
        <v>922</v>
      </c>
      <c r="R5" s="278" t="s">
        <v>923</v>
      </c>
      <c r="S5" s="59" t="s">
        <v>3093</v>
      </c>
      <c r="T5" s="279" t="s">
        <v>924</v>
      </c>
      <c r="U5" s="2546" t="s">
        <v>2781</v>
      </c>
      <c r="V5" s="51" t="s">
        <v>925</v>
      </c>
      <c r="W5" s="2547" t="s">
        <v>2782</v>
      </c>
      <c r="X5" s="62"/>
      <c r="Y5" s="60" t="s">
        <v>926</v>
      </c>
      <c r="Z5" s="61" t="s">
        <v>927</v>
      </c>
      <c r="AA5" s="51" t="s">
        <v>925</v>
      </c>
      <c r="AB5" s="2547" t="s">
        <v>2782</v>
      </c>
      <c r="AC5" s="62"/>
      <c r="AD5" s="62" t="s">
        <v>926</v>
      </c>
      <c r="AE5" s="14" t="s">
        <v>767</v>
      </c>
      <c r="AF5" s="51" t="s">
        <v>928</v>
      </c>
      <c r="AG5" s="60" t="s">
        <v>929</v>
      </c>
      <c r="AH5" s="14" t="s">
        <v>2786</v>
      </c>
      <c r="AI5" s="61" t="s">
        <v>2697</v>
      </c>
      <c r="AJ5" s="61" t="s">
        <v>930</v>
      </c>
      <c r="AK5" s="2547" t="s">
        <v>2783</v>
      </c>
      <c r="AL5" s="2547" t="s">
        <v>2784</v>
      </c>
      <c r="AM5" s="366" t="s">
        <v>2785</v>
      </c>
      <c r="AN5" s="2607" t="s">
        <v>2838</v>
      </c>
      <c r="AO5" s="2036" t="s">
        <v>3084</v>
      </c>
      <c r="AP5" s="2931" t="s">
        <v>3094</v>
      </c>
      <c r="AQ5" s="2932" t="s">
        <v>3207</v>
      </c>
      <c r="AR5" s="2932" t="s">
        <v>3208</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2" customFormat="1" ht="14.25">
      <c r="A6" s="2544" t="str">
        <f>'数据-汇总表'!C19</f>
        <v>办公</v>
      </c>
      <c r="B6" s="2522" t="str">
        <f>IF(A6=0,"","经营性")</f>
        <v>经营性</v>
      </c>
      <c r="C6" s="39" t="s">
        <v>43</v>
      </c>
      <c r="D6" s="2080">
        <f>SUMIF(项目基本情况!D$12:I$12,C6,项目基本情况!D$14:I$14)</f>
        <v>40</v>
      </c>
      <c r="E6" s="2074">
        <f>IF(B6="","",SUMIF(项目基本情况!D$12:I$12,C6,项目基本情况!D$13:I$13))</f>
        <v>53948</v>
      </c>
      <c r="F6" s="368">
        <f>SUMIF(项目基本情况!D$12:I$12,C6,项目基本情况!D$15:I$15)</f>
        <v>30.18</v>
      </c>
      <c r="G6" s="369">
        <f>IF(ISERROR(ROUND(POWER(1+H6,D6-F6)*(POWER(1+H6,F6)-1)/(POWER(1+H6,D6)-1),3)),0,ROUND(POWER(1+H6,D6-F6)*(POWER(1+H6,F6)-1)/(POWER(1+H6,D6)-1),3))</f>
        <v>0.90600000000000003</v>
      </c>
      <c r="H6" s="1503">
        <f>基准地价修正!G20</f>
        <v>5.3999999999999999E-2</v>
      </c>
      <c r="I6" s="1503">
        <v>5.5E-2</v>
      </c>
      <c r="J6" s="370">
        <v>8.5000000000000006E-2</v>
      </c>
      <c r="K6" s="2525">
        <f>SUMIF('数据-汇总表'!C$19:C$33,A6,'数据-汇总表'!E$19:E$33)</f>
        <v>3097.6099999999997</v>
      </c>
      <c r="L6" s="1504">
        <v>3500</v>
      </c>
      <c r="M6" s="371">
        <f t="shared" ref="M6:M14" si="0">ROUND(K6*L6/10000,0)</f>
        <v>1084</v>
      </c>
      <c r="N6" s="3335">
        <f>ROUND(1-(2017-2010)/60,2)</f>
        <v>0.88</v>
      </c>
      <c r="O6" s="371" t="str">
        <f>IF($N$5="成新度","——",ROUND(M6*N6,0))</f>
        <v>——</v>
      </c>
      <c r="P6" s="372" t="str">
        <f>IF($N$5="成新度","——",M6-O6)</f>
        <v>——</v>
      </c>
      <c r="Q6" s="3336">
        <v>0.15</v>
      </c>
      <c r="R6" s="373">
        <f ca="1">SUMIF('数据-汇总表'!C$19:C$33,A6,'数据-汇总表'!R$19:R$27)</f>
        <v>814.78</v>
      </c>
      <c r="S6" s="349">
        <f>IF('数据-汇总表'!$I$17="按面积比例",SUMIF('数据-汇总表'!C$19:C$33,A6,'数据-汇总表'!K$19:K$33),SUMIF('数据-汇总表'!C$19:C$33,A6,'数据-汇总表'!N$19:N$33))</f>
        <v>0</v>
      </c>
      <c r="T6" s="2930">
        <f>ROUND($L$14*S6/10000,0)</f>
        <v>0</v>
      </c>
      <c r="U6" s="374">
        <v>8</v>
      </c>
      <c r="V6" s="375">
        <v>0.03</v>
      </c>
      <c r="W6" s="375">
        <v>0</v>
      </c>
      <c r="X6" s="2535"/>
      <c r="Y6" s="376">
        <f>N6</f>
        <v>0.88</v>
      </c>
      <c r="Z6" s="377">
        <v>11</v>
      </c>
      <c r="AA6" s="370">
        <v>0.03</v>
      </c>
      <c r="AB6" s="370">
        <v>0.05</v>
      </c>
      <c r="AC6" s="2535"/>
      <c r="AD6" s="3335">
        <f>ROUND(1-(2027-2010)/60,2)</f>
        <v>0.72</v>
      </c>
      <c r="AE6" s="2536">
        <f ca="1">IF(AN6="",0,SUMIF(INDIRECT("'"&amp;AN6&amp;"'"&amp;"!E:E"),$AE$5,INDIRECT("'"&amp;AN6&amp;"'"&amp;"!F:F")))</f>
        <v>30.18</v>
      </c>
      <c r="AF6" s="3337">
        <v>14.64</v>
      </c>
      <c r="AG6" s="483">
        <f ca="1">IF(AF6="",0,AE6-AF6)</f>
        <v>15.54</v>
      </c>
      <c r="AH6" s="379"/>
      <c r="AI6" s="381">
        <v>365</v>
      </c>
      <c r="AJ6" s="382"/>
      <c r="AK6" s="383">
        <v>1.4999999999999999E-2</v>
      </c>
      <c r="AL6" s="384">
        <v>3.0000000000000001E-3</v>
      </c>
      <c r="AM6" s="385">
        <v>0.03</v>
      </c>
      <c r="AN6" s="2608" t="s">
        <v>3381</v>
      </c>
      <c r="AO6" s="350">
        <f ca="1">SUMIF(INDIRECT("'"&amp;AN6&amp;"'"&amp;"!A:A"),"总价",INDIRECT("'"&amp;AN6&amp;"'"&amp;"!B:B"))</f>
        <v>15285</v>
      </c>
      <c r="AP6" s="2933">
        <f>IF(C6="住宅",K6*L6,0)</f>
        <v>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2" customFormat="1" ht="14.25">
      <c r="A7" s="2544" t="str">
        <f>'数据-汇总表'!C20</f>
        <v>商业</v>
      </c>
      <c r="B7" s="2522" t="str">
        <f t="shared" ref="B7:B13" si="1">IF(A7=0,"","经营性")</f>
        <v>经营性</v>
      </c>
      <c r="C7" s="39" t="s">
        <v>43</v>
      </c>
      <c r="D7" s="2080">
        <f>SUMIF(项目基本情况!D$12:I$12,C7,项目基本情况!D$14:I$14)</f>
        <v>40</v>
      </c>
      <c r="E7" s="2074">
        <f>IF(B7="","",SUMIF(项目基本情况!D$12:I$12,C7,项目基本情况!D$13:I$13))</f>
        <v>53948</v>
      </c>
      <c r="F7" s="368">
        <f>SUMIF(项目基本情况!D$12:I$12,C7,项目基本情况!D$15:I$15)</f>
        <v>30.18</v>
      </c>
      <c r="G7" s="369">
        <f t="shared" ref="G7:G11" si="2">IF(ISERROR(ROUND(POWER(1+H7,D7-F7)*(POWER(1+H7,F7)-1)/(POWER(1+H7,D7)-1),3)),0,ROUND(POWER(1+H7,D7-F7)*(POWER(1+H7,F7)-1)/(POWER(1+H7,D7)-1),3))</f>
        <v>0.90600000000000003</v>
      </c>
      <c r="H7" s="1503">
        <f>H6</f>
        <v>5.3999999999999999E-2</v>
      </c>
      <c r="I7" s="1503">
        <f>I6</f>
        <v>5.5E-2</v>
      </c>
      <c r="J7" s="370">
        <v>8.5000000000000006E-2</v>
      </c>
      <c r="K7" s="2525">
        <f>SUMIF('数据-汇总表'!C$19:C$33,A7,'数据-汇总表'!E$19:E$33)</f>
        <v>3185.37</v>
      </c>
      <c r="L7" s="1504">
        <v>3500</v>
      </c>
      <c r="M7" s="371">
        <f t="shared" si="0"/>
        <v>1115</v>
      </c>
      <c r="N7" s="3335">
        <f>N6</f>
        <v>0.88</v>
      </c>
      <c r="O7" s="371" t="str">
        <f t="shared" ref="O7:O14" si="3">IF($N$5="成新度","——",ROUND(M7*N7,0))</f>
        <v>——</v>
      </c>
      <c r="P7" s="372" t="str">
        <f t="shared" ref="P7:P14" si="4">IF($N$5="成新度","——",M7-O7)</f>
        <v>——</v>
      </c>
      <c r="Q7" s="3336">
        <v>0.2</v>
      </c>
      <c r="R7" s="373">
        <f ca="1">SUMIF('数据-汇总表'!C$19:C$33,A7,'数据-汇总表'!R$19:R$27)</f>
        <v>837.86</v>
      </c>
      <c r="S7" s="349">
        <f>IF('数据-汇总表'!$I$17="按面积比例",SUMIF('数据-汇总表'!C$19:C$33,A7,'数据-汇总表'!K$19:K$33),SUMIF('数据-汇总表'!C$19:C$33,A7,'数据-汇总表'!N$19:N$33))</f>
        <v>0</v>
      </c>
      <c r="T7" s="2930">
        <f t="shared" ref="T7:T13" si="5">ROUND($L$14*S7/10000,0)</f>
        <v>0</v>
      </c>
      <c r="U7" s="3333">
        <v>8.8000000000000007</v>
      </c>
      <c r="V7" s="375">
        <v>0.03</v>
      </c>
      <c r="W7" s="375">
        <v>0</v>
      </c>
      <c r="X7" s="2535"/>
      <c r="Y7" s="376">
        <f t="shared" ref="Y7:Y8" si="6">N7</f>
        <v>0.88</v>
      </c>
      <c r="Z7" s="377">
        <v>12</v>
      </c>
      <c r="AA7" s="370">
        <v>0.03</v>
      </c>
      <c r="AB7" s="370">
        <v>0.05</v>
      </c>
      <c r="AC7" s="2535"/>
      <c r="AD7" s="3335">
        <f>ROUND(1-(2026-2010)/60,2)</f>
        <v>0.73</v>
      </c>
      <c r="AE7" s="2536">
        <f t="shared" ref="AE7:AE13" ca="1" si="7">IF(AN7="",0,SUMIF(INDIRECT("'"&amp;AN7&amp;"'"&amp;"!E:E"),$AE$5,INDIRECT("'"&amp;AN7&amp;"'"&amp;"!F:F")))</f>
        <v>30.18</v>
      </c>
      <c r="AF7" s="3337">
        <v>9.7200000000000006</v>
      </c>
      <c r="AG7" s="483">
        <f t="shared" ref="AG7:AG13" ca="1" si="8">IF(AF7="",0,AE7-AF7)</f>
        <v>20.46</v>
      </c>
      <c r="AH7" s="379"/>
      <c r="AI7" s="381">
        <v>365</v>
      </c>
      <c r="AJ7" s="382"/>
      <c r="AK7" s="383">
        <v>1.4999999999999999E-2</v>
      </c>
      <c r="AL7" s="384">
        <v>3.0000000000000001E-3</v>
      </c>
      <c r="AM7" s="385">
        <v>0.03</v>
      </c>
      <c r="AN7" s="2608" t="s">
        <v>3383</v>
      </c>
      <c r="AO7" s="350">
        <f t="shared" ref="AO7:AO13" ca="1" si="9">SUMIF(INDIRECT("'"&amp;AN7&amp;"'"&amp;"!A:A"),"总价",INDIRECT("'"&amp;AN7&amp;"'"&amp;"!B:B"))</f>
        <v>18246</v>
      </c>
      <c r="AP7" s="2933">
        <f t="shared" ref="AP7:AP13" si="10">IF(C7="住宅",K7*L7,0)</f>
        <v>0</v>
      </c>
      <c r="AQ7" s="350">
        <f t="shared" ref="AQ7:AQ13" si="11">ROUND($L$14*$N$14*S7/10000,0)</f>
        <v>0</v>
      </c>
      <c r="AR7" s="350">
        <f t="shared" ref="AR7:AR13" si="12">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2" customFormat="1" ht="14.25">
      <c r="A8" s="2544" t="str">
        <f>'数据-汇总表'!C21</f>
        <v>酒店</v>
      </c>
      <c r="B8" s="2522" t="str">
        <f t="shared" si="1"/>
        <v>经营性</v>
      </c>
      <c r="C8" s="39" t="s">
        <v>43</v>
      </c>
      <c r="D8" s="2080">
        <f>SUMIF(项目基本情况!D$12:I$12,C8,项目基本情况!D$14:I$14)</f>
        <v>40</v>
      </c>
      <c r="E8" s="2074">
        <f>IF(B8="","",SUMIF(项目基本情况!D$12:I$12,C8,项目基本情况!D$13:I$13))</f>
        <v>53948</v>
      </c>
      <c r="F8" s="368">
        <f>SUMIF(项目基本情况!D$12:I$12,C8,项目基本情况!D$15:I$15)</f>
        <v>30.18</v>
      </c>
      <c r="G8" s="369">
        <f t="shared" si="2"/>
        <v>0.90600000000000003</v>
      </c>
      <c r="H8" s="1503">
        <f>H7</f>
        <v>5.3999999999999999E-2</v>
      </c>
      <c r="I8" s="1503">
        <f>I7</f>
        <v>5.5E-2</v>
      </c>
      <c r="J8" s="370">
        <v>8.5000000000000006E-2</v>
      </c>
      <c r="K8" s="2525">
        <f>SUMIF('数据-汇总表'!C$19:C$33,A8,'数据-汇总表'!E$19:E$33)</f>
        <v>5093.33</v>
      </c>
      <c r="L8" s="1504">
        <v>5000</v>
      </c>
      <c r="M8" s="371">
        <f>ROUND(K8*L8/10000,0)</f>
        <v>2547</v>
      </c>
      <c r="N8" s="3335">
        <f>N7</f>
        <v>0.88</v>
      </c>
      <c r="O8" s="371" t="str">
        <f t="shared" si="3"/>
        <v>——</v>
      </c>
      <c r="P8" s="372" t="str">
        <f t="shared" si="4"/>
        <v>——</v>
      </c>
      <c r="Q8" s="3336">
        <v>0.15</v>
      </c>
      <c r="R8" s="373">
        <f ca="1">SUMIF('数据-汇总表'!C$19:C$33,A8,'数据-汇总表'!R$19:R$27)</f>
        <v>1339.72</v>
      </c>
      <c r="S8" s="349">
        <f>IF('数据-汇总表'!$I$17="按面积比例",SUMIF('数据-汇总表'!C$19:C$33,A8,'数据-汇总表'!K$19:K$33),SUMIF('数据-汇总表'!C$19:C$33,A8,'数据-汇总表'!N$19:N$33))</f>
        <v>0</v>
      </c>
      <c r="T8" s="2930">
        <f t="shared" si="5"/>
        <v>0</v>
      </c>
      <c r="U8" s="1505">
        <v>5.5</v>
      </c>
      <c r="V8" s="1506">
        <v>0.02</v>
      </c>
      <c r="W8" s="375">
        <v>0</v>
      </c>
      <c r="X8" s="2535"/>
      <c r="Y8" s="376">
        <f t="shared" si="6"/>
        <v>0.88</v>
      </c>
      <c r="Z8" s="377">
        <v>9</v>
      </c>
      <c r="AA8" s="370">
        <v>0.03</v>
      </c>
      <c r="AB8" s="370">
        <v>0.2</v>
      </c>
      <c r="AC8" s="2535"/>
      <c r="AD8" s="3335">
        <f>ROUND(1-(2018-2010)/60,2)</f>
        <v>0.87</v>
      </c>
      <c r="AE8" s="2536">
        <f t="shared" ca="1" si="7"/>
        <v>30.18</v>
      </c>
      <c r="AF8" s="3337">
        <v>0.46</v>
      </c>
      <c r="AG8" s="483">
        <f t="shared" ca="1" si="8"/>
        <v>29.72</v>
      </c>
      <c r="AH8" s="1507"/>
      <c r="AI8" s="381">
        <v>365</v>
      </c>
      <c r="AJ8" s="382"/>
      <c r="AK8" s="383">
        <v>1.4999999999999999E-2</v>
      </c>
      <c r="AL8" s="384">
        <v>3.0000000000000001E-3</v>
      </c>
      <c r="AM8" s="385">
        <v>0.03</v>
      </c>
      <c r="AN8" s="2608" t="s">
        <v>3445</v>
      </c>
      <c r="AO8" s="350">
        <f t="shared" ca="1" si="9"/>
        <v>22937</v>
      </c>
      <c r="AP8" s="2933">
        <f t="shared" si="10"/>
        <v>0</v>
      </c>
      <c r="AQ8" s="350">
        <f t="shared" si="11"/>
        <v>0</v>
      </c>
      <c r="AR8" s="350">
        <f t="shared" si="12"/>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2" customFormat="1" ht="15">
      <c r="A9" s="2544">
        <f>'数据-汇总表'!C22</f>
        <v>0</v>
      </c>
      <c r="B9" s="2522" t="str">
        <f t="shared" si="1"/>
        <v/>
      </c>
      <c r="C9" s="39" t="s">
        <v>3396</v>
      </c>
      <c r="D9" s="2080">
        <f>SUMIF(项目基本情况!D$12:I$12,C9,项目基本情况!D$14:I$14)</f>
        <v>0</v>
      </c>
      <c r="E9" s="2074" t="str">
        <f>IF(B9="","",SUMIF(项目基本情况!D$12:I$12,C9,项目基本情况!D$13:I$13))</f>
        <v/>
      </c>
      <c r="F9" s="368">
        <f>SUMIF(项目基本情况!D$12:I$12,C9,项目基本情况!D$15:I$15)</f>
        <v>0</v>
      </c>
      <c r="G9" s="369">
        <f t="shared" si="2"/>
        <v>0</v>
      </c>
      <c r="H9" s="370"/>
      <c r="I9" s="370"/>
      <c r="J9" s="370"/>
      <c r="K9" s="2525">
        <f>SUMIF('数据-汇总表'!C$19:C$33,A9,'数据-汇总表'!E$19:E$33)</f>
        <v>0</v>
      </c>
      <c r="L9" s="1504"/>
      <c r="M9" s="371">
        <f t="shared" si="0"/>
        <v>0</v>
      </c>
      <c r="N9" s="150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0">
        <f t="shared" si="5"/>
        <v>0</v>
      </c>
      <c r="U9" s="3332"/>
      <c r="V9" s="375"/>
      <c r="W9" s="375"/>
      <c r="X9" s="2535"/>
      <c r="Y9" s="376"/>
      <c r="Z9" s="377"/>
      <c r="AA9" s="370"/>
      <c r="AB9" s="370"/>
      <c r="AC9" s="2535"/>
      <c r="AD9" s="378"/>
      <c r="AE9" s="2536" t="e">
        <f t="shared" ca="1" si="7"/>
        <v>#REF!</v>
      </c>
      <c r="AF9" s="358"/>
      <c r="AG9" s="483">
        <f t="shared" si="8"/>
        <v>0</v>
      </c>
      <c r="AH9" s="379"/>
      <c r="AI9" s="381">
        <v>365</v>
      </c>
      <c r="AJ9" s="382"/>
      <c r="AK9" s="383"/>
      <c r="AL9" s="384"/>
      <c r="AM9" s="385"/>
      <c r="AN9" s="2608" t="s">
        <v>3451</v>
      </c>
      <c r="AO9" s="350" t="e">
        <f t="shared" ca="1" si="9"/>
        <v>#REF!</v>
      </c>
      <c r="AP9" s="2933">
        <f t="shared" si="10"/>
        <v>0</v>
      </c>
      <c r="AQ9" s="350">
        <f t="shared" si="11"/>
        <v>0</v>
      </c>
      <c r="AR9" s="350">
        <f t="shared" si="12"/>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2" customFormat="1" ht="14.25">
      <c r="A10" s="2544">
        <f>'数据-汇总表'!C23</f>
        <v>0</v>
      </c>
      <c r="B10" s="2522" t="str">
        <f t="shared" si="1"/>
        <v/>
      </c>
      <c r="C10" s="39"/>
      <c r="D10" s="2080">
        <f>SUMIF(项目基本情况!D$12:I$12,C10,项目基本情况!D$14:I$14)</f>
        <v>0</v>
      </c>
      <c r="E10" s="2074" t="str">
        <f>IF(B10="","",SUMIF(项目基本情况!D$12:I$12,C10,项目基本情况!D$13:I$13))</f>
        <v/>
      </c>
      <c r="F10" s="368">
        <f>SUMIF(项目基本情况!D$12:I$12,C10,项目基本情况!D$15:I$15)</f>
        <v>0</v>
      </c>
      <c r="G10" s="369">
        <f t="shared" si="2"/>
        <v>0</v>
      </c>
      <c r="H10" s="370"/>
      <c r="I10" s="370"/>
      <c r="J10" s="370"/>
      <c r="K10" s="2525">
        <f>SUMIF('数据-汇总表'!C$19:C$33,A10,'数据-汇总表'!E$19:E$33)</f>
        <v>0</v>
      </c>
      <c r="L10" s="1504"/>
      <c r="M10" s="371">
        <f t="shared" si="0"/>
        <v>0</v>
      </c>
      <c r="N10" s="150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0">
        <f t="shared" si="5"/>
        <v>0</v>
      </c>
      <c r="U10" s="374"/>
      <c r="V10" s="375"/>
      <c r="W10" s="375"/>
      <c r="X10" s="2535"/>
      <c r="Y10" s="376"/>
      <c r="Z10" s="377"/>
      <c r="AA10" s="370"/>
      <c r="AB10" s="370"/>
      <c r="AC10" s="2535"/>
      <c r="AD10" s="378"/>
      <c r="AE10" s="2536">
        <f t="shared" ca="1" si="7"/>
        <v>0</v>
      </c>
      <c r="AF10" s="358"/>
      <c r="AG10" s="483">
        <f t="shared" si="8"/>
        <v>0</v>
      </c>
      <c r="AH10" s="379"/>
      <c r="AI10" s="381"/>
      <c r="AJ10" s="382"/>
      <c r="AK10" s="383"/>
      <c r="AL10" s="384"/>
      <c r="AM10" s="385"/>
      <c r="AN10" s="2608"/>
      <c r="AO10" s="350" t="e">
        <f t="shared" ca="1" si="9"/>
        <v>#REF!</v>
      </c>
      <c r="AP10" s="2933">
        <f t="shared" si="10"/>
        <v>0</v>
      </c>
      <c r="AQ10" s="350">
        <f t="shared" si="11"/>
        <v>0</v>
      </c>
      <c r="AR10" s="350">
        <f t="shared" si="12"/>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2" customFormat="1" ht="14.25">
      <c r="A11" s="2544">
        <f>'数据-汇总表'!C24</f>
        <v>0</v>
      </c>
      <c r="B11" s="2522" t="str">
        <f t="shared" si="1"/>
        <v/>
      </c>
      <c r="C11" s="39"/>
      <c r="D11" s="2080">
        <f>SUMIF(项目基本情况!D$12:I$12,C11,项目基本情况!D$14:I$14)</f>
        <v>0</v>
      </c>
      <c r="E11" s="2074" t="str">
        <f>IF(B11="","",SUMIF(项目基本情况!D$12:I$12,C11,项目基本情况!D$13:I$13))</f>
        <v/>
      </c>
      <c r="F11" s="368">
        <f>SUMIF(项目基本情况!D$12:I$12,C11,项目基本情况!D$15:I$15)</f>
        <v>0</v>
      </c>
      <c r="G11" s="369">
        <f t="shared" si="2"/>
        <v>0</v>
      </c>
      <c r="H11" s="370"/>
      <c r="I11" s="370"/>
      <c r="J11" s="370"/>
      <c r="K11" s="252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c r="V11" s="370"/>
      <c r="W11" s="370"/>
      <c r="X11" s="2535"/>
      <c r="Y11" s="376"/>
      <c r="Z11" s="389"/>
      <c r="AA11" s="370"/>
      <c r="AB11" s="370"/>
      <c r="AC11" s="2535"/>
      <c r="AD11" s="378"/>
      <c r="AE11" s="2536">
        <f t="shared" ca="1" si="7"/>
        <v>0</v>
      </c>
      <c r="AF11" s="358"/>
      <c r="AG11" s="483">
        <f t="shared" si="8"/>
        <v>0</v>
      </c>
      <c r="AH11" s="379"/>
      <c r="AI11" s="381"/>
      <c r="AJ11" s="382"/>
      <c r="AK11" s="390"/>
      <c r="AL11" s="391"/>
      <c r="AM11" s="392"/>
      <c r="AN11" s="2608"/>
      <c r="AO11" s="350" t="e">
        <f t="shared" ca="1" si="9"/>
        <v>#REF!</v>
      </c>
      <c r="AP11" s="2933">
        <f t="shared" si="10"/>
        <v>0</v>
      </c>
      <c r="AQ11" s="350">
        <f t="shared" si="11"/>
        <v>0</v>
      </c>
      <c r="AR11" s="350">
        <f t="shared" si="12"/>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2" customFormat="1" ht="14.25">
      <c r="A12" s="2544">
        <f>'数据-汇总表'!C25</f>
        <v>0</v>
      </c>
      <c r="B12" s="2522" t="str">
        <f t="shared" si="1"/>
        <v/>
      </c>
      <c r="C12" s="39"/>
      <c r="D12" s="2080">
        <f>SUMIF(项目基本情况!D$12:I$12,C12,项目基本情况!D$14:I$14)</f>
        <v>0</v>
      </c>
      <c r="E12" s="207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7"/>
        <v>0</v>
      </c>
      <c r="AF12" s="358"/>
      <c r="AG12" s="483">
        <f t="shared" si="8"/>
        <v>0</v>
      </c>
      <c r="AH12" s="379"/>
      <c r="AI12" s="381"/>
      <c r="AJ12" s="382"/>
      <c r="AK12" s="390"/>
      <c r="AL12" s="391"/>
      <c r="AM12" s="392"/>
      <c r="AN12" s="2608"/>
      <c r="AO12" s="350" t="e">
        <f t="shared" ca="1" si="9"/>
        <v>#REF!</v>
      </c>
      <c r="AP12" s="2933">
        <f t="shared" si="10"/>
        <v>0</v>
      </c>
      <c r="AQ12" s="350">
        <f t="shared" si="11"/>
        <v>0</v>
      </c>
      <c r="AR12" s="350">
        <f t="shared" si="12"/>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2" customFormat="1" ht="14.25">
      <c r="A13" s="2544">
        <f>'数据-汇总表'!C26</f>
        <v>0</v>
      </c>
      <c r="B13" s="2522" t="str">
        <f t="shared" si="1"/>
        <v/>
      </c>
      <c r="C13" s="39"/>
      <c r="D13" s="2080">
        <f>SUMIF(项目基本情况!D$12:I$12,C13,项目基本情况!D$14:I$14)</f>
        <v>0</v>
      </c>
      <c r="E13" s="207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7"/>
        <v>0</v>
      </c>
      <c r="AF13" s="358"/>
      <c r="AG13" s="483">
        <f t="shared" si="8"/>
        <v>0</v>
      </c>
      <c r="AH13" s="379"/>
      <c r="AI13" s="381"/>
      <c r="AJ13" s="382"/>
      <c r="AK13" s="383"/>
      <c r="AL13" s="384"/>
      <c r="AM13" s="385"/>
      <c r="AN13" s="2608"/>
      <c r="AO13" s="350" t="e">
        <f t="shared" ca="1" si="9"/>
        <v>#REF!</v>
      </c>
      <c r="AP13" s="2933">
        <f t="shared" si="10"/>
        <v>0</v>
      </c>
      <c r="AQ13" s="350">
        <f t="shared" si="11"/>
        <v>0</v>
      </c>
      <c r="AR13" s="350">
        <f t="shared" si="12"/>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2" customFormat="1" ht="14.25">
      <c r="A14" s="2519" t="s">
        <v>764</v>
      </c>
      <c r="B14" s="2522" t="s">
        <v>763</v>
      </c>
      <c r="C14" s="2523" t="s">
        <v>764</v>
      </c>
      <c r="D14" s="2080"/>
      <c r="E14" s="2074"/>
      <c r="F14" s="368"/>
      <c r="G14" s="369"/>
      <c r="H14" s="2524"/>
      <c r="I14" s="2524"/>
      <c r="J14" s="2524"/>
      <c r="K14" s="2525">
        <f>SUMIF('数据-汇总表'!C$19:C$33,A14,'数据-汇总表'!E$19:E$33)</f>
        <v>0</v>
      </c>
      <c r="L14" s="387">
        <v>4000</v>
      </c>
      <c r="M14" s="371">
        <f t="shared" si="0"/>
        <v>0</v>
      </c>
      <c r="N14" s="3335">
        <f>N6</f>
        <v>0.88</v>
      </c>
      <c r="O14" s="371" t="str">
        <f t="shared" si="3"/>
        <v>——</v>
      </c>
      <c r="P14" s="372" t="str">
        <f t="shared" si="4"/>
        <v>——</v>
      </c>
      <c r="Q14" s="2528"/>
      <c r="R14" s="373"/>
      <c r="S14" s="349"/>
      <c r="T14" s="2930"/>
      <c r="U14" s="1139"/>
      <c r="V14" s="2530"/>
      <c r="W14" s="2530"/>
      <c r="X14" s="2531"/>
      <c r="Y14" s="2532"/>
      <c r="Z14" s="2533"/>
      <c r="AA14" s="2534"/>
      <c r="AB14" s="2534"/>
      <c r="AC14" s="2535"/>
      <c r="AD14" s="2531"/>
      <c r="AE14" s="2536"/>
      <c r="AF14" s="350"/>
      <c r="AG14" s="483"/>
      <c r="AH14" s="2536"/>
      <c r="AI14" s="2540"/>
      <c r="AJ14" s="1328"/>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2" customFormat="1" ht="27">
      <c r="A15" s="2519" t="s">
        <v>2774</v>
      </c>
      <c r="B15" s="2522" t="s">
        <v>763</v>
      </c>
      <c r="C15" s="2523" t="s">
        <v>2471</v>
      </c>
      <c r="D15" s="2080"/>
      <c r="E15" s="2074"/>
      <c r="F15" s="368"/>
      <c r="G15" s="369"/>
      <c r="H15" s="2524"/>
      <c r="I15" s="2524"/>
      <c r="J15" s="2524"/>
      <c r="K15" s="2525">
        <f>SUMIF('数据-汇总表'!C$19:C$33,A15,'数据-汇总表'!E$19:E$33)</f>
        <v>0</v>
      </c>
      <c r="L15" s="2526"/>
      <c r="M15" s="371"/>
      <c r="N15" s="2527"/>
      <c r="O15" s="371"/>
      <c r="P15" s="372"/>
      <c r="Q15" s="2528"/>
      <c r="R15" s="373"/>
      <c r="S15" s="349"/>
      <c r="T15" s="2930"/>
      <c r="U15" s="1139"/>
      <c r="V15" s="2530"/>
      <c r="W15" s="2530"/>
      <c r="X15" s="2531"/>
      <c r="Y15" s="2532"/>
      <c r="Z15" s="2533"/>
      <c r="AA15" s="2534"/>
      <c r="AB15" s="2534"/>
      <c r="AC15" s="2535"/>
      <c r="AD15" s="2531"/>
      <c r="AE15" s="2536"/>
      <c r="AF15" s="350"/>
      <c r="AG15" s="483"/>
      <c r="AH15" s="2536"/>
      <c r="AI15" s="2540"/>
      <c r="AJ15" s="1328"/>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2" customFormat="1" ht="15.75" thickBot="1">
      <c r="A16" s="64" t="s">
        <v>4</v>
      </c>
      <c r="B16" s="65"/>
      <c r="C16" s="66"/>
      <c r="D16" s="67"/>
      <c r="E16" s="65"/>
      <c r="F16" s="393"/>
      <c r="G16" s="394">
        <f>ROUND(SUMPRODUCT(G6:G13,K6:K13)/SUMPRODUCT((G6:G13&gt;0)*(K6:K13)),3)</f>
        <v>0.90600000000000003</v>
      </c>
      <c r="H16" s="395">
        <f>ROUND(SUMPRODUCT(H6:H13,K6:K13)/SUMPRODUCT((H6:H13&gt;0)*(K6:K13)),3)</f>
        <v>5.3999999999999999E-2</v>
      </c>
      <c r="I16" s="396"/>
      <c r="J16" s="396"/>
      <c r="K16" s="397">
        <f>SUM(K6:K15)</f>
        <v>11376.31</v>
      </c>
      <c r="L16" s="398">
        <f>ROUND(M16*10000/SUM(K6:K14),0)</f>
        <v>4172</v>
      </c>
      <c r="M16" s="398">
        <f>SUM(M6:M14)</f>
        <v>4746</v>
      </c>
      <c r="N16" s="399">
        <f>ROUND(SUMPRODUCT(M6:M14,N6:N14)/M16,3)</f>
        <v>0.88</v>
      </c>
      <c r="O16" s="398">
        <f>SUM(O6:O14)</f>
        <v>0</v>
      </c>
      <c r="P16" s="398">
        <f>SUM(P6:P14)</f>
        <v>0</v>
      </c>
      <c r="Q16" s="400">
        <f>ROUND(SUMPRODUCT(Q6:Q13,K6:K13)/SUMPRODUCT((Q6:Q13&gt;0)*(K6:K13)),2)</f>
        <v>0.16</v>
      </c>
      <c r="R16" s="2529">
        <f ca="1">SUM(R6:R13)</f>
        <v>2992.3599999999997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10"/>
      <c r="B17" s="1199"/>
      <c r="C17" s="2257"/>
      <c r="D17" s="2258"/>
      <c r="E17" s="2258"/>
      <c r="F17" s="2257"/>
      <c r="G17" s="2257"/>
      <c r="H17" s="2257"/>
      <c r="I17" s="2257"/>
      <c r="J17" s="2257"/>
      <c r="K17" s="2259"/>
      <c r="L17" s="2259"/>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201"/>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2791</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931</v>
      </c>
      <c r="B20" s="409">
        <v>2</v>
      </c>
      <c r="C20" s="2260" t="s">
        <v>2792</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932</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933</v>
      </c>
      <c r="B22" s="410">
        <f>B19+B20</f>
        <v>2</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934</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935</v>
      </c>
      <c r="B24" s="411">
        <f>B20-B21</f>
        <v>0</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3"/>
      <c r="B25" s="1201"/>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936</v>
      </c>
      <c r="B26" s="72" t="s">
        <v>937</v>
      </c>
      <c r="C26" s="2263" t="s">
        <v>938</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11" customFormat="1" ht="27">
      <c r="A27" s="73" t="s">
        <v>939</v>
      </c>
      <c r="B27" s="412">
        <v>160</v>
      </c>
      <c r="C27" s="2557" t="s">
        <v>940</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11" customFormat="1" ht="27">
      <c r="A28" s="74" t="s">
        <v>941</v>
      </c>
      <c r="B28" s="415">
        <v>200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11" customFormat="1" ht="27.75" thickBot="1">
      <c r="A29" s="285" t="s">
        <v>3096</v>
      </c>
      <c r="B29" s="3309">
        <f>ROUND(B28*K16/10000,0)</f>
        <v>228</v>
      </c>
      <c r="C29" s="2557" t="s">
        <v>3097</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11" customFormat="1" ht="27">
      <c r="A30" s="284" t="s">
        <v>942</v>
      </c>
      <c r="B30" s="1140">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11" customFormat="1" ht="27">
      <c r="A31" s="74" t="s">
        <v>943</v>
      </c>
      <c r="B31" s="416">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11" customFormat="1" ht="27.75" thickBot="1">
      <c r="A32" s="76" t="s">
        <v>944</v>
      </c>
      <c r="B32" s="1141">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11" customFormat="1" ht="13.5">
      <c r="A33" s="73" t="s">
        <v>945</v>
      </c>
      <c r="B33" s="1142">
        <v>0.03</v>
      </c>
      <c r="C33" s="2559" t="s">
        <v>946</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11" customFormat="1" ht="13.5">
      <c r="A34" s="74" t="s">
        <v>947</v>
      </c>
      <c r="B34" s="417">
        <v>0</v>
      </c>
      <c r="C34" s="2559" t="s">
        <v>948</v>
      </c>
      <c r="D34" s="2261" t="s">
        <v>949</v>
      </c>
      <c r="E34" s="1199"/>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11" customFormat="1" ht="13.5">
      <c r="A35" s="74" t="s">
        <v>950</v>
      </c>
      <c r="B35" s="415">
        <v>200</v>
      </c>
      <c r="C35" s="2559" t="s">
        <v>951</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952</v>
      </c>
      <c r="B36" s="418">
        <v>1.4999999999999999E-2</v>
      </c>
      <c r="C36" s="2559" t="s">
        <v>953</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954</v>
      </c>
      <c r="B37" s="419">
        <v>0.02</v>
      </c>
      <c r="C37" s="2559" t="s">
        <v>955</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956</v>
      </c>
      <c r="B38" s="417">
        <v>0.03</v>
      </c>
      <c r="C38" s="2559" t="s">
        <v>955</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2945</v>
      </c>
      <c r="B39" s="704">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3021</v>
      </c>
      <c r="B40" s="2672">
        <f ca="1">存贷款利率!G1</f>
        <v>4.7500000000000001E-2</v>
      </c>
      <c r="C40" s="2559" t="s">
        <v>768</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957</v>
      </c>
      <c r="B41" s="420">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2" t="s">
        <v>958</v>
      </c>
      <c r="B42" s="421">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2" t="s">
        <v>959</v>
      </c>
      <c r="B43" s="422">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960</v>
      </c>
      <c r="B44" s="423">
        <v>7.0000000000000007E-2</v>
      </c>
      <c r="C44" s="2559" t="s">
        <v>769</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961</v>
      </c>
      <c r="B45" s="421">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962</v>
      </c>
      <c r="B46" s="421">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963</v>
      </c>
      <c r="B47" s="424">
        <v>0</v>
      </c>
      <c r="C47" s="2557" t="s">
        <v>964</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965</v>
      </c>
      <c r="B48" s="425">
        <v>0.03</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966</v>
      </c>
      <c r="B49" s="421">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967</v>
      </c>
      <c r="B50" s="426">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968</v>
      </c>
      <c r="B51" s="427">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969</v>
      </c>
      <c r="B52" s="428">
        <f>SUMIF(A54:A63,B53,B54:B63)</f>
        <v>12</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970</v>
      </c>
      <c r="B53" s="41" t="s">
        <v>1493</v>
      </c>
      <c r="C53" s="2265" t="s">
        <v>333</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331</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332</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327</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328</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329</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330</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9"/>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80"/>
      <c r="D64" s="2271"/>
      <c r="K64" s="2272"/>
      <c r="L64" s="2272"/>
    </row>
    <row r="65" spans="1:12" s="2270" customFormat="1">
      <c r="A65" s="1480"/>
      <c r="D65" s="2271"/>
      <c r="K65" s="2272"/>
      <c r="L65" s="2272"/>
    </row>
    <row r="66" spans="1:12" s="2270" customFormat="1">
      <c r="A66" s="1480"/>
      <c r="D66" s="2271"/>
      <c r="K66" s="2272"/>
      <c r="L66" s="2272"/>
    </row>
    <row r="67" spans="1:12" s="2270" customFormat="1">
      <c r="A67" s="1480"/>
      <c r="D67" s="2271"/>
      <c r="K67" s="2272"/>
      <c r="L67" s="2272"/>
    </row>
    <row r="68" spans="1:12" s="2270" customFormat="1">
      <c r="A68" s="1480"/>
      <c r="D68" s="2271"/>
      <c r="K68" s="2272"/>
      <c r="L68" s="2272"/>
    </row>
    <row r="69" spans="1:12" s="2270" customFormat="1">
      <c r="A69" s="1480"/>
      <c r="D69" s="2271"/>
      <c r="K69" s="2272"/>
      <c r="L69" s="2272"/>
    </row>
    <row r="70" spans="1:12" s="2270" customFormat="1">
      <c r="A70" s="1480"/>
      <c r="D70" s="2271"/>
      <c r="K70" s="2272"/>
      <c r="L70" s="2272"/>
    </row>
    <row r="71" spans="1:12" s="2270" customFormat="1">
      <c r="A71" s="1480"/>
      <c r="D71" s="2271"/>
      <c r="K71" s="2272"/>
      <c r="L71" s="2272"/>
    </row>
    <row r="72" spans="1:12" s="2270" customFormat="1">
      <c r="A72" s="1480"/>
      <c r="D72" s="2271"/>
      <c r="K72" s="2272"/>
      <c r="L72" s="2272"/>
    </row>
    <row r="73" spans="1:12" s="2270" customFormat="1">
      <c r="A73" s="1480"/>
      <c r="D73" s="2271"/>
      <c r="K73" s="2272"/>
      <c r="L73" s="2272"/>
    </row>
    <row r="74" spans="1:12" s="2270" customFormat="1">
      <c r="A74" s="1480"/>
      <c r="D74" s="2271"/>
      <c r="K74" s="2272"/>
      <c r="L74" s="2272"/>
    </row>
    <row r="75" spans="1:12" s="2270" customFormat="1">
      <c r="A75" s="1480"/>
      <c r="D75" s="2271"/>
      <c r="K75" s="2272"/>
      <c r="L75" s="2272"/>
    </row>
    <row r="76" spans="1:12" s="2270" customFormat="1">
      <c r="A76" s="1480"/>
      <c r="D76" s="2271"/>
      <c r="K76" s="2272"/>
      <c r="L76" s="2272"/>
    </row>
    <row r="77" spans="1:12" s="2270" customFormat="1">
      <c r="A77" s="1480"/>
      <c r="D77" s="2271"/>
      <c r="K77" s="2272"/>
      <c r="L77" s="2272"/>
    </row>
    <row r="78" spans="1:12" s="2270" customFormat="1">
      <c r="A78" s="1480"/>
      <c r="D78" s="2271"/>
      <c r="K78" s="2272"/>
      <c r="L78" s="2272"/>
    </row>
    <row r="79" spans="1:12" s="2270" customFormat="1">
      <c r="A79" s="1480"/>
      <c r="D79" s="2271"/>
      <c r="K79" s="2272"/>
      <c r="L79" s="2272"/>
    </row>
    <row r="80" spans="1:12" s="2270" customFormat="1">
      <c r="A80" s="1480"/>
      <c r="D80" s="2271"/>
      <c r="K80" s="2272"/>
      <c r="L80" s="2272"/>
    </row>
    <row r="81" spans="1:12" s="2270" customFormat="1">
      <c r="A81" s="1480"/>
      <c r="D81" s="2271"/>
      <c r="K81" s="2272"/>
      <c r="L81" s="2272"/>
    </row>
    <row r="82" spans="1:12" s="2270" customFormat="1">
      <c r="A82" s="1480"/>
      <c r="D82" s="2271"/>
      <c r="K82" s="2272"/>
      <c r="L82" s="2272"/>
    </row>
    <row r="83" spans="1:12" s="2270" customFormat="1">
      <c r="A83" s="1480"/>
      <c r="D83" s="2271"/>
      <c r="K83" s="2272"/>
      <c r="L83" s="2272"/>
    </row>
    <row r="84" spans="1:12" s="2270" customFormat="1">
      <c r="A84" s="1480"/>
      <c r="D84" s="2271"/>
      <c r="K84" s="2272"/>
      <c r="L84" s="2272"/>
    </row>
    <row r="85" spans="1:12" s="2270" customFormat="1">
      <c r="A85" s="1480"/>
      <c r="D85" s="2271"/>
      <c r="K85" s="2272"/>
      <c r="L85" s="2272"/>
    </row>
    <row r="86" spans="1:12" s="2270" customFormat="1">
      <c r="A86" s="1480"/>
      <c r="D86" s="2271"/>
      <c r="K86" s="2272"/>
      <c r="L86" s="2272"/>
    </row>
    <row r="87" spans="1:12" s="2270" customFormat="1">
      <c r="A87" s="1480"/>
      <c r="D87" s="2271"/>
      <c r="K87" s="2272"/>
      <c r="L87" s="2272"/>
    </row>
    <row r="88" spans="1:12" s="2270" customFormat="1">
      <c r="A88" s="1480"/>
      <c r="D88" s="2271"/>
      <c r="K88" s="2272"/>
      <c r="L88" s="2272"/>
    </row>
    <row r="89" spans="1:12" s="2270" customFormat="1">
      <c r="A89" s="1480"/>
      <c r="D89" s="2271"/>
      <c r="K89" s="2272"/>
      <c r="L89" s="2272"/>
    </row>
    <row r="90" spans="1:12" s="2270" customFormat="1">
      <c r="A90" s="1480"/>
      <c r="D90" s="2271"/>
      <c r="K90" s="2272"/>
      <c r="L90" s="2272"/>
    </row>
    <row r="91" spans="1:12" s="2270" customFormat="1">
      <c r="A91" s="1480"/>
      <c r="D91" s="2271"/>
      <c r="K91" s="2272"/>
      <c r="L91" s="2272"/>
    </row>
    <row r="92" spans="1:12" s="2270" customFormat="1">
      <c r="A92" s="1480"/>
      <c r="D92" s="2271"/>
      <c r="K92" s="2272"/>
      <c r="L92" s="2272"/>
    </row>
    <row r="93" spans="1:12" s="2270" customFormat="1">
      <c r="A93" s="1480"/>
      <c r="D93" s="2271"/>
      <c r="K93" s="2272"/>
      <c r="L93" s="2272"/>
    </row>
    <row r="94" spans="1:12" s="2270" customFormat="1">
      <c r="A94" s="1480"/>
      <c r="D94" s="2271"/>
      <c r="K94" s="2272"/>
      <c r="L94" s="2272"/>
    </row>
    <row r="95" spans="1:12" s="2270" customFormat="1">
      <c r="A95" s="1480"/>
      <c r="D95" s="2271"/>
      <c r="K95" s="2272"/>
      <c r="L95" s="2272"/>
    </row>
    <row r="96" spans="1:12" s="2270" customFormat="1">
      <c r="A96" s="1480"/>
      <c r="D96" s="2271"/>
      <c r="K96" s="2272"/>
      <c r="L96" s="2272"/>
    </row>
    <row r="97" spans="1:12" s="2270" customFormat="1">
      <c r="A97" s="1480"/>
      <c r="D97" s="2271"/>
      <c r="K97" s="2272"/>
      <c r="L97" s="2272"/>
    </row>
    <row r="98" spans="1:12" s="2270" customFormat="1">
      <c r="A98" s="1480"/>
      <c r="D98" s="2271"/>
      <c r="K98" s="2272"/>
      <c r="L98" s="2272"/>
    </row>
    <row r="99" spans="1:12" s="2270" customFormat="1">
      <c r="A99" s="1480"/>
      <c r="D99" s="2271"/>
      <c r="K99" s="2272"/>
      <c r="L99" s="2272"/>
    </row>
    <row r="100" spans="1:12" s="2270" customFormat="1">
      <c r="A100" s="1480"/>
      <c r="D100" s="2271"/>
      <c r="K100" s="2272"/>
      <c r="L100" s="2272"/>
    </row>
    <row r="101" spans="1:12" s="2270" customFormat="1">
      <c r="A101" s="1480"/>
      <c r="D101" s="2271"/>
      <c r="K101" s="2272"/>
      <c r="L101" s="2272"/>
    </row>
    <row r="102" spans="1:12" s="2270" customFormat="1">
      <c r="A102" s="1480"/>
      <c r="D102" s="2271"/>
      <c r="K102" s="2272"/>
      <c r="L102" s="2272"/>
    </row>
    <row r="103" spans="1:12" s="2270" customFormat="1">
      <c r="A103" s="1480"/>
      <c r="D103" s="2271"/>
      <c r="K103" s="2272"/>
      <c r="L103" s="2272"/>
    </row>
    <row r="104" spans="1:12" s="2270" customFormat="1">
      <c r="A104" s="1480"/>
      <c r="D104" s="2271"/>
      <c r="K104" s="2272"/>
      <c r="L104" s="2272"/>
    </row>
    <row r="105" spans="1:12" s="2270" customFormat="1">
      <c r="A105" s="1480"/>
      <c r="D105" s="2271"/>
      <c r="K105" s="2272"/>
      <c r="L105" s="2272"/>
    </row>
    <row r="106" spans="1:12" s="2270" customFormat="1">
      <c r="A106" s="1480"/>
      <c r="D106" s="2271"/>
      <c r="K106" s="2272"/>
      <c r="L106" s="2272"/>
    </row>
    <row r="107" spans="1:12" s="2270" customFormat="1">
      <c r="A107" s="1480"/>
      <c r="D107" s="2271"/>
      <c r="K107" s="2272"/>
      <c r="L107" s="2272"/>
    </row>
    <row r="108" spans="1:12" s="2270" customFormat="1">
      <c r="A108" s="1480"/>
      <c r="D108" s="2271"/>
      <c r="K108" s="2272"/>
      <c r="L108" s="2272"/>
    </row>
    <row r="109" spans="1:12" s="2270" customFormat="1">
      <c r="A109" s="1480"/>
      <c r="D109" s="2271"/>
      <c r="K109" s="2272"/>
      <c r="L109" s="2272"/>
    </row>
    <row r="110" spans="1:12" s="2270" customFormat="1">
      <c r="A110" s="1480"/>
      <c r="D110" s="2271"/>
      <c r="K110" s="2272"/>
      <c r="L110" s="2272"/>
    </row>
    <row r="111" spans="1:12" s="2270" customFormat="1">
      <c r="A111" s="1480"/>
      <c r="D111" s="2271"/>
      <c r="K111" s="2272"/>
      <c r="L111" s="2272"/>
    </row>
    <row r="112" spans="1:12" s="2270" customFormat="1">
      <c r="A112" s="1480"/>
      <c r="D112" s="2271"/>
      <c r="K112" s="2272"/>
      <c r="L112" s="2272"/>
    </row>
    <row r="113" spans="1:12" s="2270" customFormat="1">
      <c r="A113" s="1480"/>
      <c r="D113" s="2271"/>
      <c r="K113" s="2272"/>
      <c r="L113" s="2272"/>
    </row>
    <row r="114" spans="1:12" s="2270" customFormat="1">
      <c r="A114" s="1480"/>
      <c r="D114" s="2271"/>
      <c r="K114" s="2272"/>
      <c r="L114" s="2272"/>
    </row>
    <row r="115" spans="1:12" s="2270" customFormat="1">
      <c r="A115" s="1480"/>
      <c r="D115" s="2271"/>
      <c r="K115" s="2272"/>
      <c r="L115" s="2272"/>
    </row>
    <row r="116" spans="1:12" s="2270" customFormat="1">
      <c r="A116" s="1480"/>
      <c r="D116" s="2271"/>
      <c r="K116" s="2272"/>
      <c r="L116" s="2272"/>
    </row>
    <row r="117" spans="1:12" s="2270" customFormat="1">
      <c r="A117" s="1480"/>
      <c r="D117" s="2271"/>
      <c r="K117" s="2272"/>
      <c r="L117" s="2272"/>
    </row>
    <row r="118" spans="1:12" s="2270" customFormat="1">
      <c r="A118" s="1480"/>
      <c r="D118" s="2271"/>
      <c r="K118" s="2272"/>
      <c r="L118" s="2272"/>
    </row>
    <row r="119" spans="1:12" s="2270" customFormat="1">
      <c r="A119" s="1480"/>
      <c r="D119" s="2271"/>
      <c r="K119" s="2272"/>
      <c r="L119" s="2272"/>
    </row>
    <row r="120" spans="1:12" s="2270" customFormat="1">
      <c r="A120" s="1480"/>
      <c r="D120" s="2271"/>
      <c r="K120" s="2272"/>
      <c r="L120" s="2272"/>
    </row>
    <row r="121" spans="1:12" s="2270" customFormat="1">
      <c r="A121" s="1480"/>
      <c r="D121" s="2271"/>
      <c r="K121" s="2272"/>
      <c r="L121" s="2272"/>
    </row>
    <row r="122" spans="1:12" s="2270" customFormat="1">
      <c r="A122" s="1480"/>
      <c r="D122" s="2271"/>
      <c r="K122" s="2272"/>
      <c r="L122" s="2272"/>
    </row>
    <row r="123" spans="1:12" s="2270" customFormat="1">
      <c r="A123" s="1480"/>
      <c r="D123" s="2271"/>
      <c r="K123" s="2272"/>
      <c r="L123" s="2272"/>
    </row>
    <row r="124" spans="1:12" s="2270" customFormat="1">
      <c r="A124" s="1480"/>
      <c r="D124" s="2271"/>
      <c r="K124" s="2272"/>
      <c r="L124" s="2272"/>
    </row>
    <row r="125" spans="1:12" s="2270" customFormat="1">
      <c r="A125" s="1480"/>
      <c r="D125" s="2271"/>
      <c r="K125" s="2272"/>
      <c r="L125" s="2272"/>
    </row>
    <row r="126" spans="1:12" s="2270" customFormat="1">
      <c r="A126" s="1480"/>
      <c r="D126" s="2271"/>
      <c r="K126" s="2272"/>
      <c r="L126" s="2272"/>
    </row>
    <row r="127" spans="1:12" s="2270" customFormat="1">
      <c r="A127" s="1480"/>
      <c r="D127" s="2271"/>
      <c r="K127" s="2272"/>
      <c r="L127" s="2272"/>
    </row>
    <row r="128" spans="1:12" s="2270" customFormat="1">
      <c r="A128" s="1480"/>
      <c r="D128" s="2271"/>
      <c r="K128" s="2272"/>
      <c r="L128" s="2272"/>
    </row>
    <row r="129" spans="1:12" s="2270" customFormat="1">
      <c r="A129" s="1480"/>
      <c r="D129" s="2271"/>
      <c r="K129" s="2272"/>
      <c r="L129" s="2272"/>
    </row>
    <row r="130" spans="1:12" s="2270" customFormat="1">
      <c r="A130" s="1480"/>
      <c r="D130" s="2271"/>
      <c r="K130" s="2272"/>
      <c r="L130" s="2272"/>
    </row>
    <row r="131" spans="1:12" s="2270" customFormat="1">
      <c r="A131" s="1480"/>
      <c r="D131" s="2271"/>
      <c r="K131" s="2272"/>
      <c r="L131" s="2272"/>
    </row>
    <row r="132" spans="1:12" s="2270" customFormat="1">
      <c r="A132" s="1480"/>
      <c r="D132" s="2271"/>
      <c r="K132" s="2272"/>
      <c r="L132" s="2272"/>
    </row>
    <row r="133" spans="1:12" s="2270" customFormat="1">
      <c r="A133" s="1480"/>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442" t="s">
        <v>990</v>
      </c>
      <c r="B1" s="3443"/>
      <c r="C1" s="3443"/>
      <c r="D1" s="3443"/>
      <c r="E1" s="3443"/>
      <c r="F1" s="3443"/>
      <c r="G1" s="3443"/>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5"/>
      <c r="B2" s="1216"/>
      <c r="C2" s="1217" t="s">
        <v>991</v>
      </c>
      <c r="D2" s="1218"/>
      <c r="E2" s="1219"/>
      <c r="F2" s="1206"/>
      <c r="G2" s="1217" t="s">
        <v>992</v>
      </c>
      <c r="H2" s="2283"/>
      <c r="I2" s="2283"/>
      <c r="J2" s="2283"/>
      <c r="K2" s="2283"/>
      <c r="L2" s="2283"/>
      <c r="M2" s="2283"/>
      <c r="N2" s="2283"/>
      <c r="O2" s="2283"/>
      <c r="P2" s="2283"/>
      <c r="Q2" s="2283"/>
      <c r="R2" s="2283"/>
    </row>
    <row r="3" spans="1:29" ht="54">
      <c r="A3" s="1026" t="s">
        <v>993</v>
      </c>
      <c r="B3" s="51" t="s">
        <v>55</v>
      </c>
      <c r="C3" s="271" t="s">
        <v>994</v>
      </c>
      <c r="D3" s="2284"/>
      <c r="E3" s="1035" t="s">
        <v>993</v>
      </c>
      <c r="F3" s="1220" t="s">
        <v>104</v>
      </c>
      <c r="G3" s="288" t="s">
        <v>995</v>
      </c>
      <c r="H3" s="2283"/>
      <c r="I3" s="2283"/>
      <c r="J3" s="2283"/>
      <c r="K3" s="2283"/>
      <c r="L3" s="2283"/>
      <c r="M3" s="2283"/>
      <c r="N3" s="2283"/>
      <c r="O3" s="2283"/>
      <c r="P3" s="2283"/>
      <c r="Q3" s="2283"/>
      <c r="R3" s="2283"/>
    </row>
    <row r="4" spans="1:29" ht="40.5">
      <c r="A4" s="1035"/>
      <c r="B4" s="2236" t="s">
        <v>996</v>
      </c>
      <c r="C4" s="272" t="s">
        <v>997</v>
      </c>
      <c r="D4" s="2284"/>
      <c r="E4" s="1221"/>
      <c r="F4" s="2240" t="s">
        <v>998</v>
      </c>
      <c r="G4" s="273" t="s">
        <v>999</v>
      </c>
      <c r="H4" s="2283"/>
      <c r="I4" s="2283"/>
      <c r="J4" s="2283"/>
      <c r="K4" s="2283"/>
      <c r="L4" s="2283"/>
      <c r="M4" s="2283"/>
      <c r="N4" s="2283"/>
      <c r="O4" s="2283"/>
      <c r="P4" s="2283"/>
      <c r="Q4" s="2283"/>
      <c r="R4" s="2283"/>
    </row>
    <row r="5" spans="1:29" ht="40.5">
      <c r="A5" s="1035"/>
      <c r="B5" s="2236" t="s">
        <v>1000</v>
      </c>
      <c r="C5" s="272" t="s">
        <v>1001</v>
      </c>
      <c r="D5" s="2284"/>
      <c r="E5" s="1221"/>
      <c r="F5" s="2781" t="s">
        <v>3038</v>
      </c>
      <c r="G5" s="273" t="s">
        <v>3040</v>
      </c>
      <c r="H5" s="2283"/>
      <c r="I5" s="2283"/>
      <c r="J5" s="2283"/>
      <c r="K5" s="2283"/>
      <c r="L5" s="2283"/>
      <c r="M5" s="2283"/>
      <c r="N5" s="2283"/>
      <c r="O5" s="2283"/>
      <c r="P5" s="2283"/>
      <c r="Q5" s="2283"/>
      <c r="R5" s="2283"/>
    </row>
    <row r="6" spans="1:29" ht="54">
      <c r="A6" s="1035"/>
      <c r="B6" s="2236" t="s">
        <v>77</v>
      </c>
      <c r="C6" s="273" t="s">
        <v>971</v>
      </c>
      <c r="D6" s="2284"/>
      <c r="E6" s="1221"/>
      <c r="F6" s="2781" t="s">
        <v>3037</v>
      </c>
      <c r="G6" s="273" t="s">
        <v>3039</v>
      </c>
      <c r="H6" s="2283"/>
      <c r="I6" s="2283"/>
      <c r="J6" s="2283"/>
      <c r="K6" s="2283"/>
      <c r="L6" s="2283"/>
      <c r="M6" s="2283"/>
      <c r="N6" s="2283"/>
      <c r="O6" s="2283"/>
      <c r="P6" s="2283"/>
      <c r="Q6" s="2283"/>
      <c r="R6" s="2283"/>
    </row>
    <row r="7" spans="1:29" ht="41.25" thickBot="1">
      <c r="A7" s="1035"/>
      <c r="B7" s="2236" t="s">
        <v>3038</v>
      </c>
      <c r="C7" s="273" t="s">
        <v>3040</v>
      </c>
      <c r="D7" s="2285"/>
      <c r="E7" s="1222"/>
      <c r="F7" s="1223" t="s">
        <v>972</v>
      </c>
      <c r="G7" s="275" t="s">
        <v>973</v>
      </c>
      <c r="H7" s="2283"/>
      <c r="I7" s="2283"/>
      <c r="J7" s="2283"/>
      <c r="K7" s="2283"/>
      <c r="L7" s="2283"/>
      <c r="M7" s="2283"/>
      <c r="N7" s="2283"/>
      <c r="O7" s="2283"/>
      <c r="P7" s="2283"/>
      <c r="Q7" s="2283"/>
      <c r="R7" s="2283"/>
    </row>
    <row r="8" spans="1:29" ht="27">
      <c r="A8" s="1035"/>
      <c r="B8" s="2781" t="s">
        <v>3037</v>
      </c>
      <c r="C8" s="273" t="s">
        <v>3039</v>
      </c>
      <c r="D8" s="2285"/>
      <c r="E8" s="2285"/>
      <c r="F8" s="2286"/>
      <c r="G8" s="2286"/>
      <c r="H8" s="2283"/>
      <c r="I8" s="2283"/>
      <c r="J8" s="2283"/>
      <c r="K8" s="2283"/>
      <c r="L8" s="2283"/>
      <c r="M8" s="2283"/>
      <c r="N8" s="2283"/>
      <c r="O8" s="2283"/>
      <c r="P8" s="2283"/>
      <c r="Q8" s="2283"/>
      <c r="R8" s="2283"/>
    </row>
    <row r="9" spans="1:29" ht="40.5">
      <c r="A9" s="1035"/>
      <c r="B9" s="2236" t="s">
        <v>78</v>
      </c>
      <c r="C9" s="272" t="s">
        <v>974</v>
      </c>
      <c r="D9" s="2284"/>
      <c r="E9" s="2285"/>
      <c r="F9" s="2286"/>
      <c r="G9" s="2286"/>
      <c r="H9" s="2283"/>
      <c r="I9" s="2283"/>
      <c r="J9" s="2283"/>
      <c r="K9" s="2283"/>
      <c r="L9" s="2283"/>
      <c r="M9" s="2283"/>
      <c r="N9" s="2283"/>
      <c r="O9" s="2283"/>
      <c r="P9" s="2283"/>
      <c r="Q9" s="2283"/>
      <c r="R9" s="2283"/>
    </row>
    <row r="10" spans="1:29" s="40" customFormat="1" ht="14.25" thickBot="1">
      <c r="A10" s="1225"/>
      <c r="B10" s="1226" t="s">
        <v>975</v>
      </c>
      <c r="C10" s="274" t="s">
        <v>976</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4"/>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4"/>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977</v>
      </c>
      <c r="B13" s="2779"/>
      <c r="C13" s="2779"/>
      <c r="D13" s="2282"/>
      <c r="E13" s="2779"/>
      <c r="F13" s="2779"/>
      <c r="G13" s="2779"/>
    </row>
    <row r="14" spans="1:29" ht="14.25" thickBot="1">
      <c r="A14" s="1227"/>
      <c r="B14" s="1228"/>
      <c r="C14" s="1229" t="s">
        <v>978</v>
      </c>
      <c r="D14" s="2284"/>
      <c r="E14" s="1230"/>
      <c r="F14" s="1230"/>
      <c r="G14" s="1217" t="s">
        <v>979</v>
      </c>
    </row>
    <row r="15" spans="1:29" ht="54">
      <c r="A15" s="46" t="s">
        <v>980</v>
      </c>
      <c r="B15" s="14" t="s">
        <v>55</v>
      </c>
      <c r="C15" s="1231" t="str">
        <f>C3</f>
        <v>估价对象周边居住用地比例、居住小区规模和社区发展完善程度，综合评价居住社区成熟度一般</v>
      </c>
      <c r="D15" s="2284"/>
      <c r="E15" s="2794" t="s">
        <v>981</v>
      </c>
      <c r="F15" s="14" t="s">
        <v>982</v>
      </c>
      <c r="G15" s="1028" t="str">
        <f>G3</f>
        <v>估价对象位于北京经济技术开发区，园区建设成熟，产业集聚程度较好</v>
      </c>
    </row>
    <row r="16" spans="1:29" ht="40.5">
      <c r="A16" s="2797"/>
      <c r="B16" s="1232" t="s">
        <v>983</v>
      </c>
      <c r="C16" s="1233" t="str">
        <f>C4</f>
        <v>估价对象位于XX商圈，周边商业氛围成熟，人流量大，商业繁华度好</v>
      </c>
      <c r="D16" s="2284"/>
      <c r="E16" s="2795"/>
      <c r="F16" s="1234" t="s">
        <v>984</v>
      </c>
      <c r="G16" s="1030" t="str">
        <f>G4</f>
        <v>估价对象周边道路状况、公共交通通达情况、停车便捷程度，综合评价交通便捷度较好</v>
      </c>
    </row>
    <row r="17" spans="1:18" ht="40.5">
      <c r="A17" s="2797"/>
      <c r="B17" s="1232" t="s">
        <v>985</v>
      </c>
      <c r="C17" s="1233" t="str">
        <f>C5</f>
        <v>估价对象位于XX商圈，周边办公楼项目较多，入驻率高，办公集聚程度较好</v>
      </c>
      <c r="D17" s="2285"/>
      <c r="E17" s="2795"/>
      <c r="F17" s="1234" t="s">
        <v>986</v>
      </c>
      <c r="G17" s="276" t="s">
        <v>2205</v>
      </c>
    </row>
    <row r="18" spans="1:18" ht="54">
      <c r="A18" s="2797"/>
      <c r="B18" s="1234" t="s">
        <v>77</v>
      </c>
      <c r="C18" s="1030" t="str">
        <f>C6</f>
        <v>估价对象周边道路状况、公共交通通达情况、停车便捷程度，综合评价交通便捷度较好</v>
      </c>
      <c r="D18" s="2285"/>
      <c r="E18" s="2795"/>
      <c r="F18" s="1234" t="s">
        <v>972</v>
      </c>
      <c r="G18" s="1030" t="str">
        <f>G7</f>
        <v>该园区内无污染型企业，绿化较好，卫生条件良好，整体环境状况较好</v>
      </c>
    </row>
    <row r="19" spans="1:18" ht="27">
      <c r="A19" s="2797"/>
      <c r="B19" s="1234" t="s">
        <v>96</v>
      </c>
      <c r="C19" s="276" t="s">
        <v>2205</v>
      </c>
      <c r="D19" s="2284"/>
      <c r="E19" s="2795"/>
      <c r="F19" s="2781" t="s">
        <v>3038</v>
      </c>
      <c r="G19" s="1030" t="str">
        <f>G5</f>
        <v>估价对象所在区域公共配套设施齐备情况</v>
      </c>
    </row>
    <row r="20" spans="1:18" ht="40.5">
      <c r="A20" s="2797"/>
      <c r="B20" s="1234" t="s">
        <v>95</v>
      </c>
      <c r="C20" s="1233" t="str">
        <f>C9</f>
        <v>区域自然环境：；人文环境；综合评价环境状况一般</v>
      </c>
      <c r="D20" s="2285"/>
      <c r="E20" s="2795"/>
      <c r="F20" s="2781" t="s">
        <v>3037</v>
      </c>
      <c r="G20" s="1030" t="str">
        <f>G6</f>
        <v>估价对象所在区域基础设施水平</v>
      </c>
    </row>
    <row r="21" spans="1:18" ht="27">
      <c r="A21" s="2797"/>
      <c r="B21" s="2781" t="s">
        <v>3038</v>
      </c>
      <c r="C21" s="1030" t="str">
        <f>C7</f>
        <v>估价对象所在区域公共配套设施齐备情况</v>
      </c>
      <c r="D21" s="2284"/>
      <c r="E21" s="2795"/>
      <c r="F21" s="1234" t="s">
        <v>94</v>
      </c>
      <c r="G21" s="289" t="s">
        <v>94</v>
      </c>
    </row>
    <row r="22" spans="1:18" ht="13.5" customHeight="1">
      <c r="A22" s="2797"/>
      <c r="B22" s="2781" t="s">
        <v>3037</v>
      </c>
      <c r="C22" s="1030" t="str">
        <f>C8</f>
        <v>估价对象所在区域基础设施水平</v>
      </c>
      <c r="D22" s="2284"/>
      <c r="E22" s="2795"/>
      <c r="F22" s="1234" t="s">
        <v>987</v>
      </c>
      <c r="G22" s="276" t="s">
        <v>2232</v>
      </c>
    </row>
    <row r="23" spans="1:18" s="2283" customFormat="1" ht="14.25" thickBot="1">
      <c r="A23" s="2797"/>
      <c r="B23" s="1234" t="s">
        <v>94</v>
      </c>
      <c r="C23" s="289" t="s">
        <v>94</v>
      </c>
      <c r="D23" s="2296"/>
      <c r="E23" s="2796"/>
      <c r="F23" s="1235" t="s">
        <v>988</v>
      </c>
      <c r="G23" s="290" t="s">
        <v>989</v>
      </c>
      <c r="H23" s="2296"/>
      <c r="I23" s="2297"/>
      <c r="J23" s="2296"/>
      <c r="K23" s="2296"/>
      <c r="L23" s="2297"/>
      <c r="M23" s="2296"/>
      <c r="N23" s="2296"/>
      <c r="O23" s="2297"/>
      <c r="P23" s="2296"/>
      <c r="Q23" s="2296"/>
      <c r="R23" s="2298"/>
    </row>
    <row r="24" spans="1:18" s="2283" customFormat="1" ht="14.25" thickBot="1">
      <c r="A24" s="2798"/>
      <c r="B24" s="1235" t="s">
        <v>93</v>
      </c>
      <c r="C24" s="1236"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FF00"/>
  </sheetPr>
  <dimension ref="A1:I23"/>
  <sheetViews>
    <sheetView workbookViewId="0">
      <selection activeCell="J29" sqref="J29"/>
    </sheetView>
  </sheetViews>
  <sheetFormatPr defaultRowHeight="13.5"/>
  <cols>
    <col min="1" max="1" width="23.125" customWidth="1"/>
    <col min="2" max="2" width="21" customWidth="1"/>
  </cols>
  <sheetData>
    <row r="1" spans="1:9" ht="30.75" customHeight="1">
      <c r="A1" s="3342" t="s">
        <v>3484</v>
      </c>
      <c r="B1" s="3342">
        <f>SUM(B14:B23)</f>
        <v>11376.31</v>
      </c>
      <c r="C1" s="3343"/>
      <c r="D1" s="3343"/>
      <c r="E1" s="3343"/>
      <c r="F1" s="3343"/>
      <c r="G1" s="3344"/>
      <c r="H1" s="3345"/>
      <c r="I1" s="3345"/>
    </row>
    <row r="2" spans="1:9" ht="32.25" customHeight="1">
      <c r="A2" s="3342" t="s">
        <v>3485</v>
      </c>
      <c r="B2" s="3342">
        <f>SUM(C14:C20)</f>
        <v>2992.36</v>
      </c>
      <c r="C2" s="3343"/>
      <c r="D2" s="3343"/>
      <c r="E2" s="3343"/>
      <c r="F2" s="3343"/>
      <c r="G2" s="3344"/>
      <c r="H2" s="3345"/>
      <c r="I2" s="3345"/>
    </row>
    <row r="3" spans="1:9" ht="24.75" customHeight="1">
      <c r="A3" s="3342" t="s">
        <v>3486</v>
      </c>
      <c r="B3" s="3346">
        <f>项目基本情况!D3</f>
        <v>42930</v>
      </c>
      <c r="C3" s="3343"/>
      <c r="D3" s="3343"/>
      <c r="E3" s="3343"/>
      <c r="F3" s="3343"/>
      <c r="G3" s="3344"/>
      <c r="H3" s="3345"/>
      <c r="I3" s="3345"/>
    </row>
    <row r="4" spans="1:9" ht="49.5">
      <c r="A4" s="3342" t="s">
        <v>3470</v>
      </c>
      <c r="B4" s="3342" t="s">
        <v>3471</v>
      </c>
      <c r="C4" s="3342" t="s">
        <v>3472</v>
      </c>
      <c r="D4" s="3342" t="s">
        <v>3487</v>
      </c>
      <c r="E4" s="3343"/>
      <c r="F4" s="3344"/>
      <c r="G4" s="3344"/>
      <c r="H4" s="3345"/>
      <c r="I4" s="3345"/>
    </row>
    <row r="5" spans="1:9" ht="16.5">
      <c r="A5" s="3342" t="s">
        <v>3473</v>
      </c>
      <c r="B5" s="3342">
        <f ca="1">SUM(D14:D19)</f>
        <v>51847</v>
      </c>
      <c r="C5" s="3342">
        <f ca="1">E14</f>
        <v>45575</v>
      </c>
      <c r="D5" s="3342">
        <f ca="1">F14</f>
        <v>173265</v>
      </c>
      <c r="E5" s="3343"/>
      <c r="F5" s="3344"/>
      <c r="G5" s="3344"/>
      <c r="H5" s="3345"/>
      <c r="I5" s="3345"/>
    </row>
    <row r="6" spans="1:9" ht="16.5">
      <c r="A6" s="3342" t="s">
        <v>3474</v>
      </c>
      <c r="B6" s="3342">
        <v>0</v>
      </c>
      <c r="C6" s="3342">
        <v>0</v>
      </c>
      <c r="D6" s="3342">
        <v>0</v>
      </c>
      <c r="E6" s="3343"/>
      <c r="F6" s="3344"/>
      <c r="G6" s="3344"/>
      <c r="H6" s="3345"/>
      <c r="I6" s="3345"/>
    </row>
    <row r="7" spans="1:9" ht="16.5">
      <c r="A7" s="3342" t="s">
        <v>3488</v>
      </c>
      <c r="B7" s="3342">
        <f ca="1">H14</f>
        <v>51847</v>
      </c>
      <c r="C7" s="3342">
        <f ca="1">E14</f>
        <v>45575</v>
      </c>
      <c r="D7" s="3342">
        <f ca="1">F14</f>
        <v>173265</v>
      </c>
      <c r="E7" s="3343"/>
      <c r="F7" s="3344"/>
      <c r="G7" s="3344"/>
      <c r="H7" s="3345"/>
      <c r="I7" s="3345"/>
    </row>
    <row r="8" spans="1:9" ht="16.5">
      <c r="A8" s="3342" t="s">
        <v>3475</v>
      </c>
      <c r="B8" s="3342">
        <v>0</v>
      </c>
      <c r="C8" s="3342">
        <v>0</v>
      </c>
      <c r="D8" s="3342">
        <v>0</v>
      </c>
      <c r="E8" s="3343"/>
      <c r="F8" s="3344"/>
      <c r="G8" s="3344"/>
      <c r="H8" s="3345"/>
      <c r="I8" s="3345"/>
    </row>
    <row r="9" spans="1:9" ht="16.5">
      <c r="A9" s="3342" t="s">
        <v>3489</v>
      </c>
      <c r="B9" s="3347"/>
      <c r="C9" s="3343"/>
      <c r="D9" s="3343"/>
      <c r="E9" s="3343"/>
      <c r="F9" s="3344"/>
      <c r="G9" s="3344"/>
      <c r="H9" s="3345"/>
      <c r="I9" s="3345"/>
    </row>
    <row r="10" spans="1:9" ht="16.5">
      <c r="A10" s="3342" t="s">
        <v>3490</v>
      </c>
      <c r="B10" s="3347"/>
      <c r="C10" s="3343"/>
      <c r="D10" s="3343"/>
      <c r="E10" s="3343"/>
      <c r="F10" s="3344"/>
      <c r="G10" s="3344"/>
      <c r="H10" s="3345"/>
      <c r="I10" s="3345"/>
    </row>
    <row r="11" spans="1:9" ht="16.5">
      <c r="A11" s="3342" t="s">
        <v>3491</v>
      </c>
      <c r="B11" s="3347"/>
      <c r="C11" s="3343"/>
      <c r="D11" s="3343"/>
      <c r="E11" s="3343"/>
      <c r="F11" s="3344"/>
      <c r="G11" s="3344"/>
      <c r="H11" s="3345"/>
      <c r="I11" s="3345"/>
    </row>
    <row r="12" spans="1:9" ht="16.5">
      <c r="A12" s="3343"/>
      <c r="B12" s="3343"/>
      <c r="C12" s="3343"/>
      <c r="D12" s="3343"/>
      <c r="E12" s="3343"/>
      <c r="F12" s="3344"/>
      <c r="G12" s="3344"/>
      <c r="H12" s="3345"/>
      <c r="I12" s="3345"/>
    </row>
    <row r="13" spans="1:9" ht="49.5">
      <c r="A13" s="3348" t="s">
        <v>3492</v>
      </c>
      <c r="B13" s="3349" t="s">
        <v>3484</v>
      </c>
      <c r="C13" s="3349" t="s">
        <v>3485</v>
      </c>
      <c r="D13" s="3349" t="s">
        <v>3493</v>
      </c>
      <c r="E13" s="3342" t="s">
        <v>3472</v>
      </c>
      <c r="F13" s="3342" t="s">
        <v>3487</v>
      </c>
      <c r="G13" s="3349" t="s">
        <v>3494</v>
      </c>
      <c r="H13" s="3349" t="s">
        <v>3495</v>
      </c>
      <c r="I13" s="3349" t="s">
        <v>3496</v>
      </c>
    </row>
    <row r="14" spans="1:9" ht="16.5">
      <c r="A14" s="3350" t="s">
        <v>3497</v>
      </c>
      <c r="B14" s="3349">
        <f>'数据-汇总表'!E3</f>
        <v>11376.31</v>
      </c>
      <c r="C14" s="3349">
        <f>'数据-汇总表'!D3</f>
        <v>2992.36</v>
      </c>
      <c r="D14" s="3349">
        <f ca="1">结果表!H118</f>
        <v>51847</v>
      </c>
      <c r="E14" s="3349">
        <f ca="1">ROUND(D14*10000/B14,0)</f>
        <v>45575</v>
      </c>
      <c r="F14" s="3349">
        <f ca="1">ROUND(D14*10000/C14,0)</f>
        <v>173265</v>
      </c>
      <c r="G14" s="3349" t="str">
        <f>结果表!D122</f>
        <v>——</v>
      </c>
      <c r="H14" s="3349">
        <f ca="1">结果表!D124</f>
        <v>51847</v>
      </c>
      <c r="I14" s="3349" t="str">
        <f>结果表!D126</f>
        <v>——</v>
      </c>
    </row>
    <row r="15" spans="1:9" ht="16.5">
      <c r="A15" s="3350" t="s">
        <v>3498</v>
      </c>
      <c r="B15" s="3351"/>
      <c r="C15" s="3351"/>
      <c r="D15" s="3351"/>
      <c r="E15" s="3349" t="e">
        <v>#DIV/0!</v>
      </c>
      <c r="F15" s="3349" t="e">
        <v>#DIV/0!</v>
      </c>
      <c r="G15" s="3352"/>
      <c r="H15" s="3352"/>
      <c r="I15" s="3351"/>
    </row>
    <row r="16" spans="1:9" ht="16.5">
      <c r="A16" s="3350" t="s">
        <v>3476</v>
      </c>
      <c r="B16" s="3351"/>
      <c r="C16" s="3351"/>
      <c r="D16" s="3351"/>
      <c r="E16" s="3349" t="e">
        <v>#DIV/0!</v>
      </c>
      <c r="F16" s="3349" t="e">
        <v>#DIV/0!</v>
      </c>
      <c r="G16" s="3352"/>
      <c r="H16" s="3352"/>
      <c r="I16" s="3351"/>
    </row>
    <row r="17" spans="1:9" ht="16.5">
      <c r="A17" s="3350" t="s">
        <v>3477</v>
      </c>
      <c r="B17" s="3351"/>
      <c r="C17" s="3351"/>
      <c r="D17" s="3351"/>
      <c r="E17" s="3349" t="e">
        <v>#DIV/0!</v>
      </c>
      <c r="F17" s="3349" t="e">
        <v>#DIV/0!</v>
      </c>
      <c r="G17" s="3352"/>
      <c r="H17" s="3352"/>
      <c r="I17" s="3351"/>
    </row>
    <row r="18" spans="1:9" ht="16.5">
      <c r="A18" s="3350" t="s">
        <v>3478</v>
      </c>
      <c r="B18" s="3351"/>
      <c r="C18" s="3351"/>
      <c r="D18" s="3351"/>
      <c r="E18" s="3349" t="e">
        <v>#DIV/0!</v>
      </c>
      <c r="F18" s="3349" t="e">
        <v>#DIV/0!</v>
      </c>
      <c r="G18" s="3351"/>
      <c r="H18" s="3351"/>
      <c r="I18" s="3351"/>
    </row>
    <row r="19" spans="1:9" ht="16.5">
      <c r="A19" s="3350" t="s">
        <v>3479</v>
      </c>
      <c r="B19" s="3351"/>
      <c r="C19" s="3351"/>
      <c r="D19" s="3351"/>
      <c r="E19" s="3349" t="e">
        <v>#DIV/0!</v>
      </c>
      <c r="F19" s="3349" t="e">
        <v>#DIV/0!</v>
      </c>
      <c r="G19" s="3351"/>
      <c r="H19" s="3351"/>
      <c r="I19" s="3351"/>
    </row>
    <row r="20" spans="1:9" ht="16.5">
      <c r="A20" s="3350" t="s">
        <v>3480</v>
      </c>
      <c r="B20" s="3351"/>
      <c r="C20" s="3351"/>
      <c r="D20" s="3351"/>
      <c r="E20" s="3349" t="e">
        <v>#DIV/0!</v>
      </c>
      <c r="F20" s="3349" t="e">
        <v>#DIV/0!</v>
      </c>
      <c r="G20" s="3351"/>
      <c r="H20" s="3351"/>
      <c r="I20" s="3351"/>
    </row>
    <row r="21" spans="1:9" ht="16.5">
      <c r="A21" s="3350" t="s">
        <v>3481</v>
      </c>
      <c r="B21" s="3351"/>
      <c r="C21" s="3351"/>
      <c r="D21" s="3351"/>
      <c r="E21" s="3349" t="e">
        <v>#DIV/0!</v>
      </c>
      <c r="F21" s="3349" t="e">
        <v>#DIV/0!</v>
      </c>
      <c r="G21" s="3351"/>
      <c r="H21" s="3351"/>
      <c r="I21" s="3351"/>
    </row>
    <row r="22" spans="1:9" ht="16.5">
      <c r="A22" s="3350" t="s">
        <v>3482</v>
      </c>
      <c r="B22" s="3351"/>
      <c r="C22" s="3351"/>
      <c r="D22" s="3351"/>
      <c r="E22" s="3349" t="e">
        <v>#DIV/0!</v>
      </c>
      <c r="F22" s="3349" t="e">
        <v>#DIV/0!</v>
      </c>
      <c r="G22" s="3351"/>
      <c r="H22" s="3351"/>
      <c r="I22" s="3351"/>
    </row>
    <row r="23" spans="1:9" ht="16.5">
      <c r="A23" s="3350" t="s">
        <v>3483</v>
      </c>
      <c r="B23" s="3351"/>
      <c r="C23" s="3351"/>
      <c r="D23" s="3351"/>
      <c r="E23" s="3342" t="e">
        <v>#DIV/0!</v>
      </c>
      <c r="F23" s="3342" t="e">
        <v>#DIV/0!</v>
      </c>
      <c r="G23" s="3351"/>
      <c r="H23" s="3351"/>
      <c r="I23" s="3351"/>
    </row>
  </sheetData>
  <phoneticPr fontId="20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AI512"/>
  <sheetViews>
    <sheetView view="pageBreakPreview" zoomScaleSheetLayoutView="100" zoomScalePageLayoutView="80" workbookViewId="0">
      <selection activeCell="D14" sqref="D14:D16"/>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1002</v>
      </c>
      <c r="B1" s="1249"/>
      <c r="C1" s="2121"/>
      <c r="D1" s="1249"/>
      <c r="E1" s="1249"/>
      <c r="F1" s="2105" t="s">
        <v>2480</v>
      </c>
      <c r="G1" s="2078" t="s">
        <v>3397</v>
      </c>
      <c r="H1" s="2134" t="str">
        <f>IF(G1="现房","——","估价对象范围")</f>
        <v>——</v>
      </c>
      <c r="I1" s="2111" t="s">
        <v>3398</v>
      </c>
    </row>
    <row r="2" spans="1:12" ht="21.75" customHeight="1" thickBot="1">
      <c r="A2" s="3476" t="str">
        <f>项目基本情况!S2</f>
        <v>北京市海淀区彰化路138号院房地产</v>
      </c>
      <c r="B2" s="3477"/>
      <c r="C2" s="3477"/>
      <c r="D2" s="3477"/>
      <c r="E2" s="3477"/>
      <c r="F2" s="3477"/>
      <c r="G2" s="3477"/>
      <c r="H2" s="3477"/>
      <c r="I2" s="3478"/>
    </row>
    <row r="3" spans="1:12" ht="12">
      <c r="A3" s="3480" t="s">
        <v>10</v>
      </c>
      <c r="B3" s="3481"/>
      <c r="C3" s="3481"/>
      <c r="D3" s="3481"/>
      <c r="E3" s="3481"/>
      <c r="F3" s="3481"/>
      <c r="G3" s="3481"/>
      <c r="H3" s="3481"/>
      <c r="I3" s="3481"/>
    </row>
    <row r="4" spans="1:12" ht="13.5">
      <c r="A4" s="434" t="s">
        <v>11</v>
      </c>
      <c r="B4" s="435" t="s">
        <v>12</v>
      </c>
      <c r="C4" s="436" t="s">
        <v>2793</v>
      </c>
      <c r="D4" s="436" t="s">
        <v>3447</v>
      </c>
      <c r="E4" s="3482" t="s">
        <v>1003</v>
      </c>
      <c r="F4" s="3483"/>
      <c r="G4" s="3483"/>
      <c r="H4" s="3483"/>
      <c r="I4" s="3484"/>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收益法</v>
      </c>
    </row>
    <row r="5" spans="1:12" ht="12.75">
      <c r="A5" s="3458" t="s">
        <v>13</v>
      </c>
      <c r="B5" s="3445">
        <v>25</v>
      </c>
      <c r="C5" s="3461">
        <v>24</v>
      </c>
      <c r="D5" s="3479">
        <v>24</v>
      </c>
      <c r="E5" s="476" t="s">
        <v>1047</v>
      </c>
      <c r="F5" s="437"/>
      <c r="G5" s="437"/>
      <c r="H5" s="437"/>
      <c r="I5" s="438"/>
    </row>
    <row r="6" spans="1:12" ht="12.75">
      <c r="A6" s="3458"/>
      <c r="B6" s="3445"/>
      <c r="C6" s="3462"/>
      <c r="D6" s="3479"/>
      <c r="E6" s="476" t="s">
        <v>1048</v>
      </c>
      <c r="F6" s="437"/>
      <c r="G6" s="437"/>
      <c r="H6" s="437"/>
      <c r="I6" s="438"/>
    </row>
    <row r="7" spans="1:12" ht="12.75">
      <c r="A7" s="3458"/>
      <c r="B7" s="3445"/>
      <c r="C7" s="3463"/>
      <c r="D7" s="3479"/>
      <c r="E7" s="476" t="s">
        <v>1049</v>
      </c>
      <c r="F7" s="437"/>
      <c r="G7" s="437"/>
      <c r="H7" s="437"/>
      <c r="I7" s="438"/>
    </row>
    <row r="8" spans="1:12" ht="12.75">
      <c r="A8" s="3458" t="s">
        <v>14</v>
      </c>
      <c r="B8" s="3445">
        <v>15</v>
      </c>
      <c r="C8" s="3461">
        <v>14</v>
      </c>
      <c r="D8" s="3479">
        <v>14</v>
      </c>
      <c r="E8" s="476" t="s">
        <v>1050</v>
      </c>
      <c r="F8" s="437"/>
      <c r="G8" s="437"/>
      <c r="H8" s="437"/>
      <c r="I8" s="438"/>
    </row>
    <row r="9" spans="1:12" ht="12.75">
      <c r="A9" s="3458"/>
      <c r="B9" s="3445"/>
      <c r="C9" s="3463"/>
      <c r="D9" s="3479"/>
      <c r="E9" s="476" t="s">
        <v>1051</v>
      </c>
      <c r="F9" s="437"/>
      <c r="G9" s="437"/>
      <c r="H9" s="437"/>
      <c r="I9" s="438"/>
    </row>
    <row r="10" spans="1:12" ht="12.75">
      <c r="A10" s="3458" t="s">
        <v>15</v>
      </c>
      <c r="B10" s="3445">
        <v>15</v>
      </c>
      <c r="C10" s="3461">
        <v>14</v>
      </c>
      <c r="D10" s="3479">
        <v>14</v>
      </c>
      <c r="E10" s="476" t="s">
        <v>1052</v>
      </c>
      <c r="F10" s="437"/>
      <c r="G10" s="437"/>
      <c r="H10" s="437"/>
      <c r="I10" s="438"/>
    </row>
    <row r="11" spans="1:12" ht="12.75">
      <c r="A11" s="3458"/>
      <c r="B11" s="3445"/>
      <c r="C11" s="3463"/>
      <c r="D11" s="3479"/>
      <c r="E11" s="476" t="s">
        <v>1053</v>
      </c>
      <c r="F11" s="437"/>
      <c r="G11" s="437"/>
      <c r="H11" s="437"/>
      <c r="I11" s="438"/>
    </row>
    <row r="12" spans="1:12" ht="12.75">
      <c r="A12" s="3458" t="s">
        <v>16</v>
      </c>
      <c r="B12" s="3445">
        <v>15</v>
      </c>
      <c r="C12" s="3461">
        <v>14</v>
      </c>
      <c r="D12" s="3479">
        <v>14</v>
      </c>
      <c r="E12" s="476" t="s">
        <v>1054</v>
      </c>
      <c r="F12" s="437"/>
      <c r="G12" s="437"/>
      <c r="H12" s="437"/>
      <c r="I12" s="438"/>
    </row>
    <row r="13" spans="1:12" ht="12.75">
      <c r="A13" s="3458"/>
      <c r="B13" s="3445"/>
      <c r="C13" s="3463"/>
      <c r="D13" s="3479"/>
      <c r="E13" s="476" t="s">
        <v>1055</v>
      </c>
      <c r="F13" s="437"/>
      <c r="G13" s="437"/>
      <c r="H13" s="437"/>
      <c r="I13" s="438"/>
    </row>
    <row r="14" spans="1:12" ht="12.75">
      <c r="A14" s="3458" t="s">
        <v>17</v>
      </c>
      <c r="B14" s="3445">
        <v>30</v>
      </c>
      <c r="C14" s="3461">
        <v>25</v>
      </c>
      <c r="D14" s="3479">
        <v>25</v>
      </c>
      <c r="E14" s="476" t="s">
        <v>1056</v>
      </c>
      <c r="F14" s="437"/>
      <c r="G14" s="437"/>
      <c r="H14" s="437"/>
      <c r="I14" s="438"/>
    </row>
    <row r="15" spans="1:12" ht="12.75">
      <c r="A15" s="3458"/>
      <c r="B15" s="3445"/>
      <c r="C15" s="3462"/>
      <c r="D15" s="3479"/>
      <c r="E15" s="476" t="s">
        <v>1057</v>
      </c>
      <c r="F15" s="437"/>
      <c r="G15" s="437"/>
      <c r="H15" s="437"/>
      <c r="I15" s="438"/>
    </row>
    <row r="16" spans="1:12" ht="12.75">
      <c r="A16" s="3458"/>
      <c r="B16" s="3445"/>
      <c r="C16" s="3463"/>
      <c r="D16" s="3479"/>
      <c r="E16" s="476" t="s">
        <v>1058</v>
      </c>
      <c r="F16" s="437"/>
      <c r="G16" s="437"/>
      <c r="H16" s="437"/>
      <c r="I16" s="438"/>
    </row>
    <row r="17" spans="1:35" ht="14.25">
      <c r="A17" s="439" t="s">
        <v>18</v>
      </c>
      <c r="B17" s="38"/>
      <c r="C17" s="477">
        <f>SUM(C5:C16)</f>
        <v>91</v>
      </c>
      <c r="D17" s="477">
        <f>SUM(D5:D16)</f>
        <v>91</v>
      </c>
      <c r="E17" s="2304"/>
      <c r="F17" s="2304"/>
      <c r="G17" s="2304"/>
      <c r="H17" s="2304"/>
      <c r="I17" s="2304"/>
      <c r="K17" s="2207"/>
      <c r="L17" s="2208" t="s">
        <v>2689</v>
      </c>
      <c r="M17" s="2208" t="s">
        <v>2690</v>
      </c>
    </row>
    <row r="18" spans="1:35" ht="15" thickBot="1">
      <c r="A18" s="440" t="s">
        <v>19</v>
      </c>
      <c r="B18" s="18"/>
      <c r="C18" s="478">
        <f>ROUND(C17/SUM(C17:D17),2)</f>
        <v>0.5</v>
      </c>
      <c r="D18" s="478">
        <f>1-C18</f>
        <v>0.5</v>
      </c>
      <c r="E18" s="2304"/>
      <c r="F18" s="2304"/>
      <c r="G18" s="2304"/>
      <c r="H18" s="2304"/>
      <c r="I18" s="2304"/>
      <c r="K18" s="2207" t="s">
        <v>2503</v>
      </c>
      <c r="L18" s="2207">
        <f>IF(C1="",'数据-汇总表'!E3,SUMIF(项目类型,C1,'数据-汇总表'!E17:E26)+SUMIF(项目类型,C1,'数据-汇总表'!I17:I26))</f>
        <v>11376.31</v>
      </c>
      <c r="M18" s="2207">
        <f>IF(C1="",'数据-汇总表'!E3,SUMIF(项目类型,C1,'数据-汇总表'!E17:E26))</f>
        <v>11376.31</v>
      </c>
    </row>
    <row r="19" spans="1:35" ht="14.25">
      <c r="A19" s="441" t="s">
        <v>347</v>
      </c>
      <c r="B19" s="442" t="s">
        <v>20</v>
      </c>
      <c r="C19" s="479">
        <f ca="1">SUMIF(INDIRECT("'"&amp;C4&amp;"'"&amp;"!A:A"),结果表!B19,INDIRECT("'"&amp;C4&amp;"'"&amp;"!B:B"))</f>
        <v>47225</v>
      </c>
      <c r="D19" s="480">
        <f ca="1">SUMIF(INDIRECT("'"&amp;D4&amp;"'"&amp;"!A:A"),结果表!B19,INDIRECT("'"&amp;D4&amp;"'"&amp;"!B:B"))</f>
        <v>56468</v>
      </c>
      <c r="E19" s="441" t="s">
        <v>346</v>
      </c>
      <c r="F19" s="442" t="s">
        <v>20</v>
      </c>
      <c r="G19" s="481">
        <f ca="1">ROUND(C19*$C$18+D19*$D$18,0)</f>
        <v>51847</v>
      </c>
      <c r="H19" s="443" t="s">
        <v>396</v>
      </c>
      <c r="I19" s="2304"/>
      <c r="K19" s="2207" t="s">
        <v>2504</v>
      </c>
      <c r="L19" s="2207">
        <f>IF(C1="",'数据-汇总表'!D3,SUMIF(项目类型,C1,'数据-汇总表'!D17:D26)+SUMIF(项目类型,C1,'数据-汇总表'!H17:H27))</f>
        <v>2992.36</v>
      </c>
      <c r="M19" s="2207">
        <f>IF(C1="",'数据-汇总表'!D3,SUMIF(项目类型,C1,'数据-汇总表'!D17:D26))</f>
        <v>2992.36</v>
      </c>
    </row>
    <row r="20" spans="1:35" ht="14.25">
      <c r="A20" s="444"/>
      <c r="B20" s="445" t="s">
        <v>21</v>
      </c>
      <c r="C20" s="482">
        <f ca="1">SUMIF(INDIRECT("'"&amp;C4&amp;"'"&amp;"!A:A"),结果表!B20,INDIRECT("'"&amp;C4&amp;"'"&amp;"!B:B"))</f>
        <v>41512</v>
      </c>
      <c r="D20" s="483">
        <f ca="1">SUMIF(INDIRECT("'"&amp;D4&amp;"'"&amp;"!A:A"),结果表!B20,INDIRECT("'"&amp;D4&amp;"'"&amp;"!B:B"))</f>
        <v>49636</v>
      </c>
      <c r="E20" s="444"/>
      <c r="F20" s="445" t="s">
        <v>21</v>
      </c>
      <c r="G20" s="484">
        <f ca="1">ROUND(C20*$C$18+D20*$D$18,0)</f>
        <v>45574</v>
      </c>
      <c r="H20" s="446" t="s">
        <v>395</v>
      </c>
      <c r="I20" s="2304"/>
    </row>
    <row r="21" spans="1:35" ht="15" customHeight="1" thickBot="1">
      <c r="A21" s="448"/>
      <c r="B21" s="449" t="s">
        <v>22</v>
      </c>
      <c r="C21" s="1428">
        <f ca="1">ROUND(C19*10000/L19,0)</f>
        <v>157819</v>
      </c>
      <c r="D21" s="1429">
        <f ca="1">ROUND(D19*10000/L19,0)</f>
        <v>188707</v>
      </c>
      <c r="E21" s="448"/>
      <c r="F21" s="449" t="s">
        <v>22</v>
      </c>
      <c r="G21" s="485">
        <f ca="1">ROUND(G19*10000/L19,0)</f>
        <v>173265</v>
      </c>
      <c r="H21" s="450" t="s">
        <v>395</v>
      </c>
      <c r="I21" s="2304"/>
    </row>
    <row r="22" spans="1:35" ht="15" thickBot="1">
      <c r="A22" s="280" t="s">
        <v>348</v>
      </c>
      <c r="B22" s="1430"/>
      <c r="C22" s="1431"/>
      <c r="D22" s="1432">
        <f ca="1">IF(C19&lt;D19,D19/C19-1,C19/D19-1)</f>
        <v>0.19572260455267343</v>
      </c>
      <c r="E22" s="2304"/>
      <c r="F22" s="2304"/>
      <c r="G22" s="2304"/>
      <c r="H22" s="2304"/>
      <c r="I22" s="2304"/>
    </row>
    <row r="23" spans="1:35" ht="12.75" thickBot="1">
      <c r="A23" s="1249"/>
      <c r="B23" s="1249"/>
      <c r="C23" s="1249"/>
      <c r="D23" s="1249"/>
      <c r="E23" s="2304"/>
      <c r="F23" s="2304"/>
      <c r="G23" s="2304"/>
      <c r="H23" s="2304"/>
      <c r="I23" s="2304"/>
    </row>
    <row r="24" spans="1:35" ht="14.25">
      <c r="A24" s="3452" t="s">
        <v>344</v>
      </c>
      <c r="B24" s="442" t="s">
        <v>20</v>
      </c>
      <c r="C24" s="481">
        <f>IF(B30=0,0,D30)</f>
        <v>0</v>
      </c>
      <c r="D24" s="451"/>
      <c r="E24" s="2304"/>
      <c r="F24" s="2304"/>
      <c r="G24" s="2304"/>
      <c r="H24" s="2304"/>
      <c r="I24" s="2304"/>
    </row>
    <row r="25" spans="1:35" ht="14.25">
      <c r="A25" s="3453"/>
      <c r="B25" s="445" t="s">
        <v>21</v>
      </c>
      <c r="C25" s="486">
        <f>IF(B30=0,0,C30)</f>
        <v>0</v>
      </c>
      <c r="D25" s="452"/>
      <c r="E25" s="2304"/>
      <c r="F25" s="2304"/>
      <c r="G25" s="2304"/>
      <c r="H25" s="2304"/>
      <c r="I25" s="2304"/>
    </row>
    <row r="26" spans="1:35" ht="13.5" customHeight="1">
      <c r="A26" s="453" t="s">
        <v>345</v>
      </c>
      <c r="B26" s="454" t="s">
        <v>175</v>
      </c>
      <c r="C26" s="454" t="s">
        <v>176</v>
      </c>
      <c r="D26" s="455" t="s">
        <v>177</v>
      </c>
      <c r="E26" s="2304"/>
      <c r="F26" s="2304"/>
      <c r="G26" s="2304"/>
      <c r="H26" s="2304"/>
      <c r="I26" s="2304"/>
    </row>
    <row r="27" spans="1:35" ht="14.25">
      <c r="A27" s="453"/>
      <c r="B27" s="487">
        <v>0</v>
      </c>
      <c r="C27" s="487">
        <v>0</v>
      </c>
      <c r="D27" s="488">
        <f>ROUND(C27*B27/10000,0)</f>
        <v>0</v>
      </c>
      <c r="E27" s="2304"/>
      <c r="F27" s="2304"/>
      <c r="G27" s="2304"/>
      <c r="H27" s="2304"/>
      <c r="I27" s="2304"/>
    </row>
    <row r="28" spans="1:35" ht="14.25">
      <c r="A28" s="453"/>
      <c r="B28" s="487"/>
      <c r="C28" s="487"/>
      <c r="D28" s="488"/>
      <c r="E28" s="2304"/>
      <c r="F28" s="2304"/>
      <c r="G28" s="2304"/>
      <c r="H28" s="2304"/>
      <c r="I28" s="2304"/>
    </row>
    <row r="29" spans="1:35" ht="14.25">
      <c r="A29" s="453"/>
      <c r="B29" s="487"/>
      <c r="C29" s="487"/>
      <c r="D29" s="488"/>
      <c r="E29" s="2304"/>
      <c r="F29" s="2304"/>
      <c r="G29" s="2304"/>
      <c r="H29" s="2304"/>
      <c r="I29" s="2304"/>
    </row>
    <row r="30" spans="1:35" ht="14.25">
      <c r="A30" s="456" t="s">
        <v>343</v>
      </c>
      <c r="B30" s="489">
        <f>SUM(B27:B29)</f>
        <v>0</v>
      </c>
      <c r="C30" s="489" t="e">
        <f>ROUND(D30*10000/B30,0)</f>
        <v>#DIV/0!</v>
      </c>
      <c r="D30" s="489">
        <f>SUM(D27:D29)</f>
        <v>0</v>
      </c>
      <c r="E30" s="2304"/>
      <c r="F30" s="2304"/>
      <c r="G30" s="2304"/>
      <c r="H30" s="2304"/>
      <c r="I30" s="2304"/>
    </row>
    <row r="31" spans="1:35" s="1251" customFormat="1" ht="14.25" thickBot="1">
      <c r="A31" s="457"/>
      <c r="B31" s="457"/>
      <c r="C31" s="457"/>
      <c r="D31" s="457"/>
      <c r="E31" s="2304"/>
      <c r="F31" s="2304"/>
      <c r="G31" s="2304"/>
      <c r="H31" s="2304"/>
      <c r="I31" s="2304"/>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thickBot="1">
      <c r="A32" s="458" t="s">
        <v>342</v>
      </c>
      <c r="B32" s="459"/>
      <c r="C32" s="490">
        <f ca="1">IF(D32="总价",G19-C24,G20-C25)</f>
        <v>51847</v>
      </c>
      <c r="D32" s="2115" t="s">
        <v>377</v>
      </c>
      <c r="E32" s="2304"/>
      <c r="F32" s="2304"/>
      <c r="G32" s="2304"/>
      <c r="H32" s="2304"/>
      <c r="I32" s="2304"/>
    </row>
    <row r="33" spans="1:15" ht="13.5">
      <c r="A33" s="462" t="s">
        <v>1004</v>
      </c>
      <c r="B33" s="2114"/>
      <c r="C33" s="2913" t="s">
        <v>3106</v>
      </c>
      <c r="D33" s="2916" t="s">
        <v>2793</v>
      </c>
      <c r="E33" s="2112" t="s">
        <v>2482</v>
      </c>
      <c r="F33" s="2113" t="str">
        <f>IF(D32="楼面单价","取值（单价）","取值（总价）")</f>
        <v>取值（总价）</v>
      </c>
      <c r="G33" s="2304"/>
      <c r="H33" s="2304"/>
      <c r="I33" s="2304"/>
    </row>
    <row r="34" spans="1:15" ht="15">
      <c r="A34" s="463"/>
      <c r="B34" s="464" t="s">
        <v>1007</v>
      </c>
      <c r="C34" s="494">
        <f ca="1">IF(C33="自定义",F34,C32-C35)</f>
        <v>45055</v>
      </c>
      <c r="D34" s="2116">
        <f ca="1">IF(C33="自定义",ROUND(C34/C32,3),IF(C33="收益比率",SUMIF(INDIRECT("'"&amp;D33&amp;"'"&amp;"!b:b"),"土地收益比率",INDIRECT("'"&amp;D33&amp;"'"&amp;"!c:c")),SUMIF(INDIRECT("'"&amp;D33&amp;"'"&amp;"!b:b"),"土地成本比率",INDIRECT("'"&amp;D33&amp;"'"&amp;"!c:c"))))</f>
        <v>0.86899999999999999</v>
      </c>
      <c r="E34" s="2914" t="s">
        <v>2483</v>
      </c>
      <c r="F34" s="3292">
        <v>0</v>
      </c>
      <c r="G34" s="2304"/>
      <c r="H34" s="2304"/>
      <c r="I34" s="2304"/>
    </row>
    <row r="35" spans="1:15" ht="15.75" thickBot="1">
      <c r="A35" s="466"/>
      <c r="B35" s="2917" t="s">
        <v>1009</v>
      </c>
      <c r="C35" s="2918">
        <f ca="1">IF(C33="自定义",F35,ROUND(C32*D35,0))</f>
        <v>6792</v>
      </c>
      <c r="D35" s="2919">
        <f ca="1">IF(C33="自定义",ROUND(C35/C32,3),IF(C33="收益比率",SUMIF(INDIRECT("'"&amp;D33&amp;"'"&amp;"!b:b"),"建筑物收益比率",INDIRECT("'"&amp;D33&amp;"'"&amp;"!c:c")),SUMIF(INDIRECT("'"&amp;D33&amp;"'"&amp;"!b:b"),"建筑物成本比率",INDIRECT("'"&amp;D33&amp;"'"&amp;"!c:c"))))</f>
        <v>0.13100000000000001</v>
      </c>
      <c r="E35" s="2915" t="s">
        <v>2484</v>
      </c>
      <c r="F35" s="500">
        <v>0</v>
      </c>
      <c r="G35" s="2304"/>
      <c r="H35" s="2304"/>
      <c r="I35" s="2304"/>
    </row>
    <row r="36" spans="1:15" ht="15.75" thickBot="1">
      <c r="A36" s="3468" t="s">
        <v>1005</v>
      </c>
      <c r="B36" s="460" t="s">
        <v>1006</v>
      </c>
      <c r="C36" s="491">
        <v>0</v>
      </c>
      <c r="D36" s="461" t="s">
        <v>2407</v>
      </c>
      <c r="E36" s="1252"/>
      <c r="F36" s="2305"/>
      <c r="G36" s="2304"/>
      <c r="H36" s="2304"/>
      <c r="I36" s="2304"/>
    </row>
    <row r="37" spans="1:15" ht="15.75" thickBot="1">
      <c r="A37" s="3469"/>
      <c r="B37" s="13" t="s">
        <v>1008</v>
      </c>
      <c r="C37" s="493">
        <v>0</v>
      </c>
      <c r="D37" s="2253"/>
      <c r="E37" s="2253"/>
      <c r="F37" s="2305"/>
      <c r="G37" s="2304"/>
      <c r="H37" s="2304"/>
      <c r="I37" s="2304"/>
    </row>
    <row r="38" spans="1:15" ht="15.75" thickBot="1">
      <c r="A38" s="3470"/>
      <c r="B38" s="465" t="s">
        <v>1010</v>
      </c>
      <c r="C38" s="1143">
        <f>E40+E41</f>
        <v>0</v>
      </c>
      <c r="D38" s="1253" t="s">
        <v>1011</v>
      </c>
      <c r="E38" s="2253"/>
      <c r="F38" s="2305"/>
      <c r="G38" s="2304"/>
      <c r="H38" s="2304"/>
      <c r="I38" s="2304"/>
    </row>
    <row r="39" spans="1:15" ht="13.5">
      <c r="A39" s="444" t="s">
        <v>1012</v>
      </c>
      <c r="B39" s="467" t="s">
        <v>1013</v>
      </c>
      <c r="C39" s="468" t="s">
        <v>1014</v>
      </c>
      <c r="D39" s="468" t="s">
        <v>1015</v>
      </c>
      <c r="E39" s="469" t="s">
        <v>1016</v>
      </c>
      <c r="F39" s="2305"/>
      <c r="G39" s="2304"/>
      <c r="H39" s="2304"/>
      <c r="I39" s="2304"/>
    </row>
    <row r="40" spans="1:15" ht="13.5">
      <c r="A40" s="1254" t="s">
        <v>1017</v>
      </c>
      <c r="B40" s="495"/>
      <c r="C40" s="496"/>
      <c r="D40" s="3318"/>
      <c r="E40" s="497"/>
      <c r="F40" s="2305"/>
      <c r="G40" s="2304"/>
      <c r="H40" s="2304"/>
      <c r="I40" s="2304"/>
    </row>
    <row r="41" spans="1:15" ht="13.5">
      <c r="A41" s="1254" t="s">
        <v>1018</v>
      </c>
      <c r="B41" s="495"/>
      <c r="C41" s="496"/>
      <c r="D41" s="3318"/>
      <c r="E41" s="497"/>
      <c r="F41" s="2305"/>
      <c r="G41" s="2304"/>
      <c r="H41" s="2304"/>
      <c r="I41" s="2304"/>
    </row>
    <row r="42" spans="1:15" ht="14.25" thickBot="1">
      <c r="A42" s="1255"/>
      <c r="B42" s="498"/>
      <c r="C42" s="499"/>
      <c r="D42" s="499"/>
      <c r="E42" s="500"/>
      <c r="F42" s="2305"/>
      <c r="G42" s="2304"/>
      <c r="H42" s="2304"/>
      <c r="I42" s="2304"/>
    </row>
    <row r="43" spans="1:15" ht="12">
      <c r="A43" s="241"/>
      <c r="B43" s="241"/>
      <c r="C43" s="241"/>
      <c r="D43" s="241"/>
      <c r="E43" s="241"/>
      <c r="F43" s="1256"/>
      <c r="G43" s="1256"/>
      <c r="H43" s="1256"/>
      <c r="I43" s="1257"/>
    </row>
    <row r="44" spans="1:15" ht="18.75">
      <c r="A44" s="1258" t="s">
        <v>1019</v>
      </c>
      <c r="B44" s="1259"/>
      <c r="C44" s="1259"/>
      <c r="D44" s="1260"/>
      <c r="E44" s="1260"/>
      <c r="F44" s="1261"/>
      <c r="G44" s="1261"/>
      <c r="H44" s="1261"/>
      <c r="I44" s="1261"/>
      <c r="J44" s="1441" t="s">
        <v>381</v>
      </c>
      <c r="K44" s="1442"/>
      <c r="L44" s="1442"/>
      <c r="M44" s="1442"/>
      <c r="N44" s="1442"/>
      <c r="O44" s="1442"/>
    </row>
    <row r="45" spans="1:15" ht="14.25" customHeight="1" thickBot="1">
      <c r="A45" s="3449" t="s">
        <v>1039</v>
      </c>
      <c r="B45" s="3450"/>
      <c r="C45" s="3451"/>
      <c r="D45" s="501">
        <f ca="1">ROUND(H101*F45,0)</f>
        <v>51847</v>
      </c>
      <c r="E45" s="502" t="s">
        <v>1040</v>
      </c>
      <c r="F45" s="503">
        <v>1</v>
      </c>
      <c r="G45" s="504" t="s">
        <v>1041</v>
      </c>
      <c r="H45" s="2304"/>
      <c r="I45" s="2304"/>
      <c r="J45" s="3510" t="s">
        <v>382</v>
      </c>
      <c r="K45" s="3510"/>
      <c r="L45" s="3510"/>
      <c r="M45" s="3510"/>
      <c r="N45" s="3510"/>
      <c r="O45" s="3510"/>
    </row>
    <row r="46" spans="1:15" ht="14.25" customHeight="1">
      <c r="A46" s="3446" t="s">
        <v>455</v>
      </c>
      <c r="B46" s="3447"/>
      <c r="C46" s="3447"/>
      <c r="D46" s="3447"/>
      <c r="E46" s="3447"/>
      <c r="F46" s="3447"/>
      <c r="G46" s="3448"/>
      <c r="H46" s="2306"/>
      <c r="I46" s="2259"/>
      <c r="J46" s="2245">
        <v>1</v>
      </c>
      <c r="K46" s="3510" t="s">
        <v>383</v>
      </c>
      <c r="L46" s="3510"/>
      <c r="M46" s="3534"/>
      <c r="N46" s="3534"/>
      <c r="O46" s="3534"/>
    </row>
    <row r="47" spans="1:15" ht="12" customHeight="1">
      <c r="A47" s="506" t="s">
        <v>456</v>
      </c>
      <c r="B47" s="507"/>
      <c r="C47" s="508"/>
      <c r="D47" s="509" t="s">
        <v>457</v>
      </c>
      <c r="E47" s="319" t="s">
        <v>458</v>
      </c>
      <c r="F47" s="510" t="s">
        <v>1042</v>
      </c>
      <c r="G47" s="511" t="s">
        <v>1043</v>
      </c>
      <c r="H47" s="2306"/>
      <c r="I47" s="2259"/>
      <c r="J47" s="2245">
        <v>2</v>
      </c>
      <c r="K47" s="3510" t="s">
        <v>384</v>
      </c>
      <c r="L47" s="3510"/>
      <c r="M47" s="3535">
        <f>'数据-取费表'!B2</f>
        <v>42930</v>
      </c>
      <c r="N47" s="3535"/>
      <c r="O47" s="3535"/>
    </row>
    <row r="48" spans="1:15" ht="25.5">
      <c r="A48" s="3475" t="s">
        <v>459</v>
      </c>
      <c r="B48" s="3460"/>
      <c r="C48" s="3460"/>
      <c r="D48" s="476">
        <f>IF(H48="情况1",0,IF(H48="情况2",D52,IF(H48="情况3",D53,IF(H48="情况4",D54))))</f>
        <v>0</v>
      </c>
      <c r="E48" s="1945" t="str">
        <f>IF(H48="情况4","(销售额-原购置价)×税（费）率","销售额×税（费）率")</f>
        <v>销售额×税（费）率</v>
      </c>
      <c r="F48" s="512" t="str">
        <f>IF(H48="情况1","免征",'数据-取费表'!B41)</f>
        <v>免征</v>
      </c>
      <c r="G48" s="470" t="s">
        <v>1020</v>
      </c>
      <c r="H48" s="1438" t="s">
        <v>2794</v>
      </c>
      <c r="I48" s="2306"/>
      <c r="J48" s="2245">
        <v>3</v>
      </c>
      <c r="K48" s="3510" t="s">
        <v>1021</v>
      </c>
      <c r="L48" s="3510"/>
      <c r="M48" s="3536">
        <f ca="1">H101</f>
        <v>51847</v>
      </c>
      <c r="N48" s="3536"/>
      <c r="O48" s="3536"/>
    </row>
    <row r="49" spans="1:15" ht="25.5" customHeight="1">
      <c r="A49" s="513" t="s">
        <v>1044</v>
      </c>
      <c r="B49" s="3444" t="s">
        <v>1045</v>
      </c>
      <c r="C49" s="3444"/>
      <c r="D49" s="514">
        <v>0</v>
      </c>
      <c r="E49" s="318" t="s">
        <v>1046</v>
      </c>
      <c r="F49" s="323" t="s">
        <v>338</v>
      </c>
      <c r="G49" s="3516"/>
      <c r="H49" s="2304"/>
      <c r="I49" s="2307"/>
      <c r="J49" s="2245">
        <v>4</v>
      </c>
      <c r="K49" s="3510" t="str">
        <f>IF(项目基本情况!E8="房地产抵押价值","房地产抵押价值","抵押担保权已注销时的房地产抵押价值")</f>
        <v>抵押担保权已注销时的房地产抵押价值</v>
      </c>
      <c r="L49" s="3510"/>
      <c r="M49" s="3536">
        <f ca="1">IF(项目基本情况!E8="房地产抵押价值",H107,H109)</f>
        <v>51847</v>
      </c>
      <c r="N49" s="3536"/>
      <c r="O49" s="3536"/>
    </row>
    <row r="50" spans="1:15" ht="25.5" customHeight="1">
      <c r="A50" s="515"/>
      <c r="B50" s="3444" t="s">
        <v>462</v>
      </c>
      <c r="C50" s="3444"/>
      <c r="D50" s="516"/>
      <c r="E50" s="326"/>
      <c r="F50" s="517"/>
      <c r="G50" s="3517"/>
      <c r="H50" s="2304"/>
      <c r="I50" s="2307"/>
      <c r="J50" s="3510" t="s">
        <v>385</v>
      </c>
      <c r="K50" s="3510"/>
      <c r="L50" s="3510"/>
      <c r="M50" s="3510"/>
      <c r="N50" s="3510"/>
      <c r="O50" s="3510"/>
    </row>
    <row r="51" spans="1:15" ht="12" customHeight="1">
      <c r="A51" s="518"/>
      <c r="B51" s="3444" t="s">
        <v>463</v>
      </c>
      <c r="C51" s="3444"/>
      <c r="D51" s="519"/>
      <c r="E51" s="325"/>
      <c r="F51" s="517"/>
      <c r="G51" s="3518"/>
      <c r="H51" s="2304"/>
      <c r="I51" s="2307"/>
      <c r="J51" s="2243" t="s">
        <v>386</v>
      </c>
      <c r="K51" s="3510" t="s">
        <v>387</v>
      </c>
      <c r="L51" s="3510"/>
      <c r="M51" s="2243" t="s">
        <v>388</v>
      </c>
      <c r="N51" s="2243" t="s">
        <v>389</v>
      </c>
      <c r="O51" s="2243" t="s">
        <v>390</v>
      </c>
    </row>
    <row r="52" spans="1:15" ht="24" customHeight="1">
      <c r="A52" s="520" t="s">
        <v>464</v>
      </c>
      <c r="B52" s="3444" t="s">
        <v>465</v>
      </c>
      <c r="C52" s="3444"/>
      <c r="D52" s="519">
        <f ca="1">ROUND(D45*'数据-取费表'!B41/(1+'数据-取费表'!B42),0)</f>
        <v>2765</v>
      </c>
      <c r="E52" s="305" t="s">
        <v>466</v>
      </c>
      <c r="F52" s="521">
        <f>'数据-取费表'!B41</f>
        <v>5.6000000000000001E-2</v>
      </c>
      <c r="G52" s="471"/>
      <c r="H52" s="2304"/>
      <c r="I52" s="2307"/>
      <c r="J52" s="2245">
        <v>1</v>
      </c>
      <c r="K52" s="3511" t="s">
        <v>1022</v>
      </c>
      <c r="L52" s="3511"/>
      <c r="M52" s="1443">
        <f>D48</f>
        <v>0</v>
      </c>
      <c r="N52" s="2244" t="str">
        <f>E48</f>
        <v>销售额×税（费）率</v>
      </c>
      <c r="O52" s="1444" t="str">
        <f>F48</f>
        <v>免征</v>
      </c>
    </row>
    <row r="53" spans="1:15" ht="12" customHeight="1">
      <c r="A53" s="520" t="s">
        <v>467</v>
      </c>
      <c r="B53" s="3466" t="s">
        <v>468</v>
      </c>
      <c r="C53" s="3467"/>
      <c r="D53" s="519">
        <f ca="1">ROUND(D45*'数据-取费表'!B41/(1+'数据-取费表'!B42),0)</f>
        <v>2765</v>
      </c>
      <c r="E53" s="305" t="s">
        <v>466</v>
      </c>
      <c r="F53" s="521">
        <f>'数据-取费表'!B41</f>
        <v>5.6000000000000001E-2</v>
      </c>
      <c r="G53" s="471"/>
      <c r="H53" s="2304"/>
      <c r="I53" s="2307"/>
      <c r="J53" s="2245">
        <v>2</v>
      </c>
      <c r="K53" s="3511" t="s">
        <v>1023</v>
      </c>
      <c r="L53" s="3511"/>
      <c r="M53" s="1443">
        <f t="shared" ref="M53:O54" ca="1" si="0">D55</f>
        <v>26</v>
      </c>
      <c r="N53" s="2244" t="str">
        <f t="shared" si="0"/>
        <v>销售额×税（费）率</v>
      </c>
      <c r="O53" s="1444">
        <f t="shared" si="0"/>
        <v>5.0000000000000001E-4</v>
      </c>
    </row>
    <row r="54" spans="1:15" ht="12" customHeight="1">
      <c r="A54" s="520" t="s">
        <v>469</v>
      </c>
      <c r="B54" s="3466" t="s">
        <v>470</v>
      </c>
      <c r="C54" s="3467"/>
      <c r="D54" s="519">
        <f ca="1">C68</f>
        <v>2205</v>
      </c>
      <c r="E54" s="325" t="s">
        <v>471</v>
      </c>
      <c r="F54" s="521">
        <f>'数据-取费表'!B41</f>
        <v>5.6000000000000001E-2</v>
      </c>
      <c r="G54" s="471"/>
      <c r="H54" s="2308"/>
      <c r="I54" s="2307"/>
      <c r="J54" s="2245">
        <v>3</v>
      </c>
      <c r="K54" s="3511" t="s">
        <v>1024</v>
      </c>
      <c r="L54" s="3511"/>
      <c r="M54" s="1443">
        <f t="shared" ca="1" si="0"/>
        <v>22611</v>
      </c>
      <c r="N54" s="2244" t="str">
        <f t="shared" si="0"/>
        <v>增值额×税（费）率</v>
      </c>
      <c r="O54" s="1445" t="str">
        <f t="shared" si="0"/>
        <v>——</v>
      </c>
    </row>
    <row r="55" spans="1:15" ht="24" customHeight="1">
      <c r="A55" s="3459" t="s">
        <v>472</v>
      </c>
      <c r="B55" s="3460"/>
      <c r="C55" s="3460"/>
      <c r="D55" s="522">
        <f ca="1">IF(H55="个人住宅",0,ROUND(D45*I55,0))</f>
        <v>26</v>
      </c>
      <c r="E55" s="305" t="s">
        <v>473</v>
      </c>
      <c r="F55" s="521">
        <f>IF(H55="正常",I55,"免征")</f>
        <v>5.0000000000000001E-4</v>
      </c>
      <c r="G55" s="471"/>
      <c r="H55" s="1438" t="s">
        <v>260</v>
      </c>
      <c r="I55" s="523">
        <f>'数据-取费表'!B49</f>
        <v>5.0000000000000001E-4</v>
      </c>
      <c r="J55" s="2245" t="str">
        <f>IF(H59="非个人房产","",4)</f>
        <v/>
      </c>
      <c r="K55" s="3511" t="str">
        <f>IF(H59="非个人房产","——","个人所得税")</f>
        <v>——</v>
      </c>
      <c r="L55" s="3511"/>
      <c r="M55" s="1446" t="str">
        <f>D59</f>
        <v>——</v>
      </c>
      <c r="N55" s="1447" t="str">
        <f>E59</f>
        <v>——</v>
      </c>
      <c r="O55" s="1448" t="str">
        <f>F59</f>
        <v>——</v>
      </c>
    </row>
    <row r="56" spans="1:15" ht="24.75">
      <c r="A56" s="3459" t="s">
        <v>474</v>
      </c>
      <c r="B56" s="3460"/>
      <c r="C56" s="3460"/>
      <c r="D56" s="522">
        <f ca="1">IF(H56="个人住宅",D57,D58)</f>
        <v>22611</v>
      </c>
      <c r="E56" s="305" t="s">
        <v>475</v>
      </c>
      <c r="F56" s="521" t="str">
        <f>IF(H56="正常",F58,"免征")</f>
        <v>——</v>
      </c>
      <c r="G56" s="1262" t="s">
        <v>1025</v>
      </c>
      <c r="H56" s="1437" t="s">
        <v>260</v>
      </c>
      <c r="I56" s="2309"/>
      <c r="J56" s="3521">
        <f>IF(H59="非个人房产",4,5)</f>
        <v>4</v>
      </c>
      <c r="K56" s="3511" t="s">
        <v>1026</v>
      </c>
      <c r="L56" s="1449" t="s">
        <v>391</v>
      </c>
      <c r="M56" s="1450"/>
      <c r="N56" s="1451">
        <f ca="1">SUMIF(M52:M55,"&lt;9e307")</f>
        <v>22637</v>
      </c>
      <c r="O56" s="1452"/>
    </row>
    <row r="57" spans="1:15" ht="12.75">
      <c r="A57" s="520" t="s">
        <v>460</v>
      </c>
      <c r="B57" s="3473" t="s">
        <v>476</v>
      </c>
      <c r="C57" s="3496"/>
      <c r="D57" s="524">
        <v>0</v>
      </c>
      <c r="E57" s="318" t="s">
        <v>461</v>
      </c>
      <c r="F57" s="492"/>
      <c r="G57" s="471"/>
      <c r="H57" s="2309"/>
      <c r="I57" s="2309"/>
      <c r="J57" s="3521"/>
      <c r="K57" s="3511"/>
      <c r="L57" s="1449" t="s">
        <v>392</v>
      </c>
      <c r="M57" s="1453"/>
      <c r="N57" s="1454" t="str">
        <f ca="1">NUMBERSTRING(INT(N56*10000),2)&amp;"元整"</f>
        <v>贰亿贰仟陆佰叁拾柒万元整</v>
      </c>
      <c r="O57" s="1455"/>
    </row>
    <row r="58" spans="1:15" ht="24.75">
      <c r="A58" s="520" t="s">
        <v>464</v>
      </c>
      <c r="B58" s="3473" t="s">
        <v>477</v>
      </c>
      <c r="C58" s="3474"/>
      <c r="D58" s="522">
        <f ca="1">IF(H58="转让取得",C81,C97)</f>
        <v>22611</v>
      </c>
      <c r="E58" s="305" t="s">
        <v>475</v>
      </c>
      <c r="F58" s="319" t="s">
        <v>338</v>
      </c>
      <c r="G58" s="471"/>
      <c r="H58" s="1437" t="s">
        <v>1488</v>
      </c>
      <c r="I58" s="2309"/>
      <c r="J58" s="3512">
        <f>IF(H59="非个人房产",5,6)</f>
        <v>5</v>
      </c>
      <c r="K58" s="3511" t="s">
        <v>339</v>
      </c>
      <c r="L58" s="2244" t="s">
        <v>391</v>
      </c>
      <c r="M58" s="1456"/>
      <c r="N58" s="1457">
        <f ca="1">M49-N56</f>
        <v>29210</v>
      </c>
      <c r="O58" s="1458"/>
    </row>
    <row r="59" spans="1:15" ht="24.75" thickBot="1">
      <c r="A59" s="3514" t="s">
        <v>478</v>
      </c>
      <c r="B59" s="3515"/>
      <c r="C59" s="3515"/>
      <c r="D59" s="525" t="str">
        <f>IF(H59="非个人房产","——",IF(H59="个人住宅",0,ROUND(D45*I59,0)))</f>
        <v>——</v>
      </c>
      <c r="E59" s="526" t="str">
        <f>IF(H59="非个人房产","——","销售额×税（费）率")</f>
        <v>——</v>
      </c>
      <c r="F59" s="527" t="str">
        <f>IF(H59="非个人房产","——",IF(H59="个人住宅","免征",I59))</f>
        <v>——</v>
      </c>
      <c r="G59" s="1263" t="s">
        <v>337</v>
      </c>
      <c r="H59" s="1437" t="s">
        <v>1487</v>
      </c>
      <c r="I59" s="528">
        <v>0.01</v>
      </c>
      <c r="J59" s="3513"/>
      <c r="K59" s="3511"/>
      <c r="L59" s="1449" t="s">
        <v>392</v>
      </c>
      <c r="M59" s="1453"/>
      <c r="N59" s="1454" t="str">
        <f ca="1">NUMBERSTRING(INT(N58*10000),2)&amp;"元整"</f>
        <v>贰亿玖仟贰佰壹拾万元整</v>
      </c>
      <c r="O59" s="1455"/>
    </row>
    <row r="60" spans="1:15" ht="12" customHeight="1">
      <c r="A60" s="1264"/>
      <c r="B60" s="1249"/>
      <c r="C60" s="1249"/>
      <c r="D60" s="1249"/>
      <c r="E60" s="229"/>
      <c r="F60" s="2309"/>
      <c r="G60" s="2309"/>
      <c r="H60" s="2310"/>
      <c r="I60" s="2304"/>
      <c r="J60" s="2245">
        <f>IF(H59="非个人房产",6,7)</f>
        <v>6</v>
      </c>
      <c r="K60" s="3511" t="s">
        <v>393</v>
      </c>
      <c r="L60" s="3511"/>
      <c r="M60" s="1459"/>
      <c r="N60" s="1460">
        <f ca="1">ROUND(N58*10000/'数据-汇总表'!E3,0)</f>
        <v>25676</v>
      </c>
      <c r="O60" s="1461"/>
    </row>
    <row r="61" spans="1:15" ht="13.5" thickBot="1">
      <c r="A61" s="3457" t="s">
        <v>479</v>
      </c>
      <c r="B61" s="3457"/>
      <c r="C61" s="3457"/>
      <c r="D61" s="3457"/>
      <c r="E61" s="3457"/>
      <c r="F61" s="2309"/>
      <c r="G61" s="2309"/>
      <c r="H61" s="2310"/>
      <c r="I61" s="2304"/>
    </row>
    <row r="62" spans="1:15" ht="12.75">
      <c r="A62" s="3471" t="s">
        <v>480</v>
      </c>
      <c r="B62" s="3472"/>
      <c r="C62" s="1939"/>
      <c r="D62" s="1939" t="s">
        <v>488</v>
      </c>
      <c r="E62" s="529" t="s">
        <v>489</v>
      </c>
      <c r="F62" s="2309"/>
      <c r="G62" s="2309"/>
      <c r="H62" s="2310"/>
      <c r="I62" s="2304"/>
    </row>
    <row r="63" spans="1:15" ht="12.75">
      <c r="A63" s="540" t="s">
        <v>2255</v>
      </c>
      <c r="B63" s="530" t="s">
        <v>481</v>
      </c>
      <c r="C63" s="531">
        <f ca="1">ROUND((C64+C65)/(1+'数据-取费表'!B42),0)</f>
        <v>49378</v>
      </c>
      <c r="D63" s="532"/>
      <c r="E63" s="533"/>
      <c r="F63" s="2309"/>
      <c r="G63" s="2309"/>
      <c r="H63" s="2310"/>
      <c r="I63" s="2304"/>
    </row>
    <row r="64" spans="1:15" ht="12.75">
      <c r="A64" s="534" t="s">
        <v>2250</v>
      </c>
      <c r="B64" s="535" t="s">
        <v>482</v>
      </c>
      <c r="C64" s="536">
        <f ca="1">D45</f>
        <v>51847</v>
      </c>
      <c r="D64" s="537" t="s">
        <v>334</v>
      </c>
      <c r="E64" s="538"/>
      <c r="F64" s="2309"/>
      <c r="G64" s="2309"/>
      <c r="H64" s="2310"/>
      <c r="I64" s="2304"/>
    </row>
    <row r="65" spans="1:35" ht="12.75">
      <c r="A65" s="534" t="s">
        <v>2251</v>
      </c>
      <c r="B65" s="535" t="s">
        <v>483</v>
      </c>
      <c r="C65" s="539">
        <v>0</v>
      </c>
      <c r="D65" s="537"/>
      <c r="E65" s="538"/>
      <c r="F65" s="2309"/>
      <c r="G65" s="2309"/>
      <c r="H65" s="2310"/>
      <c r="I65" s="2304"/>
    </row>
    <row r="66" spans="1:35" ht="12.75">
      <c r="A66" s="540" t="s">
        <v>2252</v>
      </c>
      <c r="B66" s="541" t="s">
        <v>484</v>
      </c>
      <c r="C66" s="542">
        <v>10000</v>
      </c>
      <c r="D66" s="543" t="s">
        <v>334</v>
      </c>
      <c r="E66" s="538"/>
      <c r="F66" s="2309"/>
      <c r="G66" s="2309"/>
      <c r="H66" s="2310"/>
      <c r="I66" s="2304"/>
    </row>
    <row r="67" spans="1:35" ht="12.75">
      <c r="A67" s="540" t="s">
        <v>2253</v>
      </c>
      <c r="B67" s="541" t="s">
        <v>485</v>
      </c>
      <c r="C67" s="544">
        <f ca="1">C63-C66</f>
        <v>39378</v>
      </c>
      <c r="D67" s="537" t="s">
        <v>334</v>
      </c>
      <c r="E67" s="538"/>
      <c r="F67" s="2309"/>
      <c r="G67" s="2309"/>
      <c r="H67" s="2310"/>
      <c r="I67" s="2304"/>
    </row>
    <row r="68" spans="1:35" ht="13.5" thickBot="1">
      <c r="A68" s="545" t="s">
        <v>2254</v>
      </c>
      <c r="B68" s="546" t="s">
        <v>486</v>
      </c>
      <c r="C68" s="547">
        <f ca="1">IF(C67&lt;=0,0,ROUND(C67*D68,0))</f>
        <v>2205</v>
      </c>
      <c r="D68" s="548">
        <f>'数据-取费表'!B41</f>
        <v>5.6000000000000001E-2</v>
      </c>
      <c r="E68" s="549"/>
      <c r="F68" s="2309"/>
      <c r="G68" s="2309"/>
      <c r="H68" s="2310"/>
      <c r="I68" s="2304"/>
    </row>
    <row r="69" spans="1:35" s="1251" customFormat="1" ht="7.5"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thickBot="1">
      <c r="A70" s="3494" t="s">
        <v>487</v>
      </c>
      <c r="B70" s="3495"/>
      <c r="C70" s="3495"/>
      <c r="D70" s="3495"/>
      <c r="E70" s="3495"/>
      <c r="F70" s="3495"/>
      <c r="G70" s="3495"/>
      <c r="H70" s="3495"/>
      <c r="I70" s="1270"/>
      <c r="J70" s="2158"/>
      <c r="K70" s="2158"/>
      <c r="L70" s="2158"/>
      <c r="M70" s="2158"/>
      <c r="N70" s="2158"/>
      <c r="O70" s="2158"/>
      <c r="P70" s="2158"/>
      <c r="Q70" s="2158"/>
      <c r="R70" s="2158"/>
      <c r="S70" s="2158"/>
      <c r="T70" s="2158"/>
      <c r="U70" s="2158"/>
      <c r="V70" s="2158"/>
      <c r="W70" s="2158"/>
      <c r="X70" s="2158"/>
      <c r="Y70" s="2158"/>
      <c r="Z70" s="2158"/>
      <c r="AA70" s="1462"/>
      <c r="AB70" s="1462"/>
      <c r="AC70" s="1462"/>
      <c r="AD70" s="1462"/>
      <c r="AE70" s="1462"/>
      <c r="AF70" s="1462"/>
      <c r="AG70" s="1462"/>
      <c r="AH70" s="1462"/>
      <c r="AI70" s="1462"/>
    </row>
    <row r="71" spans="1:35" s="1271" customFormat="1" ht="14.25">
      <c r="A71" s="3471" t="s">
        <v>480</v>
      </c>
      <c r="B71" s="3472"/>
      <c r="C71" s="1939"/>
      <c r="D71" s="1939" t="s">
        <v>488</v>
      </c>
      <c r="E71" s="550" t="s">
        <v>489</v>
      </c>
      <c r="F71" s="551"/>
      <c r="G71" s="551"/>
      <c r="H71" s="552"/>
      <c r="I71" s="2311"/>
      <c r="J71" s="2158"/>
      <c r="K71" s="2158"/>
      <c r="L71" s="2158"/>
      <c r="M71" s="2158"/>
      <c r="N71" s="2158"/>
      <c r="O71" s="2158"/>
      <c r="P71" s="2158"/>
      <c r="Q71" s="2158"/>
      <c r="R71" s="2158"/>
      <c r="S71" s="2158"/>
      <c r="T71" s="2158"/>
      <c r="U71" s="2158"/>
      <c r="V71" s="2158"/>
      <c r="W71" s="2158"/>
      <c r="X71" s="2158"/>
      <c r="Y71" s="2158"/>
      <c r="Z71" s="2158"/>
      <c r="AA71" s="1462"/>
      <c r="AB71" s="1462"/>
      <c r="AC71" s="1462"/>
      <c r="AD71" s="1462"/>
      <c r="AE71" s="1462"/>
      <c r="AF71" s="1462"/>
      <c r="AG71" s="1462"/>
      <c r="AH71" s="1462"/>
      <c r="AI71" s="1462"/>
    </row>
    <row r="72" spans="1:35" s="1271" customFormat="1" ht="14.25">
      <c r="A72" s="540" t="s">
        <v>2255</v>
      </c>
      <c r="B72" s="541" t="s">
        <v>490</v>
      </c>
      <c r="C72" s="544">
        <f ca="1">ROUND(D45/(1+'数据-取费表'!B42),0)</f>
        <v>49378</v>
      </c>
      <c r="D72" s="537" t="s">
        <v>334</v>
      </c>
      <c r="E72" s="1942"/>
      <c r="F72" s="1943"/>
      <c r="G72" s="1943"/>
      <c r="H72" s="553"/>
      <c r="I72" s="2311"/>
      <c r="J72" s="2158"/>
      <c r="K72" s="2158"/>
      <c r="L72" s="2158"/>
      <c r="M72" s="2158"/>
      <c r="N72" s="2158"/>
      <c r="O72" s="2158"/>
      <c r="P72" s="2158"/>
      <c r="Q72" s="2158"/>
      <c r="R72" s="2158"/>
      <c r="S72" s="2158"/>
      <c r="T72" s="2158"/>
      <c r="U72" s="2158"/>
      <c r="V72" s="2158"/>
      <c r="W72" s="2158"/>
      <c r="X72" s="2158"/>
      <c r="Y72" s="2158"/>
      <c r="Z72" s="2158"/>
      <c r="AA72" s="1462"/>
      <c r="AB72" s="1462"/>
      <c r="AC72" s="1462"/>
      <c r="AD72" s="1462"/>
      <c r="AE72" s="1462"/>
      <c r="AF72" s="1462"/>
      <c r="AG72" s="1462"/>
      <c r="AH72" s="1462"/>
      <c r="AI72" s="1462"/>
    </row>
    <row r="73" spans="1:35" s="1271" customFormat="1" ht="14.25">
      <c r="A73" s="540" t="s">
        <v>2252</v>
      </c>
      <c r="B73" s="510" t="s">
        <v>491</v>
      </c>
      <c r="C73" s="544">
        <f ca="1">C74+C78</f>
        <v>10586</v>
      </c>
      <c r="D73" s="537" t="s">
        <v>334</v>
      </c>
      <c r="E73" s="1942"/>
      <c r="F73" s="1943"/>
      <c r="G73" s="1943"/>
      <c r="H73" s="553"/>
      <c r="I73" s="2311"/>
      <c r="J73" s="2158"/>
      <c r="K73" s="2158"/>
      <c r="L73" s="2158"/>
      <c r="M73" s="2158"/>
      <c r="N73" s="2158"/>
      <c r="O73" s="2158"/>
      <c r="P73" s="2158"/>
      <c r="Q73" s="2158"/>
      <c r="R73" s="2158"/>
      <c r="S73" s="2158"/>
      <c r="T73" s="2158"/>
      <c r="U73" s="2158"/>
      <c r="V73" s="2158"/>
      <c r="W73" s="2158"/>
      <c r="X73" s="2158"/>
      <c r="Y73" s="2158"/>
      <c r="Z73" s="2158"/>
      <c r="AA73" s="1462"/>
      <c r="AB73" s="1462"/>
      <c r="AC73" s="1462"/>
      <c r="AD73" s="1462"/>
      <c r="AE73" s="1462"/>
      <c r="AF73" s="1462"/>
      <c r="AG73" s="1462"/>
      <c r="AH73" s="1462"/>
      <c r="AI73" s="1462"/>
    </row>
    <row r="74" spans="1:35" s="1271" customFormat="1" ht="24">
      <c r="A74" s="554" t="s">
        <v>2256</v>
      </c>
      <c r="B74" s="535" t="s">
        <v>492</v>
      </c>
      <c r="C74" s="537">
        <f>C75+C76+C77</f>
        <v>10290</v>
      </c>
      <c r="D74" s="537" t="s">
        <v>334</v>
      </c>
      <c r="E74" s="1942"/>
      <c r="F74" s="1943"/>
      <c r="G74" s="1943"/>
      <c r="H74" s="553"/>
      <c r="I74" s="2311"/>
      <c r="J74" s="2158"/>
      <c r="K74" s="2158"/>
      <c r="L74" s="2158"/>
      <c r="M74" s="2158"/>
      <c r="N74" s="2158"/>
      <c r="O74" s="2158"/>
      <c r="P74" s="2158"/>
      <c r="Q74" s="2158"/>
      <c r="R74" s="2158"/>
      <c r="S74" s="2158"/>
      <c r="T74" s="2158"/>
      <c r="U74" s="2158"/>
      <c r="V74" s="2158"/>
      <c r="W74" s="2158"/>
      <c r="X74" s="2158"/>
      <c r="Y74" s="2158"/>
      <c r="Z74" s="2158"/>
      <c r="AA74" s="1462"/>
      <c r="AB74" s="1462"/>
      <c r="AC74" s="1462"/>
      <c r="AD74" s="1462"/>
      <c r="AE74" s="1462"/>
      <c r="AF74" s="1462"/>
      <c r="AG74" s="1462"/>
      <c r="AH74" s="1462"/>
      <c r="AI74" s="1462"/>
    </row>
    <row r="75" spans="1:35" s="1271" customFormat="1" ht="13.5">
      <c r="A75" s="554" t="s">
        <v>2257</v>
      </c>
      <c r="B75" s="535" t="s">
        <v>493</v>
      </c>
      <c r="C75" s="555">
        <v>10000</v>
      </c>
      <c r="D75" s="537" t="s">
        <v>334</v>
      </c>
      <c r="E75" s="556" t="s">
        <v>494</v>
      </c>
      <c r="F75" s="1433" t="s">
        <v>2795</v>
      </c>
      <c r="G75" s="556" t="s">
        <v>1036</v>
      </c>
      <c r="H75" s="557">
        <v>5</v>
      </c>
      <c r="I75" s="2312"/>
      <c r="J75" s="2158"/>
      <c r="K75" s="2158"/>
      <c r="L75" s="2158"/>
      <c r="M75" s="2158"/>
      <c r="N75" s="2158"/>
      <c r="O75" s="2158"/>
      <c r="P75" s="2158"/>
      <c r="Q75" s="2158"/>
      <c r="R75" s="2158"/>
      <c r="S75" s="2158"/>
      <c r="T75" s="2158"/>
      <c r="U75" s="2158"/>
      <c r="V75" s="2158"/>
      <c r="W75" s="2158"/>
      <c r="X75" s="2158"/>
      <c r="Y75" s="2158"/>
      <c r="Z75" s="2158"/>
      <c r="AA75" s="1462"/>
      <c r="AB75" s="1462"/>
      <c r="AC75" s="1462"/>
      <c r="AD75" s="1462"/>
      <c r="AE75" s="1462"/>
      <c r="AF75" s="1462"/>
      <c r="AG75" s="1462"/>
      <c r="AH75" s="1462"/>
      <c r="AI75" s="1462"/>
    </row>
    <row r="76" spans="1:35" s="1271" customFormat="1" ht="24.75" customHeight="1">
      <c r="A76" s="554" t="s">
        <v>2259</v>
      </c>
      <c r="B76" s="558" t="s">
        <v>495</v>
      </c>
      <c r="C76" s="537">
        <f>IF(F75="购房发票",ROUND(C75*H75*5%,0),0)</f>
        <v>0</v>
      </c>
      <c r="D76" s="559">
        <v>0.05</v>
      </c>
      <c r="E76" s="3466" t="s">
        <v>496</v>
      </c>
      <c r="F76" s="3444"/>
      <c r="G76" s="3444"/>
      <c r="H76" s="3493"/>
      <c r="I76" s="2311"/>
      <c r="J76" s="2158"/>
      <c r="K76" s="2158"/>
      <c r="L76" s="2158"/>
      <c r="M76" s="2158"/>
      <c r="N76" s="2158"/>
      <c r="O76" s="2158"/>
      <c r="P76" s="2158"/>
      <c r="Q76" s="2158"/>
      <c r="R76" s="2158"/>
      <c r="S76" s="2158"/>
      <c r="T76" s="2158"/>
      <c r="U76" s="2158"/>
      <c r="V76" s="2158"/>
      <c r="W76" s="2158"/>
      <c r="X76" s="2158"/>
      <c r="Y76" s="2158"/>
      <c r="Z76" s="2158"/>
      <c r="AA76" s="1462"/>
      <c r="AB76" s="1462"/>
      <c r="AC76" s="1462"/>
      <c r="AD76" s="1462"/>
      <c r="AE76" s="1462"/>
      <c r="AF76" s="1462"/>
      <c r="AG76" s="1462"/>
      <c r="AH76" s="1462"/>
      <c r="AI76" s="1462"/>
    </row>
    <row r="77" spans="1:35" s="1271" customFormat="1" ht="24.75" customHeight="1">
      <c r="A77" s="554" t="s">
        <v>2260</v>
      </c>
      <c r="B77" s="535" t="s">
        <v>497</v>
      </c>
      <c r="C77" s="537">
        <f>ROUND(IF(G77="个人住宅",0,IF(G77="2016年5月1日前购买",C75*D77,C75*D77/(1+'数据-取费表'!B42))),0)</f>
        <v>290</v>
      </c>
      <c r="D77" s="560">
        <f>'数据-取费表'!B48+'数据-取费表'!B49</f>
        <v>3.0499999999999999E-2</v>
      </c>
      <c r="E77" s="309" t="s">
        <v>1037</v>
      </c>
      <c r="F77" s="561"/>
      <c r="G77" s="1434" t="s">
        <v>2909</v>
      </c>
      <c r="H77" s="1944" t="str">
        <f>IF(G77="个人买卖住房","免征印花税"," ")</f>
        <v/>
      </c>
      <c r="I77" s="2311"/>
      <c r="J77" s="2158"/>
      <c r="K77" s="2158"/>
      <c r="L77" s="2158"/>
      <c r="M77" s="2158"/>
      <c r="N77" s="2158"/>
      <c r="O77" s="2158"/>
      <c r="P77" s="2158"/>
      <c r="Q77" s="2158"/>
      <c r="R77" s="2158"/>
      <c r="S77" s="2158"/>
      <c r="T77" s="2158"/>
      <c r="U77" s="2158"/>
      <c r="V77" s="2158"/>
      <c r="W77" s="2158"/>
      <c r="X77" s="2158"/>
      <c r="Y77" s="2158"/>
      <c r="Z77" s="2158"/>
      <c r="AA77" s="1462"/>
      <c r="AB77" s="1462"/>
      <c r="AC77" s="1462"/>
      <c r="AD77" s="1462"/>
      <c r="AE77" s="1462"/>
      <c r="AF77" s="1462"/>
      <c r="AG77" s="1462"/>
      <c r="AH77" s="1462"/>
      <c r="AI77" s="1462"/>
    </row>
    <row r="78" spans="1:35" s="1271" customFormat="1" ht="24.75" customHeight="1">
      <c r="A78" s="554" t="s">
        <v>2258</v>
      </c>
      <c r="B78" s="535" t="s">
        <v>498</v>
      </c>
      <c r="C78" s="562">
        <f ca="1">ROUND(D45*D78/(1+'数据-取费表'!B42),0)</f>
        <v>296</v>
      </c>
      <c r="D78" s="563">
        <f>'数据-取费表'!B43</f>
        <v>6.000000000000001E-3</v>
      </c>
      <c r="E78" s="3464" t="s">
        <v>2910</v>
      </c>
      <c r="F78" s="3455"/>
      <c r="G78" s="3455"/>
      <c r="H78" s="3465"/>
      <c r="I78" s="2313"/>
      <c r="J78" s="2158"/>
      <c r="K78" s="2158"/>
      <c r="L78" s="2158"/>
      <c r="M78" s="2158"/>
      <c r="N78" s="2158"/>
      <c r="O78" s="2158"/>
      <c r="P78" s="2158"/>
      <c r="Q78" s="2158"/>
      <c r="R78" s="2158"/>
      <c r="S78" s="2158"/>
      <c r="T78" s="2158"/>
      <c r="U78" s="2158"/>
      <c r="V78" s="2158"/>
      <c r="W78" s="2158"/>
      <c r="X78" s="2158"/>
      <c r="Y78" s="2158"/>
      <c r="Z78" s="2158"/>
      <c r="AA78" s="1462"/>
      <c r="AB78" s="1462"/>
      <c r="AC78" s="1462"/>
      <c r="AD78" s="1462"/>
      <c r="AE78" s="1462"/>
      <c r="AF78" s="1462"/>
      <c r="AG78" s="1462"/>
      <c r="AH78" s="1462"/>
      <c r="AI78" s="1462"/>
    </row>
    <row r="79" spans="1:35" s="1271" customFormat="1" ht="14.25">
      <c r="A79" s="1821" t="s">
        <v>2261</v>
      </c>
      <c r="B79" s="541" t="s">
        <v>499</v>
      </c>
      <c r="C79" s="544">
        <f ca="1">C72-C73</f>
        <v>38792</v>
      </c>
      <c r="D79" s="537" t="s">
        <v>334</v>
      </c>
      <c r="E79" s="1942"/>
      <c r="F79" s="1943"/>
      <c r="G79" s="1943"/>
      <c r="H79" s="553"/>
      <c r="I79" s="2311"/>
      <c r="J79" s="2158"/>
      <c r="K79" s="2158"/>
      <c r="L79" s="2158"/>
      <c r="M79" s="2158"/>
      <c r="N79" s="2158"/>
      <c r="O79" s="2158"/>
      <c r="P79" s="2158"/>
      <c r="Q79" s="2158"/>
      <c r="R79" s="2158"/>
      <c r="S79" s="2158"/>
      <c r="T79" s="2158"/>
      <c r="U79" s="2158"/>
      <c r="V79" s="2158"/>
      <c r="W79" s="2158"/>
      <c r="X79" s="2158"/>
      <c r="Y79" s="2158"/>
      <c r="Z79" s="2158"/>
      <c r="AA79" s="1462"/>
      <c r="AB79" s="1462"/>
      <c r="AC79" s="1462"/>
      <c r="AD79" s="1462"/>
      <c r="AE79" s="1462"/>
      <c r="AF79" s="1462"/>
      <c r="AG79" s="1462"/>
      <c r="AH79" s="1462"/>
      <c r="AI79" s="1462"/>
    </row>
    <row r="80" spans="1:35" s="1271" customFormat="1" ht="24">
      <c r="A80" s="1821" t="s">
        <v>2262</v>
      </c>
      <c r="B80" s="541" t="s">
        <v>500</v>
      </c>
      <c r="C80" s="564">
        <f ca="1">IF(C79&lt;=0,0,C79/C73)</f>
        <v>3.6644624976383904</v>
      </c>
      <c r="D80" s="537" t="s">
        <v>334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3"/>
      <c r="G80" s="1943"/>
      <c r="H80" s="553"/>
      <c r="I80" s="2311"/>
      <c r="J80" s="2158"/>
      <c r="K80" s="2158"/>
      <c r="L80" s="2158"/>
      <c r="M80" s="2158"/>
      <c r="N80" s="2158"/>
      <c r="O80" s="2158"/>
      <c r="P80" s="2158"/>
      <c r="Q80" s="2158"/>
      <c r="R80" s="2158"/>
      <c r="S80" s="2158"/>
      <c r="T80" s="2158"/>
      <c r="U80" s="2158"/>
      <c r="V80" s="2158"/>
      <c r="W80" s="2158"/>
      <c r="X80" s="2158"/>
      <c r="Y80" s="2158"/>
      <c r="Z80" s="2158"/>
      <c r="AA80" s="1462"/>
      <c r="AB80" s="1462"/>
      <c r="AC80" s="1462"/>
      <c r="AD80" s="1462"/>
      <c r="AE80" s="1462"/>
      <c r="AF80" s="1462"/>
      <c r="AG80" s="1462"/>
      <c r="AH80" s="1462"/>
      <c r="AI80" s="1462"/>
    </row>
    <row r="81" spans="1:35" s="1271" customFormat="1" ht="24.75" thickBot="1">
      <c r="A81" s="1822" t="s">
        <v>2263</v>
      </c>
      <c r="B81" s="546" t="s">
        <v>501</v>
      </c>
      <c r="C81" s="565">
        <f ca="1">ROUND(IF(C79&lt;=0,0,IF(C80&gt;=200%,C79*60%-C73*35%,IF(C80&gt;=100%,C79*50%-C73*15%,IF(C80&gt;=50%,C79*40%-C73*5%,IF(C80&lt;50%,C79*30%,0))))),0)</f>
        <v>19570</v>
      </c>
      <c r="D81" s="566" t="s">
        <v>334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1"/>
      <c r="J81" s="2158"/>
      <c r="K81" s="2158"/>
      <c r="L81" s="2158"/>
      <c r="M81" s="2158"/>
      <c r="N81" s="2158"/>
      <c r="O81" s="2158"/>
      <c r="P81" s="2158"/>
      <c r="Q81" s="2158"/>
      <c r="R81" s="2158"/>
      <c r="S81" s="2158"/>
      <c r="T81" s="2158"/>
      <c r="U81" s="2158"/>
      <c r="V81" s="2158"/>
      <c r="W81" s="2158"/>
      <c r="X81" s="2158"/>
      <c r="Y81" s="2158"/>
      <c r="Z81" s="2158"/>
      <c r="AA81" s="1462"/>
      <c r="AB81" s="1462"/>
      <c r="AC81" s="1462"/>
      <c r="AD81" s="1462"/>
      <c r="AE81" s="1462"/>
      <c r="AF81" s="1462"/>
      <c r="AG81" s="1462"/>
      <c r="AH81" s="1462"/>
      <c r="AI81" s="1462"/>
    </row>
    <row r="82" spans="1:35" s="1271" customFormat="1" ht="7.5" customHeight="1">
      <c r="A82" s="1238"/>
      <c r="B82" s="1239"/>
      <c r="C82" s="300"/>
      <c r="D82" s="300"/>
      <c r="E82" s="1239"/>
      <c r="F82" s="1239"/>
      <c r="G82" s="1239"/>
      <c r="H82" s="1240"/>
      <c r="I82" s="2313"/>
      <c r="J82" s="2158"/>
      <c r="K82" s="2158"/>
      <c r="L82" s="2158"/>
      <c r="M82" s="2158"/>
      <c r="N82" s="2158"/>
      <c r="O82" s="2158"/>
      <c r="P82" s="2158"/>
      <c r="Q82" s="2158"/>
      <c r="R82" s="2158"/>
      <c r="S82" s="2158"/>
      <c r="T82" s="2158"/>
      <c r="U82" s="2158"/>
      <c r="V82" s="2158"/>
      <c r="W82" s="2158"/>
      <c r="X82" s="2158"/>
      <c r="Y82" s="2158"/>
      <c r="Z82" s="2158"/>
      <c r="AA82" s="1462"/>
      <c r="AB82" s="1462"/>
      <c r="AC82" s="1462"/>
      <c r="AD82" s="1462"/>
      <c r="AE82" s="1462"/>
      <c r="AF82" s="1462"/>
      <c r="AG82" s="1462"/>
      <c r="AH82" s="1462"/>
      <c r="AI82" s="1462"/>
    </row>
    <row r="83" spans="1:35" s="1271" customFormat="1" ht="14.25" thickBot="1">
      <c r="A83" s="3494" t="s">
        <v>502</v>
      </c>
      <c r="B83" s="3495"/>
      <c r="C83" s="3495"/>
      <c r="D83" s="3495"/>
      <c r="E83" s="3495"/>
      <c r="F83" s="3495"/>
      <c r="G83" s="3495"/>
      <c r="H83" s="3495"/>
      <c r="I83" s="2312"/>
      <c r="J83" s="2158"/>
      <c r="K83" s="2158"/>
      <c r="L83" s="2158"/>
      <c r="M83" s="2158"/>
      <c r="N83" s="2158"/>
      <c r="O83" s="2158"/>
      <c r="P83" s="2158"/>
      <c r="Q83" s="2158"/>
      <c r="R83" s="2158"/>
      <c r="S83" s="2158"/>
      <c r="T83" s="2158"/>
      <c r="U83" s="2158"/>
      <c r="V83" s="2158"/>
      <c r="W83" s="2158"/>
      <c r="X83" s="2158"/>
      <c r="Y83" s="2158"/>
      <c r="Z83" s="2158"/>
      <c r="AA83" s="1462"/>
      <c r="AB83" s="1462"/>
      <c r="AC83" s="1462"/>
      <c r="AD83" s="1462"/>
      <c r="AE83" s="1462"/>
      <c r="AF83" s="1462"/>
      <c r="AG83" s="1462"/>
      <c r="AH83" s="1462"/>
      <c r="AI83" s="1462"/>
    </row>
    <row r="84" spans="1:35" s="1271" customFormat="1" ht="13.5">
      <c r="A84" s="3471" t="s">
        <v>480</v>
      </c>
      <c r="B84" s="3472"/>
      <c r="C84" s="1939"/>
      <c r="D84" s="1939" t="s">
        <v>488</v>
      </c>
      <c r="E84" s="550" t="s">
        <v>489</v>
      </c>
      <c r="F84" s="551"/>
      <c r="G84" s="551"/>
      <c r="H84" s="570"/>
      <c r="I84" s="2312"/>
      <c r="J84" s="2158"/>
      <c r="K84" s="2158"/>
      <c r="L84" s="2158"/>
      <c r="M84" s="2158"/>
      <c r="N84" s="2158"/>
      <c r="O84" s="2158"/>
      <c r="P84" s="2158"/>
      <c r="Q84" s="2158"/>
      <c r="R84" s="2158"/>
      <c r="S84" s="2158"/>
      <c r="T84" s="2158"/>
      <c r="U84" s="2158"/>
      <c r="V84" s="2158"/>
      <c r="W84" s="2158"/>
      <c r="X84" s="2158"/>
      <c r="Y84" s="2158"/>
      <c r="Z84" s="2158"/>
      <c r="AA84" s="1462"/>
      <c r="AB84" s="1462"/>
      <c r="AC84" s="1462"/>
      <c r="AD84" s="1462"/>
      <c r="AE84" s="1462"/>
      <c r="AF84" s="1462"/>
      <c r="AG84" s="1462"/>
      <c r="AH84" s="1462"/>
      <c r="AI84" s="1462"/>
    </row>
    <row r="85" spans="1:35" s="1271" customFormat="1" ht="13.5">
      <c r="A85" s="540" t="s">
        <v>2255</v>
      </c>
      <c r="B85" s="541" t="s">
        <v>490</v>
      </c>
      <c r="C85" s="544">
        <f ca="1">ROUND(D45/(1+'数据-取费表'!B42),0)</f>
        <v>49378</v>
      </c>
      <c r="D85" s="537" t="s">
        <v>334</v>
      </c>
      <c r="E85" s="1942"/>
      <c r="F85" s="1943"/>
      <c r="G85" s="1943"/>
      <c r="H85" s="571"/>
      <c r="I85" s="2312"/>
      <c r="J85" s="2158"/>
      <c r="K85" s="2158"/>
      <c r="L85" s="2158"/>
      <c r="M85" s="2158"/>
      <c r="N85" s="2158"/>
      <c r="O85" s="2158"/>
      <c r="P85" s="2158"/>
      <c r="Q85" s="2158"/>
      <c r="R85" s="2158"/>
      <c r="S85" s="2158"/>
      <c r="T85" s="2158"/>
      <c r="U85" s="2158"/>
      <c r="V85" s="2158"/>
      <c r="W85" s="2158"/>
      <c r="X85" s="2158"/>
      <c r="Y85" s="2158"/>
      <c r="Z85" s="2158"/>
      <c r="AA85" s="1462"/>
      <c r="AB85" s="1462"/>
      <c r="AC85" s="1462"/>
      <c r="AD85" s="1462"/>
      <c r="AE85" s="1462"/>
      <c r="AF85" s="1462"/>
      <c r="AG85" s="1462"/>
      <c r="AH85" s="1462"/>
      <c r="AI85" s="1462"/>
    </row>
    <row r="86" spans="1:35" s="1271" customFormat="1" ht="13.5">
      <c r="A86" s="540" t="s">
        <v>2252</v>
      </c>
      <c r="B86" s="510" t="s">
        <v>491</v>
      </c>
      <c r="C86" s="544">
        <f ca="1">IF(H88="仅含出让金",C87+C90+C91+C92+C93+C94,C87+C91+C92+C93+C94)</f>
        <v>7385</v>
      </c>
      <c r="D86" s="572"/>
      <c r="E86" s="1942"/>
      <c r="F86" s="1943"/>
      <c r="G86" s="1943"/>
      <c r="H86" s="571"/>
      <c r="I86" s="2312"/>
      <c r="J86" s="2158"/>
      <c r="K86" s="2158"/>
      <c r="L86" s="2158"/>
      <c r="M86" s="2158"/>
      <c r="N86" s="2158"/>
      <c r="O86" s="2158"/>
      <c r="P86" s="2158"/>
      <c r="Q86" s="2158"/>
      <c r="R86" s="2158"/>
      <c r="S86" s="2158"/>
      <c r="T86" s="2158"/>
      <c r="U86" s="2158"/>
      <c r="V86" s="2158"/>
      <c r="W86" s="2158"/>
      <c r="X86" s="2158"/>
      <c r="Y86" s="2158"/>
      <c r="Z86" s="2158"/>
      <c r="AA86" s="1462"/>
      <c r="AB86" s="1462"/>
      <c r="AC86" s="1462"/>
      <c r="AD86" s="1462"/>
      <c r="AE86" s="1462"/>
      <c r="AF86" s="1462"/>
      <c r="AG86" s="1462"/>
      <c r="AH86" s="1462"/>
      <c r="AI86" s="1462"/>
    </row>
    <row r="87" spans="1:35" s="1271" customFormat="1" ht="13.5">
      <c r="A87" s="554" t="s">
        <v>2256</v>
      </c>
      <c r="B87" s="535" t="s">
        <v>503</v>
      </c>
      <c r="C87" s="562">
        <f>C88+C89</f>
        <v>5153</v>
      </c>
      <c r="D87" s="563"/>
      <c r="E87" s="1937"/>
      <c r="F87" s="1938"/>
      <c r="G87" s="1938"/>
      <c r="H87" s="1940"/>
      <c r="I87" s="2312"/>
      <c r="J87" s="2158"/>
      <c r="K87" s="2158"/>
      <c r="L87" s="2158"/>
      <c r="M87" s="2158"/>
      <c r="N87" s="2158"/>
      <c r="O87" s="2158"/>
      <c r="P87" s="2158"/>
      <c r="Q87" s="2158"/>
      <c r="R87" s="2158"/>
      <c r="S87" s="2158"/>
      <c r="T87" s="2158"/>
      <c r="U87" s="2158"/>
      <c r="V87" s="2158"/>
      <c r="W87" s="2158"/>
      <c r="X87" s="2158"/>
      <c r="Y87" s="2158"/>
      <c r="Z87" s="2158"/>
      <c r="AA87" s="1462"/>
      <c r="AB87" s="1462"/>
      <c r="AC87" s="1462"/>
      <c r="AD87" s="1462"/>
      <c r="AE87" s="1462"/>
      <c r="AF87" s="1462"/>
      <c r="AG87" s="1462"/>
      <c r="AH87" s="1462"/>
      <c r="AI87" s="1462"/>
    </row>
    <row r="88" spans="1:35" s="1271" customFormat="1" ht="13.5">
      <c r="A88" s="554" t="s">
        <v>2257</v>
      </c>
      <c r="B88" s="535" t="s">
        <v>504</v>
      </c>
      <c r="C88" s="573">
        <v>5000</v>
      </c>
      <c r="D88" s="563"/>
      <c r="E88" s="574" t="s">
        <v>505</v>
      </c>
      <c r="F88" s="1938"/>
      <c r="G88" s="575" t="s">
        <v>506</v>
      </c>
      <c r="H88" s="1435" t="s">
        <v>1486</v>
      </c>
      <c r="I88" s="2312"/>
      <c r="J88" s="2158"/>
      <c r="K88" s="2158"/>
      <c r="L88" s="2158"/>
      <c r="M88" s="2158"/>
      <c r="N88" s="2158"/>
      <c r="O88" s="2158"/>
      <c r="P88" s="2158"/>
      <c r="Q88" s="2158"/>
      <c r="R88" s="2158"/>
      <c r="S88" s="2158"/>
      <c r="T88" s="2158"/>
      <c r="U88" s="2158"/>
      <c r="V88" s="2158"/>
      <c r="W88" s="2158"/>
      <c r="X88" s="2158"/>
      <c r="Y88" s="2158"/>
      <c r="Z88" s="2158"/>
      <c r="AA88" s="1462"/>
      <c r="AB88" s="1462"/>
      <c r="AC88" s="1462"/>
      <c r="AD88" s="1462"/>
      <c r="AE88" s="1462"/>
      <c r="AF88" s="1462"/>
      <c r="AG88" s="1462"/>
      <c r="AH88" s="1462"/>
      <c r="AI88" s="1462"/>
    </row>
    <row r="89" spans="1:35" s="1271" customFormat="1" ht="13.5">
      <c r="A89" s="554" t="s">
        <v>2259</v>
      </c>
      <c r="B89" s="535" t="s">
        <v>497</v>
      </c>
      <c r="C89" s="562">
        <f>ROUND(C88*D89,0)</f>
        <v>153</v>
      </c>
      <c r="D89" s="563">
        <f>'数据-取费表'!B48+'数据-取费表'!B49</f>
        <v>3.0499999999999999E-2</v>
      </c>
      <c r="E89" s="574" t="s">
        <v>507</v>
      </c>
      <c r="F89" s="1938"/>
      <c r="G89" s="1938"/>
      <c r="H89" s="1940"/>
      <c r="I89" s="2312"/>
      <c r="J89" s="2158"/>
      <c r="K89" s="2158"/>
      <c r="L89" s="2158"/>
      <c r="M89" s="2158"/>
      <c r="N89" s="2158"/>
      <c r="O89" s="2158"/>
      <c r="P89" s="2158"/>
      <c r="Q89" s="2158"/>
      <c r="R89" s="2158"/>
      <c r="S89" s="2158"/>
      <c r="T89" s="2158"/>
      <c r="U89" s="2158"/>
      <c r="V89" s="2158"/>
      <c r="W89" s="2158"/>
      <c r="X89" s="2158"/>
      <c r="Y89" s="2158"/>
      <c r="Z89" s="2158"/>
      <c r="AA89" s="1462"/>
      <c r="AB89" s="1462"/>
      <c r="AC89" s="1462"/>
      <c r="AD89" s="1462"/>
      <c r="AE89" s="1462"/>
      <c r="AF89" s="1462"/>
      <c r="AG89" s="1462"/>
      <c r="AH89" s="1462"/>
      <c r="AI89" s="1462"/>
    </row>
    <row r="90" spans="1:35" s="1271" customFormat="1" ht="13.5">
      <c r="A90" s="554" t="s">
        <v>2258</v>
      </c>
      <c r="B90" s="535" t="s">
        <v>508</v>
      </c>
      <c r="C90" s="573"/>
      <c r="D90" s="563"/>
      <c r="E90" s="574" t="str">
        <f>IF(H88="-","土地取得成本中已包含该笔费用"," ")</f>
        <v/>
      </c>
      <c r="F90" s="1938"/>
      <c r="G90" s="1938"/>
      <c r="H90" s="1940"/>
      <c r="I90" s="2312"/>
      <c r="J90" s="2158"/>
      <c r="K90" s="2158"/>
      <c r="L90" s="2158"/>
      <c r="M90" s="2158"/>
      <c r="N90" s="2158"/>
      <c r="O90" s="2158"/>
      <c r="P90" s="2158"/>
      <c r="Q90" s="2158"/>
      <c r="R90" s="2158"/>
      <c r="S90" s="2158"/>
      <c r="T90" s="2158"/>
      <c r="U90" s="2158"/>
      <c r="V90" s="2158"/>
      <c r="W90" s="2158"/>
      <c r="X90" s="2158"/>
      <c r="Y90" s="2158"/>
      <c r="Z90" s="2158"/>
      <c r="AA90" s="1462"/>
      <c r="AB90" s="1462"/>
      <c r="AC90" s="1462"/>
      <c r="AD90" s="1462"/>
      <c r="AE90" s="1462"/>
      <c r="AF90" s="1462"/>
      <c r="AG90" s="1462"/>
      <c r="AH90" s="1462"/>
      <c r="AI90" s="1462"/>
    </row>
    <row r="91" spans="1:35" s="1271" customFormat="1" ht="27.75" customHeight="1">
      <c r="A91" s="1823" t="s">
        <v>2264</v>
      </c>
      <c r="B91" s="535" t="s">
        <v>509</v>
      </c>
      <c r="C91" s="562">
        <f>IF(H91="——",成本法!C33,I91)</f>
        <v>300</v>
      </c>
      <c r="D91" s="563"/>
      <c r="E91" s="3454" t="s">
        <v>1038</v>
      </c>
      <c r="F91" s="3455"/>
      <c r="G91" s="3455"/>
      <c r="H91" s="1436" t="s">
        <v>2688</v>
      </c>
      <c r="I91" s="2205">
        <v>300</v>
      </c>
      <c r="J91" s="2158"/>
      <c r="K91" s="2158"/>
      <c r="L91" s="2158"/>
      <c r="M91" s="2158"/>
      <c r="N91" s="2158"/>
      <c r="O91" s="2158"/>
      <c r="P91" s="2158"/>
      <c r="Q91" s="2158"/>
      <c r="R91" s="2158"/>
      <c r="S91" s="2158"/>
      <c r="T91" s="2158"/>
      <c r="U91" s="2158"/>
      <c r="V91" s="2158"/>
      <c r="W91" s="2158"/>
      <c r="X91" s="2158"/>
      <c r="Y91" s="2158"/>
      <c r="Z91" s="2158"/>
      <c r="AA91" s="1462"/>
      <c r="AB91" s="1462"/>
      <c r="AC91" s="1462"/>
      <c r="AD91" s="1462"/>
      <c r="AE91" s="1462"/>
      <c r="AF91" s="1462"/>
      <c r="AG91" s="1462"/>
      <c r="AH91" s="1462"/>
      <c r="AI91" s="1462"/>
    </row>
    <row r="92" spans="1:35" s="1271" customFormat="1" ht="25.5" customHeight="1">
      <c r="A92" s="1823" t="s">
        <v>2265</v>
      </c>
      <c r="B92" s="535" t="s">
        <v>510</v>
      </c>
      <c r="C92" s="562">
        <f>ROUND((C87+C90+C91)*D92,0)</f>
        <v>545</v>
      </c>
      <c r="D92" s="563">
        <v>0.1</v>
      </c>
      <c r="E92" s="3454" t="s">
        <v>511</v>
      </c>
      <c r="F92" s="3455"/>
      <c r="G92" s="3455"/>
      <c r="H92" s="3465"/>
      <c r="I92" s="2312"/>
      <c r="J92" s="2158"/>
      <c r="K92" s="2158"/>
      <c r="L92" s="2158"/>
      <c r="M92" s="2158"/>
      <c r="N92" s="2158"/>
      <c r="O92" s="2158"/>
      <c r="P92" s="2158"/>
      <c r="Q92" s="2158"/>
      <c r="R92" s="2158"/>
      <c r="S92" s="2158"/>
      <c r="T92" s="2158"/>
      <c r="U92" s="2158"/>
      <c r="V92" s="2158"/>
      <c r="W92" s="2158"/>
      <c r="X92" s="2158"/>
      <c r="Y92" s="2158"/>
      <c r="Z92" s="2158"/>
      <c r="AA92" s="1462"/>
      <c r="AB92" s="1462"/>
      <c r="AC92" s="1462"/>
      <c r="AD92" s="1462"/>
      <c r="AE92" s="1462"/>
      <c r="AF92" s="1462"/>
      <c r="AG92" s="1462"/>
      <c r="AH92" s="1462"/>
      <c r="AI92" s="1462"/>
    </row>
    <row r="93" spans="1:35" s="1271" customFormat="1" ht="25.5" customHeight="1">
      <c r="A93" s="1823" t="s">
        <v>2266</v>
      </c>
      <c r="B93" s="535" t="s">
        <v>498</v>
      </c>
      <c r="C93" s="562">
        <f ca="1">ROUND(D45*D93/(1+'数据-取费表'!B42),0)</f>
        <v>296</v>
      </c>
      <c r="D93" s="563">
        <f>'数据-取费表'!B43</f>
        <v>6.000000000000001E-3</v>
      </c>
      <c r="E93" s="3464" t="s">
        <v>2910</v>
      </c>
      <c r="F93" s="3455"/>
      <c r="G93" s="3455"/>
      <c r="H93" s="3465"/>
      <c r="I93" s="2312"/>
      <c r="J93" s="2158"/>
      <c r="K93" s="2158"/>
      <c r="L93" s="2158"/>
      <c r="M93" s="2158"/>
      <c r="N93" s="2158"/>
      <c r="O93" s="2158"/>
      <c r="P93" s="2158"/>
      <c r="Q93" s="2158"/>
      <c r="R93" s="2158"/>
      <c r="S93" s="2158"/>
      <c r="T93" s="2158"/>
      <c r="U93" s="2158"/>
      <c r="V93" s="2158"/>
      <c r="W93" s="2158"/>
      <c r="X93" s="2158"/>
      <c r="Y93" s="2158"/>
      <c r="Z93" s="2158"/>
      <c r="AA93" s="1462"/>
      <c r="AB93" s="1462"/>
      <c r="AC93" s="1462"/>
      <c r="AD93" s="1462"/>
      <c r="AE93" s="1462"/>
      <c r="AF93" s="1462"/>
      <c r="AG93" s="1462"/>
      <c r="AH93" s="1462"/>
      <c r="AI93" s="1462"/>
    </row>
    <row r="94" spans="1:35" s="1271" customFormat="1" ht="25.5" customHeight="1">
      <c r="A94" s="1823" t="s">
        <v>2267</v>
      </c>
      <c r="B94" s="535" t="s">
        <v>512</v>
      </c>
      <c r="C94" s="562">
        <f>ROUND((C87+C90+C91)*D94,0)</f>
        <v>1091</v>
      </c>
      <c r="D94" s="563">
        <v>0.2</v>
      </c>
      <c r="E94" s="3454" t="s">
        <v>513</v>
      </c>
      <c r="F94" s="3455"/>
      <c r="G94" s="3455"/>
      <c r="H94" s="3465"/>
      <c r="I94" s="2312"/>
      <c r="J94" s="2158"/>
      <c r="K94" s="2158"/>
      <c r="L94" s="2158"/>
      <c r="M94" s="2158"/>
      <c r="N94" s="2158"/>
      <c r="O94" s="2158"/>
      <c r="P94" s="2158"/>
      <c r="Q94" s="2158"/>
      <c r="R94" s="2158"/>
      <c r="S94" s="2158"/>
      <c r="T94" s="2158"/>
      <c r="U94" s="2158"/>
      <c r="V94" s="2158"/>
      <c r="W94" s="2158"/>
      <c r="X94" s="2158"/>
      <c r="Y94" s="2158"/>
      <c r="Z94" s="2158"/>
      <c r="AA94" s="1462"/>
      <c r="AB94" s="1462"/>
      <c r="AC94" s="1462"/>
      <c r="AD94" s="1462"/>
      <c r="AE94" s="1462"/>
      <c r="AF94" s="1462"/>
      <c r="AG94" s="1462"/>
      <c r="AH94" s="1462"/>
      <c r="AI94" s="1462"/>
    </row>
    <row r="95" spans="1:35" s="1271" customFormat="1" ht="13.5">
      <c r="A95" s="1821" t="s">
        <v>2261</v>
      </c>
      <c r="B95" s="541" t="s">
        <v>499</v>
      </c>
      <c r="C95" s="544">
        <f ca="1">ROUND(C85-C86,0)</f>
        <v>41993</v>
      </c>
      <c r="D95" s="537" t="s">
        <v>334</v>
      </c>
      <c r="E95" s="1942"/>
      <c r="F95" s="1943"/>
      <c r="G95" s="1943"/>
      <c r="H95" s="571"/>
      <c r="I95" s="2312"/>
      <c r="J95" s="2158"/>
      <c r="K95" s="2158"/>
      <c r="L95" s="2158"/>
      <c r="M95" s="2158"/>
      <c r="N95" s="2158"/>
      <c r="O95" s="2158"/>
      <c r="P95" s="2158"/>
      <c r="Q95" s="2158"/>
      <c r="R95" s="2158"/>
      <c r="S95" s="2158"/>
      <c r="T95" s="2158"/>
      <c r="U95" s="2158"/>
      <c r="V95" s="2158"/>
      <c r="W95" s="2158"/>
      <c r="X95" s="2158"/>
      <c r="Y95" s="2158"/>
      <c r="Z95" s="2158"/>
      <c r="AA95" s="1462"/>
      <c r="AB95" s="1462"/>
      <c r="AC95" s="1462"/>
      <c r="AD95" s="1462"/>
      <c r="AE95" s="1462"/>
      <c r="AF95" s="1462"/>
      <c r="AG95" s="1462"/>
      <c r="AH95" s="1462"/>
      <c r="AI95" s="1462"/>
    </row>
    <row r="96" spans="1:35" s="1271" customFormat="1" ht="24">
      <c r="A96" s="1821" t="s">
        <v>2262</v>
      </c>
      <c r="B96" s="541" t="s">
        <v>500</v>
      </c>
      <c r="C96" s="564">
        <f ca="1">IF(C95&lt;=0,0,C95/C86)</f>
        <v>5.6862559241706165</v>
      </c>
      <c r="D96" s="537" t="s">
        <v>334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3"/>
      <c r="G96" s="1943"/>
      <c r="H96" s="571"/>
      <c r="I96" s="2312"/>
      <c r="J96" s="2158"/>
      <c r="K96" s="2158"/>
      <c r="L96" s="2158"/>
      <c r="M96" s="2158"/>
      <c r="N96" s="2158"/>
      <c r="O96" s="2158"/>
      <c r="P96" s="2158"/>
      <c r="Q96" s="2158"/>
      <c r="R96" s="2158"/>
      <c r="S96" s="2158"/>
      <c r="T96" s="2158"/>
      <c r="U96" s="2158"/>
      <c r="V96" s="2158"/>
      <c r="W96" s="2158"/>
      <c r="X96" s="2158"/>
      <c r="Y96" s="2158"/>
      <c r="Z96" s="2158"/>
      <c r="AA96" s="1462"/>
      <c r="AB96" s="1462"/>
      <c r="AC96" s="1462"/>
      <c r="AD96" s="1462"/>
      <c r="AE96" s="1462"/>
      <c r="AF96" s="1462"/>
      <c r="AG96" s="1462"/>
      <c r="AH96" s="1462"/>
      <c r="AI96" s="1462"/>
    </row>
    <row r="97" spans="1:35" s="1271" customFormat="1" ht="24.75" thickBot="1">
      <c r="A97" s="1822" t="s">
        <v>2263</v>
      </c>
      <c r="B97" s="546" t="s">
        <v>501</v>
      </c>
      <c r="C97" s="565">
        <f ca="1">ROUND(IF(C95&lt;=0,0,IF(C96&gt;=200%,C95*60%-C86*35%,IF(C96&gt;=100%,C95*50%-C86*15%,IF(C96&gt;=50%,C95*40%-C86*5%,IF(C96&lt;50%,C95*30%,0))))),0)</f>
        <v>22611</v>
      </c>
      <c r="D97" s="566" t="s">
        <v>334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2"/>
      <c r="J97" s="2158"/>
      <c r="K97" s="2158"/>
      <c r="L97" s="2158"/>
      <c r="M97" s="2158"/>
      <c r="N97" s="2158"/>
      <c r="O97" s="2158"/>
      <c r="P97" s="2158"/>
      <c r="Q97" s="2158"/>
      <c r="R97" s="2158"/>
      <c r="S97" s="2158"/>
      <c r="T97" s="2158"/>
      <c r="U97" s="2158"/>
      <c r="V97" s="2158"/>
      <c r="W97" s="2158"/>
      <c r="X97" s="2158"/>
      <c r="Y97" s="2158"/>
      <c r="Z97" s="2158"/>
      <c r="AA97" s="1462"/>
      <c r="AB97" s="1462"/>
      <c r="AC97" s="1462"/>
      <c r="AD97" s="1462"/>
      <c r="AE97" s="1462"/>
      <c r="AF97" s="1462"/>
      <c r="AG97" s="1462"/>
      <c r="AH97" s="1462"/>
      <c r="AI97" s="1462"/>
    </row>
    <row r="98" spans="1:35" ht="21.75" customHeight="1">
      <c r="A98" s="1264"/>
      <c r="B98" s="1249"/>
      <c r="C98" s="1249"/>
      <c r="D98" s="1249"/>
      <c r="E98" s="229"/>
      <c r="F98" s="229"/>
      <c r="G98" s="229"/>
      <c r="H98" s="241"/>
      <c r="I98" s="2304"/>
    </row>
    <row r="99" spans="1:35" ht="21.75" customHeight="1" thickBot="1">
      <c r="A99" s="1258" t="s">
        <v>397</v>
      </c>
      <c r="B99" s="1249"/>
      <c r="C99" s="1249"/>
      <c r="D99" s="1249"/>
      <c r="E99" s="229"/>
      <c r="F99" s="229"/>
      <c r="G99" s="229"/>
      <c r="H99" s="241"/>
      <c r="I99" s="2304"/>
    </row>
    <row r="100" spans="1:35" ht="18.75" customHeight="1">
      <c r="A100" s="3438" t="s">
        <v>398</v>
      </c>
      <c r="B100" s="3439"/>
      <c r="C100" s="3439"/>
      <c r="D100" s="3456"/>
      <c r="E100" s="3439" t="s">
        <v>3314</v>
      </c>
      <c r="F100" s="3439"/>
      <c r="G100" s="3439"/>
      <c r="H100" s="3456"/>
      <c r="I100" s="2304"/>
    </row>
    <row r="101" spans="1:35" ht="18.75" customHeight="1">
      <c r="A101" s="3519" t="s">
        <v>375</v>
      </c>
      <c r="B101" s="3520"/>
      <c r="C101" s="1272" t="str">
        <f>C4</f>
        <v>成本法</v>
      </c>
      <c r="D101" s="1273" t="str">
        <f>D4</f>
        <v>收益法（汇总）</v>
      </c>
      <c r="E101" s="3537" t="s">
        <v>2269</v>
      </c>
      <c r="F101" s="3486"/>
      <c r="G101" s="1274" t="s">
        <v>377</v>
      </c>
      <c r="H101" s="2008">
        <f ca="1">H118</f>
        <v>51847</v>
      </c>
      <c r="I101" s="2304"/>
    </row>
    <row r="102" spans="1:35" ht="18.75" customHeight="1">
      <c r="A102" s="3488" t="s">
        <v>376</v>
      </c>
      <c r="B102" s="1274" t="s">
        <v>377</v>
      </c>
      <c r="C102" s="1241">
        <f ca="1">C19</f>
        <v>47225</v>
      </c>
      <c r="D102" s="1242">
        <f ca="1">D19</f>
        <v>56468</v>
      </c>
      <c r="E102" s="3537"/>
      <c r="F102" s="3486"/>
      <c r="G102" s="1274" t="s">
        <v>378</v>
      </c>
      <c r="H102" s="716">
        <f ca="1">I118</f>
        <v>45575</v>
      </c>
      <c r="I102" s="2304"/>
    </row>
    <row r="103" spans="1:35" ht="42.75" customHeight="1">
      <c r="A103" s="3488"/>
      <c r="B103" s="1274" t="s">
        <v>378</v>
      </c>
      <c r="C103" s="1243">
        <f ca="1">C20</f>
        <v>41512</v>
      </c>
      <c r="D103" s="1244">
        <f ca="1">D20</f>
        <v>49636</v>
      </c>
      <c r="E103" s="3532" t="s">
        <v>3393</v>
      </c>
      <c r="F103" s="3533"/>
      <c r="G103" s="1275" t="s">
        <v>380</v>
      </c>
      <c r="H103" s="2008">
        <f>IF(D36="正常操作",H104+H105+H106,H105+H106)</f>
        <v>0</v>
      </c>
      <c r="I103" s="2304"/>
    </row>
    <row r="104" spans="1:35" ht="18.75" customHeight="1">
      <c r="A104" s="3488" t="s">
        <v>379</v>
      </c>
      <c r="B104" s="1276" t="s">
        <v>377</v>
      </c>
      <c r="C104" s="1245">
        <f ca="1">H118</f>
        <v>51847</v>
      </c>
      <c r="D104" s="1246"/>
      <c r="E104" s="13" t="s">
        <v>2268</v>
      </c>
      <c r="F104" s="6"/>
      <c r="G104" s="1275" t="s">
        <v>380</v>
      </c>
      <c r="H104" s="2009">
        <f>IF(D36="同一抵押权人同一抵押物续贷",C36&amp;"（未扣减，详见特别提示）",C36)</f>
        <v>0</v>
      </c>
      <c r="I104" s="2304"/>
    </row>
    <row r="105" spans="1:35" ht="18.75" customHeight="1" thickBot="1">
      <c r="A105" s="3489"/>
      <c r="B105" s="1277" t="s">
        <v>378</v>
      </c>
      <c r="C105" s="1247">
        <f ca="1">I118</f>
        <v>45575</v>
      </c>
      <c r="D105" s="1248"/>
      <c r="E105" s="13" t="s">
        <v>2270</v>
      </c>
      <c r="F105" s="6"/>
      <c r="G105" s="1275" t="s">
        <v>380</v>
      </c>
      <c r="H105" s="2009">
        <f>C37</f>
        <v>0</v>
      </c>
      <c r="I105" s="2304"/>
    </row>
    <row r="106" spans="1:35" ht="18.75" customHeight="1">
      <c r="A106" s="1249" t="s">
        <v>2367</v>
      </c>
      <c r="B106" s="1249"/>
      <c r="C106" s="1249"/>
      <c r="D106" s="1249"/>
      <c r="E106" s="472" t="s">
        <v>2271</v>
      </c>
      <c r="F106" s="6"/>
      <c r="G106" s="1275" t="s">
        <v>380</v>
      </c>
      <c r="H106" s="2009">
        <f>C38</f>
        <v>0</v>
      </c>
      <c r="I106" s="2304"/>
    </row>
    <row r="107" spans="1:35" ht="18.75" customHeight="1">
      <c r="A107" s="2304"/>
      <c r="B107" s="2304"/>
      <c r="C107" s="2304"/>
      <c r="D107" s="2304"/>
      <c r="E107" s="3485" t="str">
        <f>IF(项目基本情况!E8="已注销","——","3.房地产抵押价值")</f>
        <v>——</v>
      </c>
      <c r="F107" s="3486"/>
      <c r="G107" s="1274" t="s">
        <v>377</v>
      </c>
      <c r="H107" s="2008" t="str">
        <f>IF(E107="——","——",H101-H103)</f>
        <v>——</v>
      </c>
      <c r="I107" s="2304"/>
    </row>
    <row r="108" spans="1:35" ht="18.75" customHeight="1">
      <c r="A108" s="2304"/>
      <c r="B108" s="2304"/>
      <c r="C108" s="2304"/>
      <c r="D108" s="2304"/>
      <c r="E108" s="3485"/>
      <c r="F108" s="3486"/>
      <c r="G108" s="1274" t="s">
        <v>378</v>
      </c>
      <c r="H108" s="716" t="e">
        <f>ROUND(H107*10000/'数据-汇总表'!E3,0)</f>
        <v>#VALUE!</v>
      </c>
      <c r="I108" s="2304"/>
    </row>
    <row r="109" spans="1:35" ht="18.75" customHeight="1">
      <c r="A109" s="2304"/>
      <c r="B109" s="2304"/>
      <c r="C109" s="2304"/>
      <c r="D109" s="2304"/>
      <c r="E109" s="3485" t="str">
        <f>IF(项目基本情况!E8="已注销及未注销","4.抵押担保权已注销时的房地产抵押价值",IF(项目基本情况!E8="已注销","3.抵押担保权已注销时的房地产抵押价值","——"))</f>
        <v>3.抵押担保权已注销时的房地产抵押价值</v>
      </c>
      <c r="F109" s="3486"/>
      <c r="G109" s="1274" t="s">
        <v>377</v>
      </c>
      <c r="H109" s="690">
        <f ca="1">IF(E109="——","——",H101-H105-H106)</f>
        <v>51847</v>
      </c>
      <c r="I109" s="2304"/>
    </row>
    <row r="110" spans="1:35" ht="18.75" customHeight="1">
      <c r="A110" s="2304"/>
      <c r="B110" s="2304"/>
      <c r="C110" s="2304"/>
      <c r="D110" s="2304"/>
      <c r="E110" s="3485"/>
      <c r="F110" s="3486"/>
      <c r="G110" s="1274" t="s">
        <v>378</v>
      </c>
      <c r="H110" s="716">
        <f ca="1">IF(H109="——","——",ROUND(H109*10000/'数据-汇总表'!E3,0))</f>
        <v>45575</v>
      </c>
      <c r="I110" s="2304"/>
    </row>
    <row r="111" spans="1:35" ht="18.75" customHeight="1">
      <c r="A111" s="2304"/>
      <c r="B111" s="2304"/>
      <c r="C111" s="2304"/>
      <c r="D111" s="2304"/>
      <c r="E111" s="3522" t="str">
        <f>IF(项目基本情况!E9="抵押净值",IF(OR(项目基本情况!E8="已注销",项目基本情况!E8="房地产抵押价值"),"4.抵押净值","5.抵押净值"),"——")</f>
        <v>——</v>
      </c>
      <c r="F111" s="3523"/>
      <c r="G111" s="1274" t="s">
        <v>377</v>
      </c>
      <c r="H111" s="2008" t="str">
        <f>IF(E111="——","——",N58)</f>
        <v>——</v>
      </c>
      <c r="I111" s="2304"/>
    </row>
    <row r="112" spans="1:35" ht="18.75" customHeight="1" thickBot="1">
      <c r="A112" s="2304"/>
      <c r="B112" s="2304"/>
      <c r="C112" s="2304"/>
      <c r="D112" s="2304"/>
      <c r="E112" s="3524"/>
      <c r="F112" s="3525"/>
      <c r="G112" s="1278" t="s">
        <v>378</v>
      </c>
      <c r="H112" s="1429" t="str">
        <f>IF(E111="——","——",N60)</f>
        <v>——</v>
      </c>
      <c r="I112" s="2304"/>
    </row>
    <row r="113" spans="1:11" ht="18.75" customHeight="1">
      <c r="A113" s="2304"/>
      <c r="B113" s="2304"/>
      <c r="C113" s="2304"/>
      <c r="D113" s="2304"/>
      <c r="E113" s="3490" t="s">
        <v>2367</v>
      </c>
      <c r="F113" s="3490"/>
      <c r="G113" s="3490"/>
      <c r="H113" s="3490"/>
      <c r="I113" s="2304"/>
    </row>
    <row r="114" spans="1:11" ht="3.75" customHeight="1">
      <c r="A114" s="1249"/>
      <c r="B114" s="1249"/>
      <c r="C114" s="1249"/>
      <c r="D114" s="1249"/>
      <c r="E114" s="1264"/>
      <c r="F114" s="1264"/>
      <c r="G114" s="1264"/>
      <c r="H114" s="1264"/>
      <c r="I114" s="1249"/>
    </row>
    <row r="115" spans="1:11" ht="18.75" customHeight="1">
      <c r="A115" s="3504" t="s">
        <v>394</v>
      </c>
      <c r="B115" s="3505"/>
      <c r="C115" s="3505"/>
      <c r="D115" s="3505"/>
      <c r="E115" s="3505"/>
      <c r="F115" s="3505"/>
      <c r="G115" s="3505"/>
      <c r="H115" s="3505"/>
      <c r="I115" s="3506"/>
    </row>
    <row r="116" spans="1:11" ht="27" customHeight="1">
      <c r="A116" s="3396" t="s">
        <v>5</v>
      </c>
      <c r="B116" s="3491" t="s">
        <v>1027</v>
      </c>
      <c r="C116" s="3491" t="s">
        <v>1028</v>
      </c>
      <c r="D116" s="3508" t="s">
        <v>373</v>
      </c>
      <c r="E116" s="3509"/>
      <c r="F116" s="3500" t="s">
        <v>3469</v>
      </c>
      <c r="G116" s="3500"/>
      <c r="H116" s="3396" t="s">
        <v>6</v>
      </c>
      <c r="I116" s="3396"/>
    </row>
    <row r="117" spans="1:11" ht="18.75" customHeight="1">
      <c r="A117" s="3396"/>
      <c r="B117" s="3492"/>
      <c r="C117" s="3492"/>
      <c r="D117" s="1936" t="s">
        <v>7</v>
      </c>
      <c r="E117" s="1936" t="s">
        <v>1029</v>
      </c>
      <c r="F117" s="1936" t="s">
        <v>7</v>
      </c>
      <c r="G117" s="1936" t="s">
        <v>8</v>
      </c>
      <c r="H117" s="1936" t="s">
        <v>7</v>
      </c>
      <c r="I117" s="1936" t="s">
        <v>8</v>
      </c>
    </row>
    <row r="118" spans="1:11" ht="61.5" customHeight="1">
      <c r="A118" s="2055" t="str">
        <f>项目基本情况!S2</f>
        <v>北京市海淀区彰化路138号院房地产</v>
      </c>
      <c r="B118" s="1941">
        <f>M18</f>
        <v>11376.31</v>
      </c>
      <c r="C118" s="1941">
        <f>M19</f>
        <v>2992.36</v>
      </c>
      <c r="D118" s="1941">
        <f ca="1">ROUND(IF(D32="总价",C34,E118*B118/10000),0)</f>
        <v>45055</v>
      </c>
      <c r="E118" s="1941">
        <f ca="1">ROUND(IF(C33="自定义",IF(D32="楼面单价",C34,D118*10000/B118),I118-G118),0)</f>
        <v>39605</v>
      </c>
      <c r="F118" s="1941">
        <f ca="1">ROUND(IF(D32="总价",C35,G118*B118/10000),0)</f>
        <v>6792</v>
      </c>
      <c r="G118" s="1941">
        <f ca="1">ROUND(IF(D32="楼面单价",C35,F118*10000/B118),0)</f>
        <v>5970</v>
      </c>
      <c r="H118" s="1941">
        <f ca="1">ROUND(IF(D32="总价",C32,I118*B118/10000),0)</f>
        <v>51847</v>
      </c>
      <c r="I118" s="1941">
        <f ca="1">ROUND(IF(D32="楼面单价",C32,H118*10000/B118),0)</f>
        <v>45575</v>
      </c>
    </row>
    <row r="119" spans="1:11" ht="18.75" customHeight="1">
      <c r="A119" s="3396" t="s">
        <v>9</v>
      </c>
      <c r="B119" s="3396"/>
      <c r="C119" s="3396"/>
      <c r="D119" s="3497" t="str">
        <f ca="1">NUMBERSTRING(INT(D118*10000),2)&amp;"元整"</f>
        <v>肆亿伍仟零伍拾伍万元整</v>
      </c>
      <c r="E119" s="3499"/>
      <c r="F119" s="3497" t="str">
        <f ca="1">NUMBERSTRING(INT(F118*10000),2)&amp;"元整"</f>
        <v>陆仟柒佰玖拾贰万元整</v>
      </c>
      <c r="G119" s="3499"/>
      <c r="H119" s="3497" t="str">
        <f ca="1">NUMBERSTRING(INT(H118*10000),2)&amp;"元整"</f>
        <v>伍亿壹仟捌佰肆拾柒万元整</v>
      </c>
      <c r="I119" s="3499"/>
    </row>
    <row r="120" spans="1:11" ht="18.75" customHeight="1">
      <c r="A120" s="3529" t="str">
        <f>MID(E103,3,LEN(E103)-2)</f>
        <v>估价师知悉的法定优先受偿款</v>
      </c>
      <c r="B120" s="3530"/>
      <c r="C120" s="3531"/>
      <c r="D120" s="3526">
        <f>H103</f>
        <v>0</v>
      </c>
      <c r="E120" s="3527"/>
      <c r="F120" s="3527"/>
      <c r="G120" s="3527"/>
      <c r="H120" s="3527"/>
      <c r="I120" s="3528"/>
      <c r="K120" s="1440" t="str">
        <f>IF(D120=0,"故，本次评估不存在"&amp;A120,"故，本次评估"&amp;A120&amp;"为人民币"&amp;D120&amp;"万元整。")</f>
        <v>故，本次评估不存在估价师知悉的法定优先受偿款</v>
      </c>
    </row>
    <row r="121" spans="1:11" ht="18.75" customHeight="1">
      <c r="A121" s="3501" t="s">
        <v>9</v>
      </c>
      <c r="B121" s="3502"/>
      <c r="C121" s="3503"/>
      <c r="D121" s="3497" t="str">
        <f>IF(D120=0,"零元整",NUMBERSTRING(INT(D120*10000),2)&amp;"元整")</f>
        <v>零元整</v>
      </c>
      <c r="E121" s="3498"/>
      <c r="F121" s="3498"/>
      <c r="G121" s="3498"/>
      <c r="H121" s="3498"/>
      <c r="I121" s="3499"/>
    </row>
    <row r="122" spans="1:11" ht="18.75" customHeight="1">
      <c r="A122" s="3487" t="str">
        <f>MID(E107,3,LEN(E107)-2)</f>
        <v/>
      </c>
      <c r="B122" s="3487"/>
      <c r="C122" s="3487"/>
      <c r="D122" s="3526" t="str">
        <f>H107</f>
        <v>——</v>
      </c>
      <c r="E122" s="3527"/>
      <c r="F122" s="3527"/>
      <c r="G122" s="3527"/>
      <c r="H122" s="3527"/>
      <c r="I122" s="3528"/>
    </row>
    <row r="123" spans="1:11" ht="18.75" customHeight="1">
      <c r="A123" s="3396" t="s">
        <v>9</v>
      </c>
      <c r="B123" s="3396"/>
      <c r="C123" s="3396"/>
      <c r="D123" s="3497" t="e">
        <f>NUMBERSTRING(INT(D122*10000),2)&amp;"元整"</f>
        <v>#VALUE!</v>
      </c>
      <c r="E123" s="3498"/>
      <c r="F123" s="3498"/>
      <c r="G123" s="3498"/>
      <c r="H123" s="3498"/>
      <c r="I123" s="3499"/>
    </row>
    <row r="124" spans="1:11" ht="18.75" customHeight="1">
      <c r="A124" s="3487" t="str">
        <f>MID(E109,3,LEN(E109)-2)</f>
        <v>抵押担保权已注销时的房地产抵押价值</v>
      </c>
      <c r="B124" s="3487"/>
      <c r="C124" s="3487"/>
      <c r="D124" s="3526">
        <f ca="1">H109</f>
        <v>51847</v>
      </c>
      <c r="E124" s="3527"/>
      <c r="F124" s="3527"/>
      <c r="G124" s="3527"/>
      <c r="H124" s="3527"/>
      <c r="I124" s="3528"/>
    </row>
    <row r="125" spans="1:11" ht="18.75" customHeight="1">
      <c r="A125" s="3396" t="s">
        <v>9</v>
      </c>
      <c r="B125" s="3396"/>
      <c r="C125" s="3396"/>
      <c r="D125" s="3497" t="str">
        <f ca="1">NUMBERSTRING(INT(D124*10000),2)&amp;"元整"</f>
        <v>伍亿壹仟捌佰肆拾柒万元整</v>
      </c>
      <c r="E125" s="3498"/>
      <c r="F125" s="3498"/>
      <c r="G125" s="3498"/>
      <c r="H125" s="3498"/>
      <c r="I125" s="3499"/>
    </row>
    <row r="126" spans="1:11" ht="18.75" customHeight="1">
      <c r="A126" s="3487" t="str">
        <f>MID(E111,3,LEN(E111)-2)</f>
        <v/>
      </c>
      <c r="B126" s="3487"/>
      <c r="C126" s="3487"/>
      <c r="D126" s="3526" t="str">
        <f>H111</f>
        <v>——</v>
      </c>
      <c r="E126" s="3527"/>
      <c r="F126" s="3527"/>
      <c r="G126" s="3527"/>
      <c r="H126" s="3527"/>
      <c r="I126" s="3528"/>
    </row>
    <row r="127" spans="1:11" ht="18.75" customHeight="1">
      <c r="A127" s="3396" t="s">
        <v>9</v>
      </c>
      <c r="B127" s="3396"/>
      <c r="C127" s="3396"/>
      <c r="D127" s="3497" t="e">
        <f>NUMBERSTRING(INT(D126*10000),2)&amp;"元整"</f>
        <v>#VALUE!</v>
      </c>
      <c r="E127" s="3498"/>
      <c r="F127" s="3498"/>
      <c r="G127" s="3498"/>
      <c r="H127" s="3498"/>
      <c r="I127" s="3499"/>
    </row>
    <row r="128" spans="1:11" ht="21.75" customHeight="1">
      <c r="A128" s="3507" t="s">
        <v>2366</v>
      </c>
      <c r="B128" s="3507"/>
      <c r="C128" s="3507"/>
      <c r="D128" s="3507"/>
      <c r="E128" s="3507"/>
      <c r="F128" s="3507"/>
      <c r="G128" s="3507"/>
      <c r="H128" s="3507"/>
      <c r="I128" s="3507"/>
    </row>
    <row r="129" spans="1:35" ht="21.75" customHeight="1">
      <c r="A129" s="2050" t="s">
        <v>1030</v>
      </c>
      <c r="B129" s="2051"/>
      <c r="C129" s="473" t="s">
        <v>240</v>
      </c>
      <c r="D129" s="2052"/>
      <c r="E129" s="2052"/>
      <c r="F129" s="2052"/>
      <c r="G129" s="2052"/>
      <c r="H129" s="2053"/>
      <c r="I129" s="2054"/>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1031</v>
      </c>
      <c r="G135" s="1475"/>
      <c r="H135" s="1475"/>
      <c r="I135" s="1476" t="s">
        <v>1032</v>
      </c>
    </row>
    <row r="136" spans="1:35" ht="21.75" customHeight="1">
      <c r="A136" s="1473"/>
      <c r="B136" s="1477" t="s">
        <v>1033</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1034</v>
      </c>
    </row>
    <row r="139" spans="1:35" ht="21.75" customHeight="1">
      <c r="A139" s="1473"/>
      <c r="B139" s="1477" t="s">
        <v>1035</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1034</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910" customWidth="1"/>
    <col min="2" max="9" width="10" style="1910" customWidth="1"/>
    <col min="10" max="16384" width="9" style="1910"/>
  </cols>
  <sheetData>
    <row r="36" spans="1:9">
      <c r="A36" s="1909" t="s">
        <v>2323</v>
      </c>
      <c r="B36" s="1909" t="s">
        <v>2324</v>
      </c>
    </row>
    <row r="37" spans="1:9" ht="27.75" customHeight="1">
      <c r="A37" s="1909"/>
      <c r="B37" s="3353" t="str">
        <f>项目基本情况!B1</f>
        <v>北京市海淀区彰化路138号院房地产抵押价值预评估</v>
      </c>
      <c r="C37" s="3353"/>
      <c r="D37" s="3353"/>
      <c r="E37" s="3353"/>
      <c r="F37" s="3353"/>
      <c r="G37" s="3353"/>
      <c r="H37" s="3353"/>
      <c r="I37" s="3353"/>
    </row>
    <row r="38" spans="1:9">
      <c r="A38" s="1911"/>
      <c r="B38" s="1911"/>
    </row>
    <row r="39" spans="1:9">
      <c r="A39" s="1909" t="s">
        <v>2323</v>
      </c>
      <c r="B39" s="1909" t="s">
        <v>2325</v>
      </c>
    </row>
    <row r="40" spans="1:9">
      <c r="A40" s="1909"/>
      <c r="B40" s="1909" t="str">
        <f>项目基本情况!B5</f>
        <v>中矿宏业（北京）房地产开发有限公司</v>
      </c>
    </row>
    <row r="41" spans="1:9">
      <c r="A41" s="1909"/>
      <c r="B41" s="1909"/>
    </row>
    <row r="42" spans="1:9">
      <c r="A42" s="1909" t="s">
        <v>2323</v>
      </c>
      <c r="B42" s="1909" t="s">
        <v>2326</v>
      </c>
    </row>
    <row r="43" spans="1:9">
      <c r="A43" s="1909"/>
      <c r="B43" s="1909" t="s">
        <v>2327</v>
      </c>
    </row>
    <row r="44" spans="1:9">
      <c r="A44" s="1909"/>
      <c r="B44" s="1909"/>
    </row>
    <row r="45" spans="1:9">
      <c r="A45" s="1909" t="s">
        <v>2323</v>
      </c>
      <c r="B45" s="1909" t="s">
        <v>2328</v>
      </c>
    </row>
    <row r="46" spans="1:9" s="1909" customFormat="1" ht="12.75">
      <c r="B46" s="1909" t="str">
        <f ca="1">项目基本情况!K4</f>
        <v>王鹏（注册号：1120050019)、郑燚（注册号：1120070131)</v>
      </c>
    </row>
    <row r="47" spans="1:9">
      <c r="A47" s="1909"/>
      <c r="B47" s="1909" t="str">
        <f>项目基本情况!K5</f>
        <v/>
      </c>
    </row>
    <row r="48" spans="1:9">
      <c r="A48" s="1909" t="s">
        <v>2323</v>
      </c>
      <c r="B48" s="1909" t="s">
        <v>2329</v>
      </c>
    </row>
    <row r="49" spans="2:2">
      <c r="B49" s="1909" t="str">
        <f>"康正预评字"&amp;项目基本情况!B2&amp;"号"</f>
        <v>康正预评字2017-1-0700号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00B0F0"/>
    <pageSetUpPr fitToPage="1"/>
  </sheetPr>
  <dimension ref="A1:I57"/>
  <sheetViews>
    <sheetView workbookViewId="0">
      <selection activeCell="G57" sqref="A1:G57"/>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1059</v>
      </c>
      <c r="B1" s="2788"/>
      <c r="C1" s="579"/>
      <c r="D1" s="579"/>
      <c r="E1" s="579"/>
      <c r="F1" s="579"/>
      <c r="G1" s="2789">
        <f>MATCH(B1,'数据-取费表'!A6:A16,0)+5</f>
        <v>9</v>
      </c>
    </row>
    <row r="2" spans="1:9" s="581" customFormat="1" ht="18" customHeight="1">
      <c r="A2" s="582" t="s">
        <v>639</v>
      </c>
      <c r="B2" s="583">
        <f ca="1">IF(D2="——",C52,C52-E2)</f>
        <v>47225</v>
      </c>
      <c r="C2" s="85" t="s">
        <v>1109</v>
      </c>
      <c r="D2" s="2909" t="s">
        <v>759</v>
      </c>
      <c r="E2" s="2907" t="e">
        <f ca="1">SUMIF(INDIRECT("'"&amp;G2&amp;"'"&amp;"!A:A"),"承租人权益价值",INDIRECT("'"&amp;G2&amp;"'"&amp;"!c:c"))</f>
        <v>#REF!</v>
      </c>
      <c r="F2" s="2905" t="s">
        <v>1109</v>
      </c>
      <c r="G2" s="2908" t="s">
        <v>2836</v>
      </c>
    </row>
    <row r="3" spans="1:9" s="581" customFormat="1" ht="18" customHeight="1" thickBot="1">
      <c r="A3" s="584" t="s">
        <v>640</v>
      </c>
      <c r="B3" s="585">
        <f ca="1">ROUND(B2*10000/(IF(B1="",'数据-汇总表'!E3,INDIRECT("'数据-取费表'!k"&amp;$G$1))),0)</f>
        <v>41512</v>
      </c>
      <c r="C3" s="85" t="s">
        <v>1110</v>
      </c>
      <c r="D3" s="580"/>
      <c r="E3" s="580"/>
      <c r="F3" s="580"/>
      <c r="G3" s="580"/>
    </row>
    <row r="4" spans="1:9" s="589" customFormat="1" ht="15.75">
      <c r="A4" s="586" t="s">
        <v>1062</v>
      </c>
      <c r="B4" s="587"/>
      <c r="C4" s="587"/>
      <c r="D4" s="587"/>
      <c r="E4" s="587"/>
      <c r="F4" s="587"/>
      <c r="G4" s="588"/>
    </row>
    <row r="5" spans="1:9" s="595" customFormat="1" ht="13.5" customHeight="1">
      <c r="A5" s="636" t="s">
        <v>2912</v>
      </c>
      <c r="B5" s="591" t="s">
        <v>1063</v>
      </c>
      <c r="C5" s="592">
        <f>C6+C7+C8</f>
        <v>29168</v>
      </c>
      <c r="D5" s="592" t="s">
        <v>1064</v>
      </c>
      <c r="E5" s="593" t="s">
        <v>1065</v>
      </c>
      <c r="F5" s="593" t="s">
        <v>1066</v>
      </c>
      <c r="G5" s="594"/>
    </row>
    <row r="6" spans="1:9" s="595" customFormat="1" ht="13.5" customHeight="1">
      <c r="A6" s="1825" t="s">
        <v>2281</v>
      </c>
      <c r="B6" s="596" t="s">
        <v>1067</v>
      </c>
      <c r="C6" s="597">
        <f>基准地价修正!V2+基准地价修正!V3+基准地价修正!V4+基准地价修正!V5</f>
        <v>28083</v>
      </c>
      <c r="D6" s="598"/>
      <c r="E6" s="599"/>
      <c r="F6" s="599"/>
      <c r="G6" s="600"/>
    </row>
    <row r="7" spans="1:9" s="595" customFormat="1" ht="13.5" customHeight="1">
      <c r="A7" s="1825" t="s">
        <v>2282</v>
      </c>
      <c r="B7" s="596" t="s">
        <v>516</v>
      </c>
      <c r="C7" s="601">
        <f>ROUND(C6*F7,0)</f>
        <v>857</v>
      </c>
      <c r="D7" s="601"/>
      <c r="E7" s="599"/>
      <c r="F7" s="602">
        <f>'数据-取费表'!B48+'数据-取费表'!B49</f>
        <v>3.0499999999999999E-2</v>
      </c>
      <c r="G7" s="600"/>
    </row>
    <row r="8" spans="1:9" s="604" customFormat="1">
      <c r="A8" s="1825" t="s">
        <v>2283</v>
      </c>
      <c r="B8" s="596" t="s">
        <v>1068</v>
      </c>
      <c r="C8" s="601">
        <f>IF(G8="已包含在土地购买价格中","0",IF(B1="",'数据-取费表'!B29,IF(G9="全部缴纳",C9+C10,H9)))</f>
        <v>228</v>
      </c>
      <c r="D8" s="603"/>
      <c r="E8" s="601"/>
      <c r="F8" s="602"/>
      <c r="G8" s="84" t="s">
        <v>3391</v>
      </c>
    </row>
    <row r="9" spans="1:9" s="595" customFormat="1" ht="13.5" customHeight="1">
      <c r="A9" s="1826" t="s">
        <v>2290</v>
      </c>
      <c r="B9" s="605" t="s">
        <v>1069</v>
      </c>
      <c r="C9" s="606">
        <f ca="1">ROUND(D9*E9/10000,0)</f>
        <v>0</v>
      </c>
      <c r="D9" s="1930">
        <f ca="1">IF(B1="",'数据-汇总表'!E5,IF(INDIRECT("'数据-取费表'!c"&amp;$G$1)="住宅",INDIRECT("'数据-取费表'!k"&amp;$G$1),0))</f>
        <v>0</v>
      </c>
      <c r="E9" s="606">
        <f>'数据-取费表'!B27</f>
        <v>160</v>
      </c>
      <c r="F9" s="602"/>
      <c r="G9" s="2839" t="s">
        <v>3209</v>
      </c>
      <c r="H9" s="2840">
        <f>'数据-取费表'!B29</f>
        <v>228</v>
      </c>
      <c r="I9" s="2841" t="s">
        <v>3095</v>
      </c>
    </row>
    <row r="10" spans="1:9" s="595" customFormat="1" ht="13.5" customHeight="1">
      <c r="A10" s="1826" t="s">
        <v>2291</v>
      </c>
      <c r="B10" s="605" t="s">
        <v>1070</v>
      </c>
      <c r="C10" s="606">
        <f ca="1">ROUND(D10*E10/10000,0)</f>
        <v>228</v>
      </c>
      <c r="D10" s="1930">
        <f ca="1">IF(B1="",'数据-汇总表'!E6,IF(INDIRECT("'数据-取费表'!c"&amp;$G$1)="住宅",INDIRECT("'数据-取费表'!s"&amp;$G$1),INDIRECT("'数据-取费表'!k"&amp;$G$1)+INDIRECT("'数据-取费表'!s"&amp;$G$1)))</f>
        <v>11376.31</v>
      </c>
      <c r="E10" s="606">
        <f>'数据-取费表'!B28</f>
        <v>200</v>
      </c>
      <c r="F10" s="602"/>
      <c r="G10" s="607"/>
    </row>
    <row r="11" spans="1:9" s="595" customFormat="1" ht="13.5" hidden="1" customHeight="1">
      <c r="A11" s="608" t="s">
        <v>45</v>
      </c>
      <c r="B11" s="596" t="s">
        <v>1071</v>
      </c>
      <c r="C11" s="592"/>
      <c r="D11" s="1932"/>
      <c r="E11" s="599"/>
      <c r="F11" s="599"/>
      <c r="G11" s="600"/>
    </row>
    <row r="12" spans="1:9" s="595" customFormat="1" ht="13.5" hidden="1" customHeight="1">
      <c r="A12" s="608" t="s">
        <v>46</v>
      </c>
      <c r="B12" s="596" t="s">
        <v>1072</v>
      </c>
      <c r="C12" s="592">
        <v>0</v>
      </c>
      <c r="D12" s="1932"/>
      <c r="E12" s="609"/>
      <c r="F12" s="602">
        <v>3.0499999999999999E-2</v>
      </c>
      <c r="G12" s="600"/>
    </row>
    <row r="13" spans="1:9" s="595" customFormat="1" ht="13.5" hidden="1" customHeight="1">
      <c r="A13" s="608" t="s">
        <v>47</v>
      </c>
      <c r="B13" s="596" t="s">
        <v>1073</v>
      </c>
      <c r="C13" s="592"/>
      <c r="D13" s="1932"/>
      <c r="E13" s="599"/>
      <c r="F13" s="599"/>
      <c r="G13" s="600"/>
    </row>
    <row r="14" spans="1:9" s="595" customFormat="1" ht="13.5" hidden="1" customHeight="1">
      <c r="A14" s="608" t="s">
        <v>48</v>
      </c>
      <c r="B14" s="596" t="s">
        <v>1068</v>
      </c>
      <c r="C14" s="592"/>
      <c r="D14" s="1932"/>
      <c r="E14" s="599"/>
      <c r="F14" s="599"/>
      <c r="G14" s="600" t="s">
        <v>1074</v>
      </c>
    </row>
    <row r="15" spans="1:9" s="595" customFormat="1" ht="13.5" hidden="1" customHeight="1">
      <c r="A15" s="608" t="s">
        <v>49</v>
      </c>
      <c r="B15" s="596" t="s">
        <v>1075</v>
      </c>
      <c r="C15" s="601"/>
      <c r="D15" s="1932"/>
      <c r="E15" s="599"/>
      <c r="F15" s="599"/>
      <c r="G15" s="600" t="s">
        <v>1076</v>
      </c>
    </row>
    <row r="16" spans="1:9"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2913</v>
      </c>
      <c r="B19" s="591" t="s">
        <v>1087</v>
      </c>
      <c r="C19" s="592" t="str">
        <f>IF(G19="已包含在土地取得成本中","0",ROUND(D19*E19/10000,0))</f>
        <v>0</v>
      </c>
      <c r="D19" s="1934">
        <f ca="1">D9+D10</f>
        <v>11376.31</v>
      </c>
      <c r="E19" s="592">
        <f>'数据-取费表'!B31</f>
        <v>200</v>
      </c>
      <c r="F19" s="612"/>
      <c r="G19" s="84" t="s">
        <v>3369</v>
      </c>
    </row>
    <row r="20" spans="1:7" s="595" customFormat="1" ht="13.5" customHeight="1">
      <c r="A20" s="1824" t="s">
        <v>2915</v>
      </c>
      <c r="B20" s="591" t="s">
        <v>1080</v>
      </c>
      <c r="C20" s="613">
        <f>ROUND((C5+C19)*F20,0)</f>
        <v>583</v>
      </c>
      <c r="D20" s="613"/>
      <c r="E20" s="613"/>
      <c r="F20" s="614">
        <f>'数据-取费表'!B37</f>
        <v>0.02</v>
      </c>
      <c r="G20" s="2655" t="s">
        <v>2926</v>
      </c>
    </row>
    <row r="21" spans="1:7" s="595" customFormat="1" ht="13.5" customHeight="1">
      <c r="A21" s="1824" t="s">
        <v>2917</v>
      </c>
      <c r="B21" s="591" t="s">
        <v>1081</v>
      </c>
      <c r="C21" s="616">
        <f>F21</f>
        <v>0.03</v>
      </c>
      <c r="D21" s="617" t="s">
        <v>1102</v>
      </c>
      <c r="E21" s="613"/>
      <c r="F21" s="614">
        <f>'数据-取费表'!B38</f>
        <v>0.03</v>
      </c>
      <c r="G21" s="615" t="s">
        <v>1082</v>
      </c>
    </row>
    <row r="22" spans="1:7" s="595" customFormat="1" ht="13.5" customHeight="1">
      <c r="A22" s="1824" t="s">
        <v>2276</v>
      </c>
      <c r="B22" s="591" t="s">
        <v>1083</v>
      </c>
      <c r="C22" s="2735">
        <f ca="1">ROUND(SUM(C23:C25),0)</f>
        <v>2865</v>
      </c>
      <c r="D22" s="616">
        <f ca="1">C26</f>
        <v>1.4E-3</v>
      </c>
      <c r="E22" s="617" t="s">
        <v>1102</v>
      </c>
      <c r="F22" s="618">
        <f ca="1">'数据-取费表'!B40</f>
        <v>4.7500000000000001E-2</v>
      </c>
      <c r="G22" s="2655" t="str">
        <f>IF('数据-取费表'!B22&lt;=1,"单利计息","复利计息")</f>
        <v>复利计息</v>
      </c>
    </row>
    <row r="23" spans="1:7" s="595" customFormat="1" ht="13.5" customHeight="1">
      <c r="A23" s="1827" t="s">
        <v>2281</v>
      </c>
      <c r="B23" s="596" t="s">
        <v>2919</v>
      </c>
      <c r="C23" s="2736">
        <f ca="1">ROUND(IF('数据-取费表'!B22&lt;=1,C5*F22*'数据-取费表'!B23,C5*(POWER((1+F22),'数据-取费表'!B23)-1)),0)</f>
        <v>2837</v>
      </c>
      <c r="D23" s="619"/>
      <c r="E23" s="619"/>
      <c r="F23" s="620"/>
      <c r="G23" s="621" t="s">
        <v>1084</v>
      </c>
    </row>
    <row r="24" spans="1:7" s="595" customFormat="1" ht="13.5" customHeight="1">
      <c r="A24" s="1827" t="s">
        <v>2282</v>
      </c>
      <c r="B24" s="596" t="s">
        <v>2914</v>
      </c>
      <c r="C24" s="2736">
        <f ca="1">ROUND(IF('数据-取费表'!B22&lt;=1,C19*F22*('数据-取费表'!B19/2+'数据-取费表'!B21),C19*(POWER((1+F22),('数据-取费表'!B19/2+'数据-取费表'!B21))-1)),0)</f>
        <v>0</v>
      </c>
      <c r="D24" s="619"/>
      <c r="E24" s="619"/>
      <c r="F24" s="620"/>
      <c r="G24" s="621" t="s">
        <v>1085</v>
      </c>
    </row>
    <row r="25" spans="1:7" s="595" customFormat="1" ht="24">
      <c r="A25" s="1827" t="s">
        <v>2283</v>
      </c>
      <c r="B25" s="596" t="s">
        <v>2916</v>
      </c>
      <c r="C25" s="2736">
        <f ca="1">ROUND(IF('数据-取费表'!B22&lt;=1,C20*F22*'数据-取费表'!B23/2,C20*(POWER((1+F22),'数据-取费表'!B23/2)-1)),0)</f>
        <v>28</v>
      </c>
      <c r="D25" s="619"/>
      <c r="E25" s="622"/>
      <c r="F25" s="620"/>
      <c r="G25" s="623" t="s">
        <v>1086</v>
      </c>
    </row>
    <row r="26" spans="1:7" s="595" customFormat="1">
      <c r="A26" s="1827" t="s">
        <v>2285</v>
      </c>
      <c r="B26" s="596" t="s">
        <v>2918</v>
      </c>
      <c r="C26" s="619">
        <f ca="1">ROUND(IF('数据-取费表'!B22&lt;=1,F21*F22*'数据-取费表'!B23/2,F21*(POWER((1+F22),'数据-取费表'!B23/2)-1)),4)</f>
        <v>1.4E-3</v>
      </c>
      <c r="D26" s="619"/>
      <c r="E26" s="622"/>
      <c r="F26" s="620"/>
      <c r="G26" s="624"/>
    </row>
    <row r="27" spans="1:7" s="595" customFormat="1" ht="24.75">
      <c r="A27" s="1824" t="s">
        <v>2277</v>
      </c>
      <c r="B27" s="625" t="s">
        <v>1088</v>
      </c>
      <c r="C27" s="626">
        <f ca="1">C28</f>
        <v>4760</v>
      </c>
      <c r="D27" s="616">
        <f ca="1">C29</f>
        <v>4.7999999999999996E-3</v>
      </c>
      <c r="E27" s="617" t="s">
        <v>1102</v>
      </c>
      <c r="F27" s="627">
        <f ca="1">IF(B1="",'数据-取费表'!Q16,INDIRECT("'数据-取费表'!q"&amp;$G$1))</f>
        <v>0.16</v>
      </c>
      <c r="G27" s="628" t="s">
        <v>2927</v>
      </c>
    </row>
    <row r="28" spans="1:7" s="595" customFormat="1" ht="13.5" customHeight="1">
      <c r="A28" s="1827" t="s">
        <v>2281</v>
      </c>
      <c r="B28" s="629" t="s">
        <v>2920</v>
      </c>
      <c r="C28" s="630">
        <f ca="1">ROUND((C5+C19+C20)*F27*'数据-取费表'!B21/'数据-取费表'!B20,0)</f>
        <v>4760</v>
      </c>
      <c r="D28" s="616"/>
      <c r="E28" s="617"/>
      <c r="F28" s="627"/>
      <c r="G28" s="628"/>
    </row>
    <row r="29" spans="1:7" s="595" customFormat="1" ht="13.5" customHeight="1">
      <c r="A29" s="1827" t="s">
        <v>2282</v>
      </c>
      <c r="B29" s="629" t="s">
        <v>2921</v>
      </c>
      <c r="C29" s="619">
        <f ca="1">ROUND(C21*F27*'数据-取费表'!B21/'数据-取费表'!B20,4)</f>
        <v>4.7999999999999996E-3</v>
      </c>
      <c r="D29" s="616"/>
      <c r="E29" s="617"/>
      <c r="F29" s="627"/>
      <c r="G29" s="628"/>
    </row>
    <row r="30" spans="1:7" s="595" customFormat="1" ht="13.5" customHeight="1">
      <c r="A30" s="1824" t="s">
        <v>2278</v>
      </c>
      <c r="B30" s="591" t="s">
        <v>517</v>
      </c>
      <c r="C30" s="616">
        <f>ROUND(F30/(1+'数据-取费表'!B42),4)</f>
        <v>5.33E-2</v>
      </c>
      <c r="D30" s="617" t="s">
        <v>3351</v>
      </c>
      <c r="E30" s="622"/>
      <c r="F30" s="618">
        <f>'数据-取费表'!B41</f>
        <v>5.6000000000000001E-2</v>
      </c>
      <c r="G30" s="2655" t="s">
        <v>3352</v>
      </c>
    </row>
    <row r="31" spans="1:7" ht="16.5" customHeight="1">
      <c r="A31" s="590">
        <v>1</v>
      </c>
      <c r="B31" s="591" t="s">
        <v>1104</v>
      </c>
      <c r="C31" s="592">
        <f ca="1">ROUND((C5+C19+C20+C22+C27)/(1-C21-D22-D27-C30),0)</f>
        <v>41050</v>
      </c>
      <c r="D31" s="611"/>
      <c r="E31" s="592"/>
      <c r="F31" s="631"/>
      <c r="G31" s="615" t="s">
        <v>2928</v>
      </c>
    </row>
    <row r="32" spans="1:7" s="589" customFormat="1" ht="15.75">
      <c r="A32" s="633" t="s">
        <v>1090</v>
      </c>
      <c r="B32" s="634"/>
      <c r="C32" s="634"/>
      <c r="D32" s="634"/>
      <c r="E32" s="634"/>
      <c r="F32" s="634"/>
      <c r="G32" s="635"/>
    </row>
    <row r="33" spans="1:7" s="595" customFormat="1" ht="13.5" customHeight="1">
      <c r="A33" s="636" t="s">
        <v>2272</v>
      </c>
      <c r="B33" s="591" t="s">
        <v>1091</v>
      </c>
      <c r="C33" s="637">
        <f ca="1">SUM(C34:C38)</f>
        <v>5187</v>
      </c>
      <c r="D33" s="613"/>
      <c r="E33" s="593"/>
      <c r="F33" s="622"/>
      <c r="G33" s="615"/>
    </row>
    <row r="34" spans="1:7" s="639" customFormat="1" ht="13.5" customHeight="1">
      <c r="A34" s="1827" t="s">
        <v>2281</v>
      </c>
      <c r="B34" s="596" t="s">
        <v>518</v>
      </c>
      <c r="C34" s="601">
        <f ca="1">IF(B1="",IF(F34=100%,'数据-取费表'!M16,'数据-取费表'!O16),IF(F34=100%,INDIRECT("'数据-取费表'!m"&amp;$G$1)+INDIRECT("'数据-取费表'!t"&amp;$G$1),INDIRECT("'数据-取费表'!o"&amp;$G$1)+INDIRECT("'数据-取费表'!aq"&amp;$G$1)))</f>
        <v>4746</v>
      </c>
      <c r="D34" s="598"/>
      <c r="E34" s="601"/>
      <c r="F34" s="638">
        <f ca="1">IF('数据-取费表'!B24=0,1,IF(B1="",'数据-取费表'!N16,INDIRECT("'数据-取费表'!n"&amp;$G$1)))</f>
        <v>1</v>
      </c>
      <c r="G34" s="600" t="s">
        <v>1092</v>
      </c>
    </row>
    <row r="35" spans="1:7" ht="13.5" customHeight="1">
      <c r="A35" s="1827" t="s">
        <v>2286</v>
      </c>
      <c r="B35" s="596" t="s">
        <v>519</v>
      </c>
      <c r="C35" s="601">
        <f ca="1">ROUND(C34*F35,0)</f>
        <v>142</v>
      </c>
      <c r="D35" s="601"/>
      <c r="E35" s="601"/>
      <c r="F35" s="640">
        <f>'数据-取费表'!B33</f>
        <v>0.03</v>
      </c>
      <c r="G35" s="600" t="s">
        <v>1093</v>
      </c>
    </row>
    <row r="36" spans="1:7" ht="24">
      <c r="A36" s="1827" t="s">
        <v>2287</v>
      </c>
      <c r="B36" s="596" t="s">
        <v>520</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521</v>
      </c>
    </row>
    <row r="37" spans="1:7" s="639" customFormat="1" ht="13.5" customHeight="1">
      <c r="A37" s="1827" t="s">
        <v>2288</v>
      </c>
      <c r="B37" s="596" t="s">
        <v>1094</v>
      </c>
      <c r="C37" s="630">
        <f ca="1">ROUND(E37*D37*F34/10000,0)</f>
        <v>228</v>
      </c>
      <c r="D37" s="598">
        <f ca="1">D19</f>
        <v>11376.31</v>
      </c>
      <c r="E37" s="630">
        <f>'数据-取费表'!B35</f>
        <v>200</v>
      </c>
      <c r="F37" s="640"/>
      <c r="G37" s="642" t="s">
        <v>1095</v>
      </c>
    </row>
    <row r="38" spans="1:7" ht="13.5" customHeight="1">
      <c r="A38" s="1827" t="s">
        <v>2289</v>
      </c>
      <c r="B38" s="596" t="s">
        <v>522</v>
      </c>
      <c r="C38" s="601">
        <f ca="1">ROUND(C34*F38,0)</f>
        <v>71</v>
      </c>
      <c r="D38" s="601"/>
      <c r="E38" s="601"/>
      <c r="F38" s="640">
        <f>'数据-取费表'!B36</f>
        <v>1.4999999999999999E-2</v>
      </c>
      <c r="G38" s="600" t="s">
        <v>1093</v>
      </c>
    </row>
    <row r="39" spans="1:7" s="595" customFormat="1" ht="13.5" customHeight="1">
      <c r="A39" s="1824" t="s">
        <v>2273</v>
      </c>
      <c r="B39" s="591" t="s">
        <v>1080</v>
      </c>
      <c r="C39" s="613">
        <f ca="1">ROUND(C33*F20,0)</f>
        <v>104</v>
      </c>
      <c r="D39" s="613"/>
      <c r="E39" s="613"/>
      <c r="F39" s="614"/>
      <c r="G39" s="2655" t="s">
        <v>2929</v>
      </c>
    </row>
    <row r="40" spans="1:7" s="595" customFormat="1" ht="13.5" customHeight="1">
      <c r="A40" s="1824" t="s">
        <v>2274</v>
      </c>
      <c r="B40" s="591" t="s">
        <v>1081</v>
      </c>
      <c r="C40" s="3277">
        <f>F21</f>
        <v>0.03</v>
      </c>
      <c r="D40" s="617" t="s">
        <v>1105</v>
      </c>
      <c r="E40" s="613"/>
      <c r="F40" s="614"/>
      <c r="G40" s="615" t="s">
        <v>1096</v>
      </c>
    </row>
    <row r="41" spans="1:7" s="595" customFormat="1" ht="13.5" customHeight="1">
      <c r="A41" s="1824" t="s">
        <v>2275</v>
      </c>
      <c r="B41" s="591" t="s">
        <v>1083</v>
      </c>
      <c r="C41" s="613">
        <f ca="1">ROUND(SUM(C42:C43),0)</f>
        <v>251</v>
      </c>
      <c r="D41" s="616">
        <f ca="1">C44</f>
        <v>1.4E-3</v>
      </c>
      <c r="E41" s="617" t="s">
        <v>1105</v>
      </c>
      <c r="F41" s="618"/>
      <c r="G41" s="2655" t="str">
        <f>IF('数据-取费表'!B22&lt;=1,"单利计息","复利计息")</f>
        <v>复利计息</v>
      </c>
    </row>
    <row r="42" spans="1:7" ht="13.5" customHeight="1">
      <c r="A42" s="1827" t="s">
        <v>2281</v>
      </c>
      <c r="B42" s="596" t="s">
        <v>2919</v>
      </c>
      <c r="C42" s="619">
        <f ca="1">ROUND(IF('数据-取费表'!B22&lt;=1,C33*F22*'数据-取费表'!B21/2,C33*(POWER((1+F22),'数据-取费表'!B21/2)-1)),0)</f>
        <v>246</v>
      </c>
      <c r="D42" s="619"/>
      <c r="E42" s="619"/>
      <c r="F42" s="620"/>
      <c r="G42" s="3538" t="s">
        <v>1097</v>
      </c>
    </row>
    <row r="43" spans="1:7" ht="13.5" customHeight="1">
      <c r="A43" s="1827" t="s">
        <v>2282</v>
      </c>
      <c r="B43" s="596" t="s">
        <v>2922</v>
      </c>
      <c r="C43" s="619">
        <f ca="1">ROUND(IF('数据-取费表'!B22&lt;=1,C39*F22*'数据-取费表'!B21/2,C39*(POWER((1+F22),'数据-取费表'!B21/2)-1)),0)</f>
        <v>5</v>
      </c>
      <c r="D43" s="619"/>
      <c r="E43" s="619"/>
      <c r="F43" s="620"/>
      <c r="G43" s="3539"/>
    </row>
    <row r="44" spans="1:7" ht="13.5" customHeight="1">
      <c r="A44" s="1827" t="s">
        <v>2283</v>
      </c>
      <c r="B44" s="596" t="s">
        <v>2924</v>
      </c>
      <c r="C44" s="619">
        <f ca="1">ROUND(IF('数据-取费表'!B22&lt;=1,C40*F22*'数据-取费表'!B21/2,C40*(POWER((1+F22),'数据-取费表'!B21/2)-1)),4)</f>
        <v>1.4E-3</v>
      </c>
      <c r="D44" s="619"/>
      <c r="E44" s="619"/>
      <c r="F44" s="620"/>
      <c r="G44" s="3540"/>
    </row>
    <row r="45" spans="1:7" s="595" customFormat="1" ht="13.5" customHeight="1">
      <c r="A45" s="1824" t="s">
        <v>2276</v>
      </c>
      <c r="B45" s="625" t="s">
        <v>1088</v>
      </c>
      <c r="C45" s="626">
        <f ca="1">C46</f>
        <v>847</v>
      </c>
      <c r="D45" s="616">
        <f ca="1">C47</f>
        <v>4.7999999999999996E-3</v>
      </c>
      <c r="E45" s="617" t="s">
        <v>1105</v>
      </c>
      <c r="F45" s="627"/>
      <c r="G45" s="628" t="s">
        <v>2930</v>
      </c>
    </row>
    <row r="46" spans="1:7" s="595" customFormat="1" ht="13.5" customHeight="1">
      <c r="A46" s="1827" t="s">
        <v>2281</v>
      </c>
      <c r="B46" s="629" t="s">
        <v>2923</v>
      </c>
      <c r="C46" s="630">
        <f ca="1">ROUND((C33+C39)*F27,0)</f>
        <v>847</v>
      </c>
      <c r="D46" s="644"/>
      <c r="E46" s="617"/>
      <c r="F46" s="627"/>
      <c r="G46" s="628"/>
    </row>
    <row r="47" spans="1:7" s="595" customFormat="1" ht="13.5" customHeight="1">
      <c r="A47" s="1827" t="s">
        <v>2282</v>
      </c>
      <c r="B47" s="629" t="s">
        <v>2925</v>
      </c>
      <c r="C47" s="619">
        <f ca="1">ROUND(C40*F27,4)</f>
        <v>4.7999999999999996E-3</v>
      </c>
      <c r="D47" s="644"/>
      <c r="E47" s="617"/>
      <c r="F47" s="627"/>
      <c r="G47" s="628"/>
    </row>
    <row r="48" spans="1:7" s="595" customFormat="1" ht="13.5" customHeight="1">
      <c r="A48" s="1824" t="s">
        <v>2277</v>
      </c>
      <c r="B48" s="591" t="s">
        <v>1098</v>
      </c>
      <c r="C48" s="3277">
        <f>ROUND(F30/(1+'数据-取费表'!B42),4)</f>
        <v>5.33E-2</v>
      </c>
      <c r="D48" s="617" t="s">
        <v>3353</v>
      </c>
      <c r="E48" s="613"/>
      <c r="F48" s="618"/>
      <c r="G48" s="2655" t="s">
        <v>3354</v>
      </c>
    </row>
    <row r="49" spans="1:7" ht="16.5" customHeight="1">
      <c r="A49" s="1824" t="s">
        <v>2278</v>
      </c>
      <c r="B49" s="591" t="s">
        <v>1107</v>
      </c>
      <c r="C49" s="613">
        <f ca="1">ROUND((C33+C39+C41+C45)/(1-C40-D41-D45-C48),0)</f>
        <v>7017</v>
      </c>
      <c r="D49" s="613"/>
      <c r="E49" s="613"/>
      <c r="F49" s="645"/>
      <c r="G49" s="615" t="s">
        <v>2931</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6175</v>
      </c>
      <c r="D51" s="613"/>
      <c r="E51" s="613"/>
      <c r="F51" s="645"/>
      <c r="G51" s="615" t="s">
        <v>523</v>
      </c>
    </row>
    <row r="52" spans="1:7" s="589" customFormat="1" ht="16.5" thickBot="1">
      <c r="A52" s="646" t="s">
        <v>524</v>
      </c>
      <c r="B52" s="647"/>
      <c r="C52" s="648">
        <f ca="1">C31+C51</f>
        <v>47225</v>
      </c>
      <c r="D52" s="647"/>
      <c r="E52" s="647"/>
      <c r="F52" s="647"/>
      <c r="G52" s="649"/>
    </row>
    <row r="55" spans="1:7" ht="15">
      <c r="B55" s="651" t="s">
        <v>525</v>
      </c>
      <c r="C55" s="652"/>
    </row>
    <row r="56" spans="1:7">
      <c r="B56" s="2911" t="s">
        <v>3109</v>
      </c>
      <c r="C56" s="656">
        <f ca="1">1-C57</f>
        <v>0.86899999999999999</v>
      </c>
    </row>
    <row r="57" spans="1:7">
      <c r="B57" s="2911" t="s">
        <v>3108</v>
      </c>
      <c r="C57" s="655">
        <f ca="1">ROUND(C51/C52,3)</f>
        <v>0.13100000000000001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9" zoomScale="80" zoomScaleNormal="80" workbookViewId="0">
      <selection activeCell="C11" sqref="C11"/>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701</v>
      </c>
      <c r="B1" s="743"/>
      <c r="C1" s="744" t="s">
        <v>702</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514</v>
      </c>
      <c r="B2" s="1086">
        <f>F66</f>
        <v>17341</v>
      </c>
      <c r="C2" s="2369"/>
      <c r="D2" s="2369"/>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c r="AD2" s="745"/>
    </row>
    <row r="3" spans="1:30" s="746" customFormat="1" ht="28.5" customHeight="1" thickBot="1">
      <c r="A3" s="584" t="s">
        <v>515</v>
      </c>
      <c r="B3" s="957">
        <f>ROUND(IF(D3="",B2*10000/'数据-汇总表'!E3,B2*10000/D3),0)</f>
        <v>15243</v>
      </c>
      <c r="C3" s="584" t="s">
        <v>3297</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30" ht="15">
      <c r="A4" s="749" t="s">
        <v>559</v>
      </c>
      <c r="B4" s="750"/>
      <c r="C4" s="3559" t="s">
        <v>560</v>
      </c>
      <c r="D4" s="3560"/>
      <c r="E4" s="3561" t="s">
        <v>561</v>
      </c>
      <c r="F4" s="3562"/>
      <c r="G4" s="3559" t="s">
        <v>562</v>
      </c>
      <c r="H4" s="3560"/>
      <c r="I4" s="3559" t="s">
        <v>563</v>
      </c>
      <c r="J4" s="3560"/>
      <c r="K4" s="958" t="s">
        <v>564</v>
      </c>
      <c r="L4" s="2375"/>
      <c r="M4" s="2376"/>
      <c r="N4" s="2376"/>
      <c r="O4" s="2376"/>
      <c r="P4" s="3563" t="s">
        <v>565</v>
      </c>
      <c r="Q4" s="3564"/>
      <c r="R4" s="3569" t="s">
        <v>561</v>
      </c>
      <c r="S4" s="3570"/>
      <c r="T4" s="3569" t="s">
        <v>562</v>
      </c>
      <c r="U4" s="3570"/>
      <c r="V4" s="3555" t="s">
        <v>563</v>
      </c>
      <c r="W4" s="3555"/>
      <c r="X4" s="1324"/>
      <c r="Y4" s="3569" t="s">
        <v>565</v>
      </c>
      <c r="Z4" s="3570"/>
      <c r="AA4" s="3556" t="s">
        <v>561</v>
      </c>
      <c r="AB4" s="3557" t="s">
        <v>562</v>
      </c>
      <c r="AC4" s="3556" t="s">
        <v>563</v>
      </c>
    </row>
    <row r="5" spans="1:30" ht="15">
      <c r="A5" s="752"/>
      <c r="B5" s="753"/>
      <c r="C5" s="3575" t="s">
        <v>1453</v>
      </c>
      <c r="D5" s="3576"/>
      <c r="E5" s="3582" t="s">
        <v>3388</v>
      </c>
      <c r="F5" s="3583"/>
      <c r="G5" s="3575" t="s">
        <v>3389</v>
      </c>
      <c r="H5" s="3576"/>
      <c r="I5" s="3575" t="s">
        <v>3389</v>
      </c>
      <c r="J5" s="3576"/>
      <c r="K5" s="958"/>
      <c r="L5" s="2375"/>
      <c r="M5" s="2376"/>
      <c r="N5" s="2376"/>
      <c r="O5" s="2376"/>
      <c r="P5" s="3565"/>
      <c r="Q5" s="3566"/>
      <c r="R5" s="3571"/>
      <c r="S5" s="3572"/>
      <c r="T5" s="3571"/>
      <c r="U5" s="3572"/>
      <c r="V5" s="3555"/>
      <c r="W5" s="3555"/>
      <c r="X5" s="1324"/>
      <c r="Y5" s="3571"/>
      <c r="Z5" s="3572"/>
      <c r="AA5" s="3557"/>
      <c r="AB5" s="3557"/>
      <c r="AC5" s="3557"/>
    </row>
    <row r="6" spans="1:30" ht="15.75" thickBot="1">
      <c r="A6" s="754"/>
      <c r="B6" s="755"/>
      <c r="C6" s="3580" t="s">
        <v>1456</v>
      </c>
      <c r="D6" s="3581"/>
      <c r="E6" s="3582" t="s">
        <v>3388</v>
      </c>
      <c r="F6" s="3583"/>
      <c r="G6" s="3575" t="s">
        <v>3389</v>
      </c>
      <c r="H6" s="3576"/>
      <c r="I6" s="3575" t="s">
        <v>3389</v>
      </c>
      <c r="J6" s="3576"/>
      <c r="K6" s="958" t="s">
        <v>571</v>
      </c>
      <c r="L6" s="2375"/>
      <c r="M6" s="2376"/>
      <c r="N6" s="2376"/>
      <c r="O6" s="2376"/>
      <c r="P6" s="3567"/>
      <c r="Q6" s="3568"/>
      <c r="R6" s="3571"/>
      <c r="S6" s="3572"/>
      <c r="T6" s="3573"/>
      <c r="U6" s="3574"/>
      <c r="V6" s="3555"/>
      <c r="W6" s="3555"/>
      <c r="X6" s="1324"/>
      <c r="Y6" s="3573"/>
      <c r="Z6" s="3574"/>
      <c r="AA6" s="3558"/>
      <c r="AB6" s="3558"/>
      <c r="AC6" s="3558"/>
    </row>
    <row r="7" spans="1:30" s="413" customFormat="1" ht="15.75" thickBot="1">
      <c r="A7" s="756" t="s">
        <v>572</v>
      </c>
      <c r="B7" s="757"/>
      <c r="C7" s="758">
        <f>'数据-取费表'!B2</f>
        <v>42930</v>
      </c>
      <c r="D7" s="759">
        <v>100</v>
      </c>
      <c r="E7" s="1022">
        <v>42370</v>
      </c>
      <c r="F7" s="761">
        <f>SUMIF(70:70,YEAR(E7)&amp;"-"&amp;INT((MONTH(E7)+2)/3),71:71)</f>
        <v>94</v>
      </c>
      <c r="G7" s="1023">
        <v>42401</v>
      </c>
      <c r="H7" s="759">
        <f>SUMIF(70:70,YEAR(G7)&amp;"-"&amp;INT((MONTH(G7)+2)/3),71:71)</f>
        <v>94</v>
      </c>
      <c r="I7" s="1023">
        <v>42795</v>
      </c>
      <c r="J7" s="759">
        <f>SUMIF(70:70,YEAR(I7)&amp;"-"&amp;INT((MONTH(I7)+2)/3),71:71)</f>
        <v>98</v>
      </c>
      <c r="K7" s="959"/>
      <c r="L7" s="2377"/>
      <c r="M7" s="2378"/>
      <c r="N7" s="2378"/>
      <c r="O7" s="2378"/>
      <c r="P7" s="3577" t="s">
        <v>573</v>
      </c>
      <c r="Q7" s="3579"/>
      <c r="R7" s="1325" t="s">
        <v>70</v>
      </c>
      <c r="S7" s="1326">
        <f t="shared" ref="S7:S15" si="0">F7</f>
        <v>94</v>
      </c>
      <c r="T7" s="1325" t="s">
        <v>70</v>
      </c>
      <c r="U7" s="1326">
        <f t="shared" ref="U7:U15" si="1">H7</f>
        <v>94</v>
      </c>
      <c r="V7" s="1325" t="s">
        <v>70</v>
      </c>
      <c r="W7" s="1326">
        <f t="shared" ref="W7:W15" si="2">J7</f>
        <v>98</v>
      </c>
      <c r="X7" s="1327"/>
      <c r="Y7" s="3577" t="s">
        <v>573</v>
      </c>
      <c r="Z7" s="3578"/>
      <c r="AA7" s="1328">
        <f>D7/F7</f>
        <v>1.0638297872340425</v>
      </c>
      <c r="AB7" s="1328">
        <f>D7/H7</f>
        <v>1.0638297872340425</v>
      </c>
      <c r="AC7" s="1328">
        <f>D7/J7</f>
        <v>1.0204081632653061</v>
      </c>
    </row>
    <row r="8" spans="1:30" s="413" customFormat="1" ht="15.75" thickBot="1">
      <c r="A8" s="756" t="s">
        <v>574</v>
      </c>
      <c r="B8" s="757"/>
      <c r="C8" s="1025" t="s">
        <v>260</v>
      </c>
      <c r="D8" s="759">
        <v>100</v>
      </c>
      <c r="E8" s="1025" t="s">
        <v>260</v>
      </c>
      <c r="F8" s="761">
        <f>SUMIF(73:73,E8,74:74)-SUMIF(73:73,C8,74:74)+100</f>
        <v>100</v>
      </c>
      <c r="G8" s="1025" t="s">
        <v>260</v>
      </c>
      <c r="H8" s="759">
        <f>SUMIF(73:73,G8,74:74)-SUMIF(73:73,C8,74:74)+100</f>
        <v>100</v>
      </c>
      <c r="I8" s="1025" t="s">
        <v>260</v>
      </c>
      <c r="J8" s="759">
        <f>SUMIF(73:73,I8,74:74)-SUMIF(73:73,C8,74:74)+100</f>
        <v>100</v>
      </c>
      <c r="K8" s="959"/>
      <c r="L8" s="2377"/>
      <c r="M8" s="2378"/>
      <c r="N8" s="2378"/>
      <c r="O8" s="2378"/>
      <c r="P8" s="3577" t="s">
        <v>616</v>
      </c>
      <c r="Q8" s="3578"/>
      <c r="R8" s="1325" t="s">
        <v>70</v>
      </c>
      <c r="S8" s="1326">
        <f t="shared" si="0"/>
        <v>100</v>
      </c>
      <c r="T8" s="1325" t="s">
        <v>70</v>
      </c>
      <c r="U8" s="1326">
        <f t="shared" si="1"/>
        <v>100</v>
      </c>
      <c r="V8" s="1325" t="s">
        <v>70</v>
      </c>
      <c r="W8" s="1326">
        <f t="shared" si="2"/>
        <v>100</v>
      </c>
      <c r="X8" s="1327"/>
      <c r="Y8" s="3577" t="s">
        <v>616</v>
      </c>
      <c r="Z8" s="3578"/>
      <c r="AA8" s="1328">
        <f t="shared" ref="AA8:AA45" si="3">D8/F8</f>
        <v>1</v>
      </c>
      <c r="AB8" s="1328">
        <f t="shared" ref="AB8:AB45" si="4">D8/H8</f>
        <v>1</v>
      </c>
      <c r="AC8" s="1328">
        <f t="shared" ref="AC8:AC45" si="5">D8/J8</f>
        <v>1</v>
      </c>
    </row>
    <row r="9" spans="1:30" s="413" customFormat="1">
      <c r="A9" s="764" t="s">
        <v>575</v>
      </c>
      <c r="B9" s="367" t="s">
        <v>598</v>
      </c>
      <c r="C9" s="1027" t="s">
        <v>3385</v>
      </c>
      <c r="D9" s="430">
        <v>100</v>
      </c>
      <c r="E9" s="1027" t="s">
        <v>3385</v>
      </c>
      <c r="F9" s="430">
        <f>SUMIF(75:75,E9,76:76)-SUMIF(75:75,C9,76:76)+100</f>
        <v>100</v>
      </c>
      <c r="G9" s="1027" t="s">
        <v>3385</v>
      </c>
      <c r="H9" s="430">
        <f>SUMIF(75:75,G9,76:76)-SUMIF(75:75,C9,76:76)+100</f>
        <v>100</v>
      </c>
      <c r="I9" s="1027" t="s">
        <v>3385</v>
      </c>
      <c r="J9" s="430">
        <f>SUMIF(75:75,I9,76:76)-SUMIF(75:75,C9,76:76)+100</f>
        <v>100</v>
      </c>
      <c r="K9" s="959"/>
      <c r="L9" s="2377"/>
      <c r="M9" s="2378"/>
      <c r="N9" s="2378"/>
      <c r="O9" s="2379"/>
      <c r="P9" s="3550" t="s">
        <v>576</v>
      </c>
      <c r="Q9" s="302" t="str">
        <f t="shared" ref="Q9:Q15" si="6">B9</f>
        <v>用途</v>
      </c>
      <c r="R9" s="1325" t="s">
        <v>70</v>
      </c>
      <c r="S9" s="1326">
        <f t="shared" si="0"/>
        <v>100</v>
      </c>
      <c r="T9" s="1325" t="s">
        <v>70</v>
      </c>
      <c r="U9" s="1326">
        <f t="shared" si="1"/>
        <v>100</v>
      </c>
      <c r="V9" s="1325" t="s">
        <v>70</v>
      </c>
      <c r="W9" s="1326">
        <f t="shared" si="2"/>
        <v>100</v>
      </c>
      <c r="X9" s="1327"/>
      <c r="Y9" s="3445" t="s">
        <v>577</v>
      </c>
      <c r="Z9" s="350" t="str">
        <f t="shared" ref="Z9:Z15" si="7">Q9</f>
        <v>用途</v>
      </c>
      <c r="AA9" s="1328">
        <f t="shared" si="3"/>
        <v>1</v>
      </c>
      <c r="AB9" s="1328">
        <f t="shared" si="4"/>
        <v>1</v>
      </c>
      <c r="AC9" s="1328">
        <f t="shared" si="5"/>
        <v>1</v>
      </c>
    </row>
    <row r="10" spans="1:30" s="776" customFormat="1" ht="27">
      <c r="A10" s="770"/>
      <c r="B10" s="771" t="s">
        <v>578</v>
      </c>
      <c r="C10" s="781" t="s">
        <v>3400</v>
      </c>
      <c r="D10" s="431">
        <v>100</v>
      </c>
      <c r="E10" s="813" t="s">
        <v>3387</v>
      </c>
      <c r="F10" s="431">
        <f>ROUND(100/'数据-取费表'!G16,0)</f>
        <v>110</v>
      </c>
      <c r="G10" s="813" t="s">
        <v>3387</v>
      </c>
      <c r="H10" s="431">
        <f>ROUND(100/'数据-取费表'!G16,0)</f>
        <v>110</v>
      </c>
      <c r="I10" s="813" t="s">
        <v>3387</v>
      </c>
      <c r="J10" s="431">
        <f>ROUND(100/'数据-取费表'!G16,0)</f>
        <v>110</v>
      </c>
      <c r="K10" s="1087"/>
      <c r="L10" s="2380"/>
      <c r="M10" s="2381"/>
      <c r="N10" s="2381"/>
      <c r="O10" s="2382"/>
      <c r="P10" s="3550"/>
      <c r="Q10" s="302" t="str">
        <f t="shared" si="6"/>
        <v>土地使用年限（年）</v>
      </c>
      <c r="R10" s="1325" t="s">
        <v>70</v>
      </c>
      <c r="S10" s="1326">
        <f t="shared" si="0"/>
        <v>110</v>
      </c>
      <c r="T10" s="1325" t="s">
        <v>70</v>
      </c>
      <c r="U10" s="1326">
        <f t="shared" si="1"/>
        <v>110</v>
      </c>
      <c r="V10" s="1325" t="s">
        <v>70</v>
      </c>
      <c r="W10" s="1326">
        <f t="shared" si="2"/>
        <v>110</v>
      </c>
      <c r="X10" s="1327"/>
      <c r="Y10" s="3445"/>
      <c r="Z10" s="350" t="str">
        <f t="shared" si="7"/>
        <v>土地使用年限（年）</v>
      </c>
      <c r="AA10" s="1328">
        <f t="shared" si="3"/>
        <v>0.90909090909090906</v>
      </c>
      <c r="AB10" s="1328">
        <f t="shared" si="4"/>
        <v>0.90909090909090906</v>
      </c>
      <c r="AC10" s="1328">
        <f t="shared" si="5"/>
        <v>0.90909090909090906</v>
      </c>
    </row>
    <row r="11" spans="1:30" ht="15">
      <c r="A11" s="777"/>
      <c r="B11" s="771" t="s">
        <v>579</v>
      </c>
      <c r="C11" s="778">
        <f>'数据-汇总表'!I4</f>
        <v>3.8</v>
      </c>
      <c r="D11" s="431">
        <v>100</v>
      </c>
      <c r="E11" s="778">
        <v>2.5</v>
      </c>
      <c r="F11" s="431">
        <f>LOOKUP(E11,80:80,81:81)-LOOKUP(C11,80:80,81:81)+100</f>
        <v>102</v>
      </c>
      <c r="G11" s="779">
        <v>1.5</v>
      </c>
      <c r="H11" s="431">
        <f>LOOKUP(G11,80:80,81:81)-LOOKUP(C11,80:80,81:81)+100</f>
        <v>104</v>
      </c>
      <c r="I11" s="778">
        <v>2.5</v>
      </c>
      <c r="J11" s="431">
        <f>LOOKUP(I11,80:80,81:81)-LOOKUP(C11,80:80,81:81)+100</f>
        <v>102</v>
      </c>
      <c r="K11" s="1088">
        <v>2</v>
      </c>
      <c r="L11" s="2383"/>
      <c r="M11" s="2376"/>
      <c r="N11" s="2376"/>
      <c r="O11" s="2384"/>
      <c r="P11" s="3550"/>
      <c r="Q11" s="302" t="str">
        <f t="shared" si="6"/>
        <v>容积率</v>
      </c>
      <c r="R11" s="1325" t="s">
        <v>70</v>
      </c>
      <c r="S11" s="1326">
        <f t="shared" si="0"/>
        <v>102</v>
      </c>
      <c r="T11" s="1325" t="s">
        <v>70</v>
      </c>
      <c r="U11" s="1326">
        <f t="shared" si="1"/>
        <v>104</v>
      </c>
      <c r="V11" s="1325" t="s">
        <v>70</v>
      </c>
      <c r="W11" s="1326">
        <f t="shared" si="2"/>
        <v>102</v>
      </c>
      <c r="X11" s="1327"/>
      <c r="Y11" s="3445"/>
      <c r="Z11" s="350" t="str">
        <f t="shared" si="7"/>
        <v>容积率</v>
      </c>
      <c r="AA11" s="1328">
        <f t="shared" si="3"/>
        <v>0.98039215686274506</v>
      </c>
      <c r="AB11" s="1328">
        <f t="shared" si="4"/>
        <v>0.96153846153846156</v>
      </c>
      <c r="AC11" s="1328">
        <f t="shared" si="5"/>
        <v>0.98039215686274506</v>
      </c>
    </row>
    <row r="12" spans="1:30" s="413" customFormat="1" ht="15" hidden="1">
      <c r="A12" s="780"/>
      <c r="B12" s="1036" t="s">
        <v>316</v>
      </c>
      <c r="C12" s="1029" t="s">
        <v>269</v>
      </c>
      <c r="D12" s="782">
        <v>100</v>
      </c>
      <c r="E12" s="1031" t="s">
        <v>269</v>
      </c>
      <c r="F12" s="431">
        <f>SUMIF(82:82,E12,83:83)-SUMIF(82:82,C12,83:83)+100</f>
        <v>100</v>
      </c>
      <c r="G12" s="1032" t="s">
        <v>269</v>
      </c>
      <c r="H12" s="431">
        <f>SUMIF(82:82,G12,83:83)-SUMIF(82:82,C12,83:83)+100</f>
        <v>100</v>
      </c>
      <c r="I12" s="1031" t="s">
        <v>269</v>
      </c>
      <c r="J12" s="431">
        <f>SUMIF(82:82,I12,83:83)-SUMIF(82:82,C12,83:83)+100</f>
        <v>100</v>
      </c>
      <c r="K12" s="1087"/>
      <c r="L12" s="2377"/>
      <c r="M12" s="2378"/>
      <c r="N12" s="2378"/>
      <c r="O12" s="2379"/>
      <c r="P12" s="3550"/>
      <c r="Q12" s="302" t="str">
        <f t="shared" si="6"/>
        <v>配建</v>
      </c>
      <c r="R12" s="1325" t="s">
        <v>70</v>
      </c>
      <c r="S12" s="1326">
        <f t="shared" si="0"/>
        <v>100</v>
      </c>
      <c r="T12" s="1325" t="s">
        <v>70</v>
      </c>
      <c r="U12" s="1326">
        <f t="shared" si="1"/>
        <v>100</v>
      </c>
      <c r="V12" s="1325" t="s">
        <v>70</v>
      </c>
      <c r="W12" s="1326">
        <f t="shared" si="2"/>
        <v>100</v>
      </c>
      <c r="X12" s="1327"/>
      <c r="Y12" s="3445"/>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5"/>
      <c r="M13" s="2376"/>
      <c r="N13" s="2376"/>
      <c r="O13" s="2384"/>
      <c r="P13" s="3550"/>
      <c r="Q13" s="302">
        <f t="shared" si="6"/>
        <v>111</v>
      </c>
      <c r="R13" s="1325" t="s">
        <v>70</v>
      </c>
      <c r="S13" s="1326">
        <f t="shared" si="0"/>
        <v>100</v>
      </c>
      <c r="T13" s="1325" t="s">
        <v>70</v>
      </c>
      <c r="U13" s="1326">
        <f t="shared" si="1"/>
        <v>100</v>
      </c>
      <c r="V13" s="1325" t="s">
        <v>70</v>
      </c>
      <c r="W13" s="1326">
        <f t="shared" si="2"/>
        <v>100</v>
      </c>
      <c r="X13" s="1327"/>
      <c r="Y13" s="3445"/>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5"/>
      <c r="M14" s="2376"/>
      <c r="N14" s="2376"/>
      <c r="O14" s="2384"/>
      <c r="P14" s="3550"/>
      <c r="Q14" s="302">
        <f t="shared" si="6"/>
        <v>111</v>
      </c>
      <c r="R14" s="1325" t="s">
        <v>70</v>
      </c>
      <c r="S14" s="1326">
        <f t="shared" si="0"/>
        <v>100</v>
      </c>
      <c r="T14" s="1325" t="s">
        <v>70</v>
      </c>
      <c r="U14" s="1326">
        <f t="shared" si="1"/>
        <v>100</v>
      </c>
      <c r="V14" s="1325" t="s">
        <v>70</v>
      </c>
      <c r="W14" s="1326">
        <f t="shared" si="2"/>
        <v>100</v>
      </c>
      <c r="X14" s="1327"/>
      <c r="Y14" s="3445"/>
      <c r="Z14" s="350">
        <f t="shared" si="7"/>
        <v>111</v>
      </c>
      <c r="AA14" s="1328">
        <f>D14/F14</f>
        <v>1</v>
      </c>
      <c r="AB14" s="1328">
        <f>D14/H14</f>
        <v>1</v>
      </c>
      <c r="AC14" s="1328">
        <f>D14/J14</f>
        <v>1</v>
      </c>
    </row>
    <row r="15" spans="1:30" ht="94.5" hidden="1">
      <c r="A15" s="789" t="s">
        <v>580</v>
      </c>
      <c r="B15" s="365" t="s">
        <v>454</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5"/>
      <c r="M15" s="2376"/>
      <c r="N15" s="2376"/>
      <c r="O15" s="2384"/>
      <c r="P15" s="3551" t="s">
        <v>581</v>
      </c>
      <c r="Q15" s="1329" t="str">
        <f t="shared" si="6"/>
        <v>居住社区成熟度</v>
      </c>
      <c r="R15" s="1330" t="s">
        <v>70</v>
      </c>
      <c r="S15" s="1331">
        <f t="shared" si="0"/>
        <v>100</v>
      </c>
      <c r="T15" s="1330" t="s">
        <v>70</v>
      </c>
      <c r="U15" s="1331">
        <f t="shared" si="1"/>
        <v>100</v>
      </c>
      <c r="V15" s="1330" t="s">
        <v>70</v>
      </c>
      <c r="W15" s="1331">
        <f t="shared" si="2"/>
        <v>100</v>
      </c>
      <c r="X15" s="1324"/>
      <c r="Y15" s="3551" t="s">
        <v>581</v>
      </c>
      <c r="Z15" s="1332" t="str">
        <f t="shared" si="7"/>
        <v>居住社区成熟度</v>
      </c>
      <c r="AA15" s="1333">
        <f t="shared" si="3"/>
        <v>1</v>
      </c>
      <c r="AB15" s="1333">
        <f t="shared" si="4"/>
        <v>1</v>
      </c>
      <c r="AC15" s="1333">
        <f t="shared" si="5"/>
        <v>1</v>
      </c>
    </row>
    <row r="16" spans="1:30" ht="15" hidden="1">
      <c r="A16" s="777"/>
      <c r="B16" s="795"/>
      <c r="C16" s="97" t="s">
        <v>124</v>
      </c>
      <c r="D16" s="797"/>
      <c r="E16" s="98" t="s">
        <v>124</v>
      </c>
      <c r="F16" s="797"/>
      <c r="G16" s="98" t="s">
        <v>123</v>
      </c>
      <c r="H16" s="799"/>
      <c r="I16" s="99" t="s">
        <v>123</v>
      </c>
      <c r="J16" s="797"/>
      <c r="K16" s="1087"/>
      <c r="L16" s="2385"/>
      <c r="M16" s="2376"/>
      <c r="N16" s="2376"/>
      <c r="O16" s="2384"/>
      <c r="P16" s="3552"/>
      <c r="Q16" s="1329"/>
      <c r="R16" s="1330"/>
      <c r="S16" s="1331"/>
      <c r="T16" s="1330"/>
      <c r="U16" s="1331"/>
      <c r="V16" s="1330"/>
      <c r="W16" s="1331"/>
      <c r="X16" s="1324"/>
      <c r="Y16" s="3552"/>
      <c r="Z16" s="1332"/>
      <c r="AA16" s="1333">
        <v>1</v>
      </c>
      <c r="AB16" s="1333">
        <v>1</v>
      </c>
      <c r="AC16" s="1333">
        <v>1</v>
      </c>
    </row>
    <row r="17" spans="1:29" ht="81">
      <c r="A17" s="777"/>
      <c r="B17" s="800" t="s">
        <v>620</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3</v>
      </c>
      <c r="L17" s="2385"/>
      <c r="M17" s="2376"/>
      <c r="N17" s="2376"/>
      <c r="O17" s="2384"/>
      <c r="P17" s="3552"/>
      <c r="Q17" s="1329" t="str">
        <f>B17</f>
        <v>商业繁华度</v>
      </c>
      <c r="R17" s="1330" t="s">
        <v>70</v>
      </c>
      <c r="S17" s="1331">
        <f>F17</f>
        <v>100</v>
      </c>
      <c r="T17" s="1330" t="s">
        <v>70</v>
      </c>
      <c r="U17" s="1331">
        <f>H17</f>
        <v>100</v>
      </c>
      <c r="V17" s="1330" t="s">
        <v>70</v>
      </c>
      <c r="W17" s="1331">
        <f>J17</f>
        <v>100</v>
      </c>
      <c r="X17" s="1324"/>
      <c r="Y17" s="3552"/>
      <c r="Z17" s="1332" t="str">
        <f>Q17</f>
        <v>商业繁华度</v>
      </c>
      <c r="AA17" s="1333">
        <f t="shared" si="3"/>
        <v>1</v>
      </c>
      <c r="AB17" s="1333">
        <f t="shared" si="4"/>
        <v>1</v>
      </c>
      <c r="AC17" s="1333">
        <f t="shared" si="5"/>
        <v>1</v>
      </c>
    </row>
    <row r="18" spans="1:29" ht="15">
      <c r="A18" s="777"/>
      <c r="B18" s="805"/>
      <c r="C18" s="102" t="s">
        <v>124</v>
      </c>
      <c r="D18" s="799"/>
      <c r="E18" s="103" t="s">
        <v>124</v>
      </c>
      <c r="F18" s="799"/>
      <c r="G18" s="103" t="s">
        <v>124</v>
      </c>
      <c r="H18" s="797"/>
      <c r="I18" s="104" t="s">
        <v>124</v>
      </c>
      <c r="J18" s="797"/>
      <c r="K18" s="1087"/>
      <c r="L18" s="2385"/>
      <c r="M18" s="2376"/>
      <c r="N18" s="2376"/>
      <c r="O18" s="2384"/>
      <c r="P18" s="3552"/>
      <c r="Q18" s="1329"/>
      <c r="R18" s="1330"/>
      <c r="S18" s="1331"/>
      <c r="T18" s="1330"/>
      <c r="U18" s="1331"/>
      <c r="V18" s="1330"/>
      <c r="W18" s="1331"/>
      <c r="X18" s="1324"/>
      <c r="Y18" s="3552"/>
      <c r="Z18" s="1332"/>
      <c r="AA18" s="1333">
        <v>1</v>
      </c>
      <c r="AB18" s="1333">
        <v>1</v>
      </c>
      <c r="AC18" s="1333">
        <v>1</v>
      </c>
    </row>
    <row r="19" spans="1:29" ht="81">
      <c r="A19" s="777"/>
      <c r="B19" s="800" t="s">
        <v>630</v>
      </c>
      <c r="C19" s="190" t="str">
        <f>估价对象房地状况!C17</f>
        <v>估价对象位于XX商圈，周边办公楼项目较多，入驻率高，办公集聚程度较好</v>
      </c>
      <c r="D19" s="804">
        <v>100</v>
      </c>
      <c r="E19" s="806"/>
      <c r="F19" s="804">
        <f>SUMIF(92:92,E20,93:93)-SUMIF(92:92,C20,93:93)+100</f>
        <v>97</v>
      </c>
      <c r="G19" s="806"/>
      <c r="H19" s="799">
        <f>SUMIF(92:92,G20,93:93)-SUMIF(92:92,C20,93:93)+100</f>
        <v>97</v>
      </c>
      <c r="I19" s="808"/>
      <c r="J19" s="799">
        <f>SUMIF(92:92,I20,93:93)-SUMIF(92:92,C20,93:93)+100</f>
        <v>97</v>
      </c>
      <c r="K19" s="1088">
        <v>3</v>
      </c>
      <c r="L19" s="2385"/>
      <c r="M19" s="2376"/>
      <c r="N19" s="2376"/>
      <c r="O19" s="2384"/>
      <c r="P19" s="3552"/>
      <c r="Q19" s="1329" t="str">
        <f>B19</f>
        <v>办公集聚程度</v>
      </c>
      <c r="R19" s="1330" t="s">
        <v>70</v>
      </c>
      <c r="S19" s="1331">
        <f>F19</f>
        <v>97</v>
      </c>
      <c r="T19" s="1330" t="s">
        <v>70</v>
      </c>
      <c r="U19" s="1331">
        <f>H19</f>
        <v>97</v>
      </c>
      <c r="V19" s="1330" t="s">
        <v>70</v>
      </c>
      <c r="W19" s="1331">
        <f>J19</f>
        <v>97</v>
      </c>
      <c r="X19" s="1324"/>
      <c r="Y19" s="3552"/>
      <c r="Z19" s="1332" t="str">
        <f>Q19</f>
        <v>办公集聚程度</v>
      </c>
      <c r="AA19" s="1333">
        <f t="shared" si="3"/>
        <v>1.0309278350515463</v>
      </c>
      <c r="AB19" s="1333">
        <f t="shared" si="4"/>
        <v>1.0309278350515463</v>
      </c>
      <c r="AC19" s="1333">
        <f t="shared" si="5"/>
        <v>1.0309278350515463</v>
      </c>
    </row>
    <row r="20" spans="1:29" ht="15">
      <c r="A20" s="777"/>
      <c r="B20" s="805"/>
      <c r="C20" s="97" t="s">
        <v>123</v>
      </c>
      <c r="D20" s="797"/>
      <c r="E20" s="98" t="s">
        <v>124</v>
      </c>
      <c r="F20" s="797"/>
      <c r="G20" s="98" t="s">
        <v>124</v>
      </c>
      <c r="H20" s="797"/>
      <c r="I20" s="99" t="s">
        <v>124</v>
      </c>
      <c r="J20" s="797"/>
      <c r="K20" s="1087"/>
      <c r="L20" s="2385"/>
      <c r="M20" s="2376"/>
      <c r="N20" s="2376"/>
      <c r="O20" s="2384"/>
      <c r="P20" s="3552"/>
      <c r="Q20" s="1329"/>
      <c r="R20" s="1330"/>
      <c r="S20" s="1331"/>
      <c r="T20" s="1330"/>
      <c r="U20" s="1331"/>
      <c r="V20" s="1330"/>
      <c r="W20" s="1331"/>
      <c r="X20" s="1324"/>
      <c r="Y20" s="3552"/>
      <c r="Z20" s="1332"/>
      <c r="AA20" s="1333">
        <v>1</v>
      </c>
      <c r="AB20" s="1333">
        <v>1</v>
      </c>
      <c r="AC20" s="1333">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100</v>
      </c>
      <c r="K21" s="1088">
        <v>2</v>
      </c>
      <c r="L21" s="2385"/>
      <c r="M21" s="2376"/>
      <c r="N21" s="2376"/>
      <c r="O21" s="2384"/>
      <c r="P21" s="3552"/>
      <c r="Q21" s="1329" t="str">
        <f>B21</f>
        <v>交通便捷度</v>
      </c>
      <c r="R21" s="1330" t="s">
        <v>70</v>
      </c>
      <c r="S21" s="1331">
        <f>F21</f>
        <v>100</v>
      </c>
      <c r="T21" s="1330" t="s">
        <v>70</v>
      </c>
      <c r="U21" s="1331">
        <f>H21</f>
        <v>100</v>
      </c>
      <c r="V21" s="1330" t="s">
        <v>70</v>
      </c>
      <c r="W21" s="1331">
        <f>J21</f>
        <v>100</v>
      </c>
      <c r="X21" s="1324"/>
      <c r="Y21" s="3552"/>
      <c r="Z21" s="1332" t="str">
        <f>Q21</f>
        <v>交通便捷度</v>
      </c>
      <c r="AA21" s="1333">
        <f t="shared" si="3"/>
        <v>1</v>
      </c>
      <c r="AB21" s="1333">
        <f t="shared" si="4"/>
        <v>1</v>
      </c>
      <c r="AC21" s="1333">
        <f t="shared" si="5"/>
        <v>1</v>
      </c>
    </row>
    <row r="22" spans="1:29" ht="15">
      <c r="A22" s="777"/>
      <c r="B22" s="2805"/>
      <c r="C22" s="97" t="s">
        <v>123</v>
      </c>
      <c r="D22" s="799"/>
      <c r="E22" s="98" t="s">
        <v>123</v>
      </c>
      <c r="F22" s="797"/>
      <c r="G22" s="98" t="s">
        <v>123</v>
      </c>
      <c r="H22" s="797"/>
      <c r="I22" s="99" t="s">
        <v>123</v>
      </c>
      <c r="J22" s="797"/>
      <c r="K22" s="1087"/>
      <c r="L22" s="2385"/>
      <c r="M22" s="2376"/>
      <c r="N22" s="2376"/>
      <c r="O22" s="2384"/>
      <c r="P22" s="3552"/>
      <c r="Q22" s="1329"/>
      <c r="R22" s="1330"/>
      <c r="S22" s="1331"/>
      <c r="T22" s="1330"/>
      <c r="U22" s="1331"/>
      <c r="V22" s="1330"/>
      <c r="W22" s="1331"/>
      <c r="X22" s="1324"/>
      <c r="Y22" s="3552"/>
      <c r="Z22" s="1332"/>
      <c r="AA22" s="1333">
        <v>1</v>
      </c>
      <c r="AB22" s="1333">
        <v>1</v>
      </c>
      <c r="AC22" s="1333">
        <v>1</v>
      </c>
    </row>
    <row r="23" spans="1:29" ht="40.5">
      <c r="A23" s="752"/>
      <c r="B23" s="800" t="s">
        <v>703</v>
      </c>
      <c r="C23" s="2810"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5"/>
      <c r="M23" s="2376"/>
      <c r="N23" s="2376"/>
      <c r="O23" s="2384"/>
      <c r="P23" s="3552"/>
      <c r="Q23" s="1329" t="str">
        <f t="shared" ref="Q23:Q37" si="8">B23</f>
        <v>区域土地利用方向</v>
      </c>
      <c r="R23" s="1330" t="s">
        <v>70</v>
      </c>
      <c r="S23" s="1331">
        <f>F23</f>
        <v>100</v>
      </c>
      <c r="T23" s="1330" t="s">
        <v>70</v>
      </c>
      <c r="U23" s="1331">
        <f>H23</f>
        <v>100</v>
      </c>
      <c r="V23" s="1330" t="s">
        <v>70</v>
      </c>
      <c r="W23" s="1331">
        <f>J23</f>
        <v>100</v>
      </c>
      <c r="X23" s="1324"/>
      <c r="Y23" s="3552"/>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8"/>
      <c r="L24" s="2385"/>
      <c r="M24" s="2376"/>
      <c r="N24" s="2376"/>
      <c r="O24" s="2384"/>
      <c r="P24" s="3552"/>
      <c r="Q24" s="1497"/>
      <c r="R24" s="1330"/>
      <c r="S24" s="1331"/>
      <c r="T24" s="1330"/>
      <c r="U24" s="1331"/>
      <c r="V24" s="1330"/>
      <c r="W24" s="1331"/>
      <c r="X24" s="1496"/>
      <c r="Y24" s="3552"/>
      <c r="Z24" s="1498"/>
      <c r="AA24" s="1333"/>
      <c r="AB24" s="1333"/>
      <c r="AC24" s="1333"/>
    </row>
    <row r="25" spans="1:29" ht="54">
      <c r="A25" s="752"/>
      <c r="B25" s="2805" t="s">
        <v>704</v>
      </c>
      <c r="C25" s="190" t="str">
        <f>估价对象房地状况!C20</f>
        <v>区域自然环境：；人文环境；综合评价环境状况一般</v>
      </c>
      <c r="D25" s="799">
        <v>100</v>
      </c>
      <c r="E25" s="801"/>
      <c r="F25" s="799">
        <f>SUMIF(98:98,E26,99:99)-SUMIF(98:98,C26,99:99)+100</f>
        <v>97</v>
      </c>
      <c r="G25" s="801"/>
      <c r="H25" s="799">
        <f>SUMIF(98:98,G26,99:99)-SUMIF(98:98,C26,99:99)+100</f>
        <v>97</v>
      </c>
      <c r="I25" s="803"/>
      <c r="J25" s="799">
        <f>SUMIF(98:98,I26,99:99)-SUMIF(98:98,C26,99:99)+100</f>
        <v>97</v>
      </c>
      <c r="K25" s="1088">
        <v>3</v>
      </c>
      <c r="L25" s="2385"/>
      <c r="M25" s="2376"/>
      <c r="N25" s="2376"/>
      <c r="O25" s="2384"/>
      <c r="P25" s="3552"/>
      <c r="Q25" s="1329" t="str">
        <f t="shared" si="8"/>
        <v>自然及人文环境状况</v>
      </c>
      <c r="R25" s="1330" t="s">
        <v>70</v>
      </c>
      <c r="S25" s="1331">
        <f>F25</f>
        <v>97</v>
      </c>
      <c r="T25" s="1330" t="s">
        <v>70</v>
      </c>
      <c r="U25" s="1331">
        <f>H25</f>
        <v>97</v>
      </c>
      <c r="V25" s="1330" t="s">
        <v>70</v>
      </c>
      <c r="W25" s="1331">
        <f>J25</f>
        <v>97</v>
      </c>
      <c r="X25" s="1324"/>
      <c r="Y25" s="3552"/>
      <c r="Z25" s="1332" t="str">
        <f>Q25</f>
        <v>自然及人文环境状况</v>
      </c>
      <c r="AA25" s="1333">
        <f t="shared" si="3"/>
        <v>1.0309278350515463</v>
      </c>
      <c r="AB25" s="1333">
        <f t="shared" si="4"/>
        <v>1.0309278350515463</v>
      </c>
      <c r="AC25" s="1333">
        <f t="shared" si="5"/>
        <v>1.0309278350515463</v>
      </c>
    </row>
    <row r="26" spans="1:29" ht="15">
      <c r="A26" s="752"/>
      <c r="B26" s="805"/>
      <c r="C26" s="97" t="s">
        <v>123</v>
      </c>
      <c r="D26" s="797"/>
      <c r="E26" s="192" t="s">
        <v>124</v>
      </c>
      <c r="F26" s="797"/>
      <c r="G26" s="192" t="s">
        <v>124</v>
      </c>
      <c r="H26" s="797"/>
      <c r="I26" s="97" t="s">
        <v>124</v>
      </c>
      <c r="J26" s="797"/>
      <c r="K26" s="1087"/>
      <c r="L26" s="2385"/>
      <c r="M26" s="2376"/>
      <c r="N26" s="2376"/>
      <c r="O26" s="2384"/>
      <c r="P26" s="3552"/>
      <c r="Q26" s="1329"/>
      <c r="R26" s="1330"/>
      <c r="S26" s="1331"/>
      <c r="T26" s="1330"/>
      <c r="U26" s="1331"/>
      <c r="V26" s="1330"/>
      <c r="W26" s="1331"/>
      <c r="X26" s="1324"/>
      <c r="Y26" s="3552"/>
      <c r="Z26" s="1332"/>
      <c r="AA26" s="1333">
        <v>1</v>
      </c>
      <c r="AB26" s="1333">
        <v>1</v>
      </c>
      <c r="AC26" s="1333">
        <v>1</v>
      </c>
    </row>
    <row r="27" spans="1:29" s="413" customFormat="1" ht="40.5">
      <c r="A27" s="997"/>
      <c r="B27" s="1418" t="s">
        <v>3074</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77"/>
      <c r="M27" s="2378"/>
      <c r="N27" s="2378"/>
      <c r="O27" s="2379"/>
      <c r="P27" s="3552"/>
      <c r="Q27" s="302" t="str">
        <f t="shared" si="8"/>
        <v>公共配套设施</v>
      </c>
      <c r="R27" s="1325" t="s">
        <v>70</v>
      </c>
      <c r="S27" s="1326">
        <f>F27</f>
        <v>100</v>
      </c>
      <c r="T27" s="1325" t="s">
        <v>70</v>
      </c>
      <c r="U27" s="1326">
        <f>H27</f>
        <v>100</v>
      </c>
      <c r="V27" s="1325" t="s">
        <v>70</v>
      </c>
      <c r="W27" s="1326">
        <f>J27</f>
        <v>100</v>
      </c>
      <c r="X27" s="1327"/>
      <c r="Y27" s="3552"/>
      <c r="Z27" s="350" t="str">
        <f>Q27</f>
        <v>公共配套设施</v>
      </c>
      <c r="AA27" s="1333">
        <f>D27/F27</f>
        <v>1</v>
      </c>
      <c r="AB27" s="1333">
        <f>D27/H27</f>
        <v>1</v>
      </c>
      <c r="AC27" s="1333">
        <f>D27/J27</f>
        <v>1</v>
      </c>
    </row>
    <row r="28" spans="1:29" s="413" customFormat="1" ht="15">
      <c r="A28" s="997"/>
      <c r="B28" s="805"/>
      <c r="C28" s="2811" t="s">
        <v>124</v>
      </c>
      <c r="D28" s="797"/>
      <c r="E28" s="192" t="s">
        <v>124</v>
      </c>
      <c r="F28" s="797"/>
      <c r="G28" s="192" t="s">
        <v>124</v>
      </c>
      <c r="H28" s="797"/>
      <c r="I28" s="97" t="s">
        <v>124</v>
      </c>
      <c r="J28" s="797"/>
      <c r="K28" s="1087"/>
      <c r="L28" s="2377"/>
      <c r="M28" s="2378"/>
      <c r="N28" s="2378"/>
      <c r="O28" s="2379"/>
      <c r="P28" s="3552"/>
      <c r="Q28" s="302"/>
      <c r="R28" s="1325"/>
      <c r="S28" s="1326"/>
      <c r="T28" s="1325"/>
      <c r="U28" s="1326"/>
      <c r="V28" s="1325"/>
      <c r="W28" s="1326"/>
      <c r="X28" s="1327"/>
      <c r="Y28" s="3552"/>
      <c r="Z28" s="350"/>
      <c r="AA28" s="1333">
        <v>1</v>
      </c>
      <c r="AB28" s="1333">
        <v>1</v>
      </c>
      <c r="AC28" s="1333">
        <v>1</v>
      </c>
    </row>
    <row r="29" spans="1:29" s="413" customFormat="1" ht="40.5">
      <c r="A29" s="997"/>
      <c r="B29" s="1418" t="s">
        <v>3075</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77"/>
      <c r="M29" s="2378"/>
      <c r="N29" s="2378"/>
      <c r="O29" s="2379"/>
      <c r="P29" s="3552"/>
      <c r="Q29" s="2780" t="str">
        <f t="shared" ref="Q29" si="9">B29</f>
        <v>基础设施水平</v>
      </c>
      <c r="R29" s="1325" t="s">
        <v>70</v>
      </c>
      <c r="S29" s="1326">
        <f>F29</f>
        <v>100</v>
      </c>
      <c r="T29" s="1325" t="s">
        <v>70</v>
      </c>
      <c r="U29" s="1326">
        <f>H29</f>
        <v>100</v>
      </c>
      <c r="V29" s="1325" t="s">
        <v>70</v>
      </c>
      <c r="W29" s="1326">
        <f>J29</f>
        <v>100</v>
      </c>
      <c r="X29" s="1327"/>
      <c r="Y29" s="3552"/>
      <c r="Z29" s="350" t="str">
        <f>Q29</f>
        <v>基础设施水平</v>
      </c>
      <c r="AA29" s="1333">
        <f>D29/F29</f>
        <v>1</v>
      </c>
      <c r="AB29" s="1333">
        <f>D29/H29</f>
        <v>1</v>
      </c>
      <c r="AC29" s="1333">
        <f>D29/J29</f>
        <v>1</v>
      </c>
    </row>
    <row r="30" spans="1:29" s="413" customFormat="1" ht="15">
      <c r="A30" s="997"/>
      <c r="B30" s="805"/>
      <c r="C30" s="2811" t="s">
        <v>161</v>
      </c>
      <c r="D30" s="797"/>
      <c r="E30" s="1042" t="s">
        <v>161</v>
      </c>
      <c r="F30" s="797"/>
      <c r="G30" s="1042" t="s">
        <v>161</v>
      </c>
      <c r="H30" s="797"/>
      <c r="I30" s="1042" t="s">
        <v>161</v>
      </c>
      <c r="J30" s="797"/>
      <c r="K30" s="1087"/>
      <c r="L30" s="2377"/>
      <c r="M30" s="2378"/>
      <c r="N30" s="2378"/>
      <c r="O30" s="2379"/>
      <c r="P30" s="3552"/>
      <c r="Q30" s="2780"/>
      <c r="R30" s="1325"/>
      <c r="S30" s="1326"/>
      <c r="T30" s="1325"/>
      <c r="U30" s="1326"/>
      <c r="V30" s="1325"/>
      <c r="W30" s="1326"/>
      <c r="X30" s="1327"/>
      <c r="Y30" s="3552"/>
      <c r="Z30" s="350"/>
      <c r="AA30" s="1333">
        <v>1</v>
      </c>
      <c r="AB30" s="1333">
        <v>1</v>
      </c>
      <c r="AC30" s="1333">
        <v>1</v>
      </c>
    </row>
    <row r="31" spans="1:29" ht="15">
      <c r="A31" s="777"/>
      <c r="B31" s="805" t="s">
        <v>623</v>
      </c>
      <c r="C31" s="182" t="s">
        <v>261</v>
      </c>
      <c r="D31" s="784">
        <v>100</v>
      </c>
      <c r="E31" s="195" t="s">
        <v>261</v>
      </c>
      <c r="F31" s="784">
        <f>SUMIF(104:104,E31,105:105)-SUMIF(104:104,C31,105:105)+100</f>
        <v>100</v>
      </c>
      <c r="G31" s="195" t="s">
        <v>261</v>
      </c>
      <c r="H31" s="784">
        <f>SUMIF(104:104,G31,105:105)-SUMIF(104:104,C31,105:105)+100</f>
        <v>100</v>
      </c>
      <c r="I31" s="195" t="s">
        <v>261</v>
      </c>
      <c r="J31" s="784">
        <f>SUMIF(104:104,I31,105:105)-SUMIF(104:104,C31,105:105)+100</f>
        <v>100</v>
      </c>
      <c r="K31" s="1088">
        <v>0</v>
      </c>
      <c r="L31" s="2385"/>
      <c r="M31" s="2376"/>
      <c r="N31" s="2376"/>
      <c r="O31" s="2384"/>
      <c r="P31" s="3552"/>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52"/>
      <c r="Z31" s="1332" t="str">
        <f t="shared" ref="Z31:Z45" si="13">Q31</f>
        <v>临街状况</v>
      </c>
      <c r="AA31" s="1333">
        <f t="shared" si="3"/>
        <v>1</v>
      </c>
      <c r="AB31" s="1333">
        <f t="shared" si="4"/>
        <v>1</v>
      </c>
      <c r="AC31" s="1333">
        <f t="shared" si="5"/>
        <v>1</v>
      </c>
    </row>
    <row r="32" spans="1:29" ht="28.5">
      <c r="A32" s="777"/>
      <c r="B32" s="2805" t="s">
        <v>631</v>
      </c>
      <c r="C32" s="803" t="s">
        <v>705</v>
      </c>
      <c r="D32" s="799">
        <v>100</v>
      </c>
      <c r="E32" s="801"/>
      <c r="F32" s="799">
        <f>SUMIF(106:106,E33,107:107)-SUMIF(106:106,C33,107:107)+100</f>
        <v>100</v>
      </c>
      <c r="G32" s="801"/>
      <c r="H32" s="799">
        <f>SUMIF(106:106,G33,107:107)-SUMIF(106:106,C33,107:107)+100</f>
        <v>99</v>
      </c>
      <c r="I32" s="803"/>
      <c r="J32" s="799">
        <f>SUMIF(106:106,I33,107:107)-SUMIF(106:106,C33,107:107)+100</f>
        <v>98</v>
      </c>
      <c r="K32" s="1088">
        <v>1</v>
      </c>
      <c r="L32" s="2385"/>
      <c r="M32" s="2376"/>
      <c r="N32" s="2376"/>
      <c r="O32" s="2384"/>
      <c r="P32" s="3552"/>
      <c r="Q32" s="1329" t="str">
        <f t="shared" si="8"/>
        <v>毗邻道路的类型与等级</v>
      </c>
      <c r="R32" s="1330" t="s">
        <v>70</v>
      </c>
      <c r="S32" s="1331">
        <f t="shared" si="10"/>
        <v>100</v>
      </c>
      <c r="T32" s="1330" t="s">
        <v>70</v>
      </c>
      <c r="U32" s="1331">
        <f t="shared" si="11"/>
        <v>99</v>
      </c>
      <c r="V32" s="1330" t="s">
        <v>70</v>
      </c>
      <c r="W32" s="1331">
        <f t="shared" si="12"/>
        <v>98</v>
      </c>
      <c r="X32" s="1324"/>
      <c r="Y32" s="3552"/>
      <c r="Z32" s="1332" t="str">
        <f t="shared" si="13"/>
        <v>毗邻道路的类型与等级</v>
      </c>
      <c r="AA32" s="1333">
        <f t="shared" si="3"/>
        <v>1</v>
      </c>
      <c r="AB32" s="1333">
        <f t="shared" si="4"/>
        <v>1.0101010101010102</v>
      </c>
      <c r="AC32" s="1333">
        <f t="shared" si="5"/>
        <v>1.0204081632653061</v>
      </c>
    </row>
    <row r="33" spans="1:29" ht="17.25" customHeight="1" thickBot="1">
      <c r="A33" s="777"/>
      <c r="B33" s="805"/>
      <c r="C33" s="97" t="s">
        <v>226</v>
      </c>
      <c r="D33" s="797"/>
      <c r="E33" s="192" t="s">
        <v>226</v>
      </c>
      <c r="F33" s="797"/>
      <c r="G33" s="192" t="s">
        <v>257</v>
      </c>
      <c r="H33" s="797"/>
      <c r="I33" s="97" t="s">
        <v>265</v>
      </c>
      <c r="J33" s="797"/>
      <c r="K33" s="961"/>
      <c r="L33" s="2385"/>
      <c r="M33" s="2376"/>
      <c r="N33" s="2376"/>
      <c r="O33" s="2384"/>
      <c r="P33" s="3552"/>
      <c r="Q33" s="1329"/>
      <c r="R33" s="1330"/>
      <c r="S33" s="1331"/>
      <c r="T33" s="1330"/>
      <c r="U33" s="1331"/>
      <c r="V33" s="1330"/>
      <c r="W33" s="1331"/>
      <c r="X33" s="1324"/>
      <c r="Y33" s="3552"/>
      <c r="Z33" s="1332"/>
      <c r="AA33" s="1333">
        <v>1</v>
      </c>
      <c r="AB33" s="1333">
        <v>1</v>
      </c>
      <c r="AC33" s="1333">
        <v>1</v>
      </c>
    </row>
    <row r="34" spans="1:29" ht="15.75" hidden="1" thickBot="1">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5"/>
      <c r="M34" s="2376"/>
      <c r="N34" s="2376"/>
      <c r="O34" s="2384"/>
      <c r="P34" s="3552"/>
      <c r="Q34" s="1329" t="str">
        <f t="shared" si="8"/>
        <v>土地级别</v>
      </c>
      <c r="R34" s="1330" t="s">
        <v>70</v>
      </c>
      <c r="S34" s="1331">
        <f t="shared" si="10"/>
        <v>100</v>
      </c>
      <c r="T34" s="1330" t="s">
        <v>70</v>
      </c>
      <c r="U34" s="1331">
        <f t="shared" si="11"/>
        <v>100</v>
      </c>
      <c r="V34" s="1330" t="s">
        <v>70</v>
      </c>
      <c r="W34" s="1331">
        <f t="shared" si="12"/>
        <v>100</v>
      </c>
      <c r="X34" s="1324"/>
      <c r="Y34" s="3552"/>
      <c r="Z34" s="1332" t="str">
        <f t="shared" si="13"/>
        <v>土地级别</v>
      </c>
      <c r="AA34" s="1333">
        <f t="shared" si="3"/>
        <v>1</v>
      </c>
      <c r="AB34" s="1333">
        <f t="shared" si="4"/>
        <v>1</v>
      </c>
      <c r="AC34" s="1333">
        <f t="shared" si="5"/>
        <v>1</v>
      </c>
    </row>
    <row r="35" spans="1:29" ht="15" hidden="1">
      <c r="A35" s="752"/>
      <c r="B35" s="2807">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5"/>
      <c r="M35" s="2376"/>
      <c r="N35" s="2376"/>
      <c r="O35" s="2384"/>
      <c r="P35" s="3552"/>
      <c r="Q35" s="1329">
        <f t="shared" si="8"/>
        <v>111</v>
      </c>
      <c r="R35" s="1330" t="s">
        <v>70</v>
      </c>
      <c r="S35" s="1331">
        <f t="shared" si="10"/>
        <v>100</v>
      </c>
      <c r="T35" s="1330" t="s">
        <v>70</v>
      </c>
      <c r="U35" s="1331">
        <f t="shared" si="11"/>
        <v>100</v>
      </c>
      <c r="V35" s="1330" t="s">
        <v>70</v>
      </c>
      <c r="W35" s="1331">
        <f t="shared" si="12"/>
        <v>100</v>
      </c>
      <c r="X35" s="1324"/>
      <c r="Y35" s="3552"/>
      <c r="Z35" s="1332">
        <f t="shared" si="13"/>
        <v>111</v>
      </c>
      <c r="AA35" s="1333">
        <f t="shared" si="3"/>
        <v>1</v>
      </c>
      <c r="AB35" s="1333">
        <f t="shared" si="4"/>
        <v>1</v>
      </c>
      <c r="AC35" s="1333">
        <f t="shared" si="5"/>
        <v>1</v>
      </c>
    </row>
    <row r="36" spans="1:29" ht="15" hidden="1">
      <c r="A36" s="1090"/>
      <c r="B36" s="2808">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5"/>
      <c r="M36" s="2376"/>
      <c r="N36" s="2376"/>
      <c r="O36" s="2384"/>
      <c r="P36" s="3553" t="s">
        <v>586</v>
      </c>
      <c r="Q36" s="1329">
        <f t="shared" si="8"/>
        <v>111</v>
      </c>
      <c r="R36" s="1330" t="s">
        <v>70</v>
      </c>
      <c r="S36" s="1331">
        <f t="shared" si="10"/>
        <v>100</v>
      </c>
      <c r="T36" s="1330" t="s">
        <v>70</v>
      </c>
      <c r="U36" s="1331">
        <f t="shared" si="11"/>
        <v>100</v>
      </c>
      <c r="V36" s="1330" t="s">
        <v>70</v>
      </c>
      <c r="W36" s="1331">
        <f t="shared" si="12"/>
        <v>100</v>
      </c>
      <c r="X36" s="1324"/>
      <c r="Y36" s="3554" t="s">
        <v>586</v>
      </c>
      <c r="Z36" s="1332">
        <f t="shared" si="13"/>
        <v>111</v>
      </c>
      <c r="AA36" s="1333">
        <f t="shared" si="3"/>
        <v>1</v>
      </c>
      <c r="AB36" s="1333">
        <f t="shared" si="4"/>
        <v>1</v>
      </c>
      <c r="AC36" s="1333">
        <f t="shared" si="5"/>
        <v>1</v>
      </c>
    </row>
    <row r="37" spans="1:29" s="819" customFormat="1" ht="15.75" hidden="1" thickBot="1">
      <c r="A37" s="1091"/>
      <c r="B37" s="2809">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3"/>
      <c r="M37" s="2386"/>
      <c r="N37" s="2386"/>
      <c r="O37" s="2387"/>
      <c r="P37" s="3554"/>
      <c r="Q37" s="1329">
        <f t="shared" si="8"/>
        <v>111</v>
      </c>
      <c r="R37" s="1335" t="s">
        <v>70</v>
      </c>
      <c r="S37" s="1336">
        <f t="shared" si="10"/>
        <v>100</v>
      </c>
      <c r="T37" s="1335" t="s">
        <v>70</v>
      </c>
      <c r="U37" s="1336">
        <f t="shared" si="11"/>
        <v>100</v>
      </c>
      <c r="V37" s="1335" t="s">
        <v>70</v>
      </c>
      <c r="W37" s="1336">
        <f t="shared" si="12"/>
        <v>100</v>
      </c>
      <c r="X37" s="1337"/>
      <c r="Y37" s="3554"/>
      <c r="Z37" s="1338">
        <f t="shared" si="13"/>
        <v>111</v>
      </c>
      <c r="AA37" s="1333">
        <f t="shared" si="3"/>
        <v>1</v>
      </c>
      <c r="AB37" s="1333">
        <f t="shared" si="4"/>
        <v>1</v>
      </c>
      <c r="AC37" s="1333">
        <f t="shared" si="5"/>
        <v>1</v>
      </c>
    </row>
    <row r="38" spans="1:29" ht="15">
      <c r="A38" s="820" t="s">
        <v>585</v>
      </c>
      <c r="B38" s="805" t="s">
        <v>707</v>
      </c>
      <c r="C38" s="1094">
        <f>'数据-基础表'!A3</f>
        <v>2992.36</v>
      </c>
      <c r="D38" s="815">
        <v>100</v>
      </c>
      <c r="E38" s="1094">
        <v>49477.2</v>
      </c>
      <c r="F38" s="815">
        <f>LOOKUP(E38,117:117,118:118)-LOOKUP(C38,117:117,118:118)+100</f>
        <v>102</v>
      </c>
      <c r="G38" s="1094">
        <v>71916.58</v>
      </c>
      <c r="H38" s="815">
        <f>LOOKUP(G38,117:117,118:118)-LOOKUP(C38,117:117,118:118)+100</f>
        <v>103</v>
      </c>
      <c r="I38" s="878">
        <v>29183.54</v>
      </c>
      <c r="J38" s="815">
        <f>LOOKUP(I38,117:117,118:118)-LOOKUP(C38,117:117,118:118)+100</f>
        <v>101</v>
      </c>
      <c r="K38" s="961"/>
      <c r="L38" s="2385"/>
      <c r="M38" s="2376"/>
      <c r="N38" s="2376"/>
      <c r="O38" s="2384"/>
      <c r="P38" s="3554"/>
      <c r="Q38" s="1329" t="str">
        <f>B38</f>
        <v>宗地面积</v>
      </c>
      <c r="R38" s="1330" t="s">
        <v>70</v>
      </c>
      <c r="S38" s="1331">
        <f t="shared" si="10"/>
        <v>102</v>
      </c>
      <c r="T38" s="1330" t="s">
        <v>70</v>
      </c>
      <c r="U38" s="1331">
        <f t="shared" si="11"/>
        <v>103</v>
      </c>
      <c r="V38" s="1330" t="s">
        <v>70</v>
      </c>
      <c r="W38" s="1331">
        <f t="shared" si="12"/>
        <v>101</v>
      </c>
      <c r="X38" s="1324"/>
      <c r="Y38" s="3554"/>
      <c r="Z38" s="1332" t="str">
        <f t="shared" si="13"/>
        <v>宗地面积</v>
      </c>
      <c r="AA38" s="1333">
        <f t="shared" si="3"/>
        <v>0.98039215686274506</v>
      </c>
      <c r="AB38" s="1333">
        <f t="shared" si="4"/>
        <v>0.970873786407767</v>
      </c>
      <c r="AC38" s="1333">
        <f t="shared" si="5"/>
        <v>0.99009900990099009</v>
      </c>
    </row>
    <row r="39" spans="1:29" ht="15">
      <c r="A39" s="820"/>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5"/>
      <c r="M39" s="2376"/>
      <c r="N39" s="2376"/>
      <c r="O39" s="2384"/>
      <c r="P39" s="3554"/>
      <c r="Q39" s="1329" t="str">
        <f t="shared" ref="Q39:Q45" si="14">B39</f>
        <v>宗地形状</v>
      </c>
      <c r="R39" s="1330" t="s">
        <v>70</v>
      </c>
      <c r="S39" s="1331">
        <f t="shared" si="10"/>
        <v>100</v>
      </c>
      <c r="T39" s="1330" t="s">
        <v>70</v>
      </c>
      <c r="U39" s="1331">
        <f t="shared" si="11"/>
        <v>100</v>
      </c>
      <c r="V39" s="1330" t="s">
        <v>70</v>
      </c>
      <c r="W39" s="1331">
        <f t="shared" si="12"/>
        <v>100</v>
      </c>
      <c r="X39" s="1324"/>
      <c r="Y39" s="3554"/>
      <c r="Z39" s="1332" t="str">
        <f t="shared" si="13"/>
        <v>宗地形状</v>
      </c>
      <c r="AA39" s="1333">
        <f t="shared" si="3"/>
        <v>1</v>
      </c>
      <c r="AB39" s="1333">
        <f t="shared" si="4"/>
        <v>1</v>
      </c>
      <c r="AC39" s="1333">
        <f t="shared" si="5"/>
        <v>1</v>
      </c>
    </row>
    <row r="40" spans="1:29" ht="15" hidden="1">
      <c r="A40" s="820"/>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5"/>
      <c r="M40" s="2376"/>
      <c r="N40" s="2376"/>
      <c r="O40" s="2384"/>
      <c r="P40" s="3554"/>
      <c r="Q40" s="1329" t="str">
        <f t="shared" si="14"/>
        <v>临街宽度及深度</v>
      </c>
      <c r="R40" s="1330" t="s">
        <v>70</v>
      </c>
      <c r="S40" s="1331">
        <f t="shared" si="10"/>
        <v>100</v>
      </c>
      <c r="T40" s="1330" t="s">
        <v>70</v>
      </c>
      <c r="U40" s="1331">
        <f t="shared" si="11"/>
        <v>100</v>
      </c>
      <c r="V40" s="1330" t="s">
        <v>70</v>
      </c>
      <c r="W40" s="1331">
        <f t="shared" si="12"/>
        <v>100</v>
      </c>
      <c r="X40" s="1324"/>
      <c r="Y40" s="3554"/>
      <c r="Z40" s="1332" t="str">
        <f t="shared" si="13"/>
        <v>临街宽度及深度</v>
      </c>
      <c r="AA40" s="1333">
        <f t="shared" si="3"/>
        <v>1</v>
      </c>
      <c r="AB40" s="1333">
        <f t="shared" si="4"/>
        <v>1</v>
      </c>
      <c r="AC40" s="1333">
        <f t="shared" si="5"/>
        <v>1</v>
      </c>
    </row>
    <row r="41" spans="1:29" s="413" customFormat="1" ht="15">
      <c r="A41" s="821"/>
      <c r="B41" s="2645" t="s">
        <v>2903</v>
      </c>
      <c r="C41" s="3317" t="s">
        <v>2898</v>
      </c>
      <c r="D41" s="431">
        <v>100</v>
      </c>
      <c r="E41" s="1048" t="s">
        <v>3390</v>
      </c>
      <c r="F41" s="784">
        <f>SUMIF(123:123,E41,124:124)-SUMIF(123:123,C41,124:124)+100</f>
        <v>97</v>
      </c>
      <c r="G41" s="1048" t="s">
        <v>2180</v>
      </c>
      <c r="H41" s="784">
        <f>SUMIF(123:123,G41,124:124)-SUMIF(123:123,C41,124:124)+100</f>
        <v>101</v>
      </c>
      <c r="I41" s="1048" t="s">
        <v>2898</v>
      </c>
      <c r="J41" s="784">
        <f>SUMIF(123:123,I41,124:124)-SUMIF(123:123,C41,124:124)+100</f>
        <v>100</v>
      </c>
      <c r="K41" s="960">
        <v>1</v>
      </c>
      <c r="L41" s="2377"/>
      <c r="M41" s="2378"/>
      <c r="N41" s="2378"/>
      <c r="O41" s="2379"/>
      <c r="P41" s="3554"/>
      <c r="Q41" s="1329" t="str">
        <f t="shared" si="14"/>
        <v>宗地开发程度</v>
      </c>
      <c r="R41" s="1325" t="s">
        <v>70</v>
      </c>
      <c r="S41" s="1326">
        <f t="shared" si="10"/>
        <v>97</v>
      </c>
      <c r="T41" s="1325" t="s">
        <v>70</v>
      </c>
      <c r="U41" s="1326">
        <f t="shared" si="11"/>
        <v>101</v>
      </c>
      <c r="V41" s="1325" t="s">
        <v>70</v>
      </c>
      <c r="W41" s="1326">
        <f t="shared" si="12"/>
        <v>100</v>
      </c>
      <c r="X41" s="1327"/>
      <c r="Y41" s="3554"/>
      <c r="Z41" s="350" t="str">
        <f t="shared" si="13"/>
        <v>宗地开发程度</v>
      </c>
      <c r="AA41" s="1328">
        <f t="shared" si="3"/>
        <v>1.0309278350515463</v>
      </c>
      <c r="AB41" s="1328">
        <f t="shared" si="4"/>
        <v>0.99009900990099009</v>
      </c>
      <c r="AC41" s="1328">
        <f t="shared" si="5"/>
        <v>1</v>
      </c>
    </row>
    <row r="42" spans="1:29" ht="15.75" thickBot="1">
      <c r="A42" s="820"/>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5"/>
      <c r="M42" s="2376"/>
      <c r="N42" s="2376"/>
      <c r="O42" s="2384"/>
      <c r="P42" s="3554" t="s">
        <v>586</v>
      </c>
      <c r="Q42" s="1329" t="str">
        <f t="shared" si="14"/>
        <v>工程地质条件</v>
      </c>
      <c r="R42" s="1330" t="s">
        <v>70</v>
      </c>
      <c r="S42" s="1331">
        <f t="shared" si="10"/>
        <v>100</v>
      </c>
      <c r="T42" s="1330" t="s">
        <v>70</v>
      </c>
      <c r="U42" s="1331">
        <f t="shared" si="11"/>
        <v>100</v>
      </c>
      <c r="V42" s="1330" t="s">
        <v>70</v>
      </c>
      <c r="W42" s="1331">
        <f t="shared" si="12"/>
        <v>100</v>
      </c>
      <c r="X42" s="1324"/>
      <c r="Y42" s="3554" t="s">
        <v>586</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5"/>
      <c r="M43" s="2376"/>
      <c r="N43" s="2376"/>
      <c r="O43" s="2384"/>
      <c r="P43" s="3554"/>
      <c r="Q43" s="1329">
        <f t="shared" si="14"/>
        <v>111</v>
      </c>
      <c r="R43" s="1330" t="s">
        <v>70</v>
      </c>
      <c r="S43" s="1331">
        <f t="shared" si="10"/>
        <v>100</v>
      </c>
      <c r="T43" s="1330" t="s">
        <v>70</v>
      </c>
      <c r="U43" s="1331">
        <f t="shared" si="11"/>
        <v>100</v>
      </c>
      <c r="V43" s="1330" t="s">
        <v>70</v>
      </c>
      <c r="W43" s="1331">
        <f t="shared" si="12"/>
        <v>100</v>
      </c>
      <c r="X43" s="1324"/>
      <c r="Y43" s="3554"/>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5"/>
      <c r="M44" s="2376"/>
      <c r="N44" s="2376"/>
      <c r="O44" s="2384"/>
      <c r="P44" s="3554"/>
      <c r="Q44" s="1329">
        <f t="shared" si="14"/>
        <v>111</v>
      </c>
      <c r="R44" s="1330" t="s">
        <v>70</v>
      </c>
      <c r="S44" s="1331">
        <f t="shared" si="10"/>
        <v>100</v>
      </c>
      <c r="T44" s="1330" t="s">
        <v>70</v>
      </c>
      <c r="U44" s="1331">
        <f t="shared" si="11"/>
        <v>100</v>
      </c>
      <c r="V44" s="1330" t="s">
        <v>70</v>
      </c>
      <c r="W44" s="1331">
        <f t="shared" si="12"/>
        <v>100</v>
      </c>
      <c r="X44" s="1324"/>
      <c r="Y44" s="3554"/>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3"/>
      <c r="M45" s="2386"/>
      <c r="N45" s="2386"/>
      <c r="O45" s="2387"/>
      <c r="P45" s="3554"/>
      <c r="Q45" s="1329">
        <f t="shared" si="14"/>
        <v>111</v>
      </c>
      <c r="R45" s="1335" t="s">
        <v>70</v>
      </c>
      <c r="S45" s="1336">
        <f t="shared" si="10"/>
        <v>100</v>
      </c>
      <c r="T45" s="1335" t="s">
        <v>70</v>
      </c>
      <c r="U45" s="1336">
        <f t="shared" si="11"/>
        <v>100</v>
      </c>
      <c r="V45" s="1335" t="s">
        <v>70</v>
      </c>
      <c r="W45" s="1336">
        <f t="shared" si="12"/>
        <v>100</v>
      </c>
      <c r="X45" s="1337"/>
      <c r="Y45" s="3554"/>
      <c r="Z45" s="1338">
        <f t="shared" si="13"/>
        <v>111</v>
      </c>
      <c r="AA45" s="1333">
        <f t="shared" si="3"/>
        <v>1</v>
      </c>
      <c r="AB45" s="1333">
        <f t="shared" si="4"/>
        <v>1</v>
      </c>
      <c r="AC45" s="1333">
        <f t="shared" si="5"/>
        <v>1</v>
      </c>
    </row>
    <row r="46" spans="1:29" ht="15">
      <c r="A46" s="827" t="s">
        <v>711</v>
      </c>
      <c r="B46" s="207" t="s">
        <v>266</v>
      </c>
      <c r="C46" s="1097" t="s">
        <v>23</v>
      </c>
      <c r="D46" s="829"/>
      <c r="E46" s="830">
        <v>15159</v>
      </c>
      <c r="F46" s="831"/>
      <c r="G46" s="832">
        <v>16779</v>
      </c>
      <c r="H46" s="833"/>
      <c r="I46" s="830">
        <v>14529</v>
      </c>
      <c r="J46" s="833"/>
      <c r="K46" s="1406"/>
      <c r="L46" s="2388"/>
      <c r="M46" s="2389"/>
      <c r="N46" s="2376"/>
      <c r="O46" s="2389"/>
      <c r="P46" s="3550" t="str">
        <f>A46</f>
        <v>成交单价</v>
      </c>
      <c r="Q46" s="3550"/>
      <c r="R46" s="3555">
        <f>E46</f>
        <v>15159</v>
      </c>
      <c r="S46" s="3555"/>
      <c r="T46" s="3555">
        <f>G46</f>
        <v>16779</v>
      </c>
      <c r="U46" s="3555"/>
      <c r="V46" s="3555">
        <f>I46</f>
        <v>14529</v>
      </c>
      <c r="W46" s="3555"/>
      <c r="X46" s="1313"/>
      <c r="Y46" s="1339"/>
      <c r="Z46" s="1313"/>
      <c r="AA46" s="1313"/>
      <c r="AB46" s="1313"/>
      <c r="AC46" s="1313"/>
    </row>
    <row r="47" spans="1:29" ht="15.75" thickBot="1">
      <c r="A47" s="834" t="s">
        <v>588</v>
      </c>
      <c r="B47" s="1098"/>
      <c r="C47" s="838">
        <f>R48</f>
        <v>15243</v>
      </c>
      <c r="D47" s="837"/>
      <c r="E47" s="838">
        <f>R47</f>
        <v>15440</v>
      </c>
      <c r="F47" s="839"/>
      <c r="G47" s="836">
        <f>T47</f>
        <v>16102</v>
      </c>
      <c r="H47" s="837"/>
      <c r="I47" s="838">
        <f>V47</f>
        <v>14188</v>
      </c>
      <c r="J47" s="837"/>
      <c r="K47" s="1407"/>
      <c r="L47" s="2388"/>
      <c r="M47" s="2389"/>
      <c r="N47" s="2389"/>
      <c r="O47" s="2389"/>
      <c r="P47" s="3550" t="str">
        <f>A47</f>
        <v>比较价值（元/平方米）</v>
      </c>
      <c r="Q47" s="3550"/>
      <c r="R47" s="3541">
        <f>ROUND(PRODUCT(R46,AA7:AA45),0)</f>
        <v>15440</v>
      </c>
      <c r="S47" s="3541"/>
      <c r="T47" s="3541">
        <f>ROUND(PRODUCT(T46,AB7:AB45),0)</f>
        <v>16102</v>
      </c>
      <c r="U47" s="3541"/>
      <c r="V47" s="3541">
        <f>ROUND(PRODUCT(V46,AC7:AC45),0)</f>
        <v>14188</v>
      </c>
      <c r="W47" s="3541"/>
      <c r="X47" s="1313"/>
      <c r="Y47" s="1313"/>
      <c r="Z47" s="1313"/>
      <c r="AA47" s="1313"/>
      <c r="AB47" s="1313"/>
      <c r="AC47" s="1313"/>
    </row>
    <row r="48" spans="1:29" ht="15.75" thickBot="1">
      <c r="A48" s="115" t="s">
        <v>740</v>
      </c>
      <c r="B48" s="841"/>
      <c r="C48" s="842">
        <f>R48</f>
        <v>15243</v>
      </c>
      <c r="D48" s="842"/>
      <c r="E48" s="842"/>
      <c r="F48" s="842"/>
      <c r="G48" s="842"/>
      <c r="H48" s="842"/>
      <c r="I48" s="842"/>
      <c r="J48" s="842"/>
      <c r="K48" s="1408"/>
      <c r="L48" s="2388"/>
      <c r="M48" s="2389"/>
      <c r="N48" s="2389"/>
      <c r="O48" s="2389"/>
      <c r="P48" s="3542" t="str">
        <f>A48</f>
        <v>估价对象XX用房的比较价值（楼面单价，元/平方米）</v>
      </c>
      <c r="Q48" s="3543"/>
      <c r="R48" s="3544">
        <f>ROUND(AVERAGE(R47:V47),0)</f>
        <v>15243</v>
      </c>
      <c r="S48" s="3544"/>
      <c r="T48" s="3544"/>
      <c r="U48" s="3544"/>
      <c r="V48" s="3544"/>
      <c r="W48" s="3544"/>
      <c r="X48" s="1313"/>
      <c r="Y48" s="1313"/>
      <c r="Z48" s="1313"/>
      <c r="AA48" s="1313"/>
      <c r="AB48" s="1313"/>
      <c r="AC48" s="1313"/>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5" t="s">
        <v>590</v>
      </c>
      <c r="D51" s="846"/>
      <c r="E51" s="847">
        <f>IF(E46&lt;E47,E47/E46-1,E46/E47-1)</f>
        <v>1.8536842799657061E-2</v>
      </c>
      <c r="F51" s="848" t="str">
        <f>IF(OR(E51&gt;=0.3,E51&lt;=-0.3),"超过30%","")</f>
        <v/>
      </c>
      <c r="G51" s="847">
        <f>IF(G46&lt;G47,G47/G46-1,G46/G47-1)</f>
        <v>4.2044466525897439E-2</v>
      </c>
      <c r="H51" s="848" t="str">
        <f>IF(OR(G51&gt;=0.3,G51&lt;=-0.3),"超过30%","")</f>
        <v/>
      </c>
      <c r="I51" s="847">
        <f>IF(I46&lt;I47,I47/I46-1,I46/I47-1)</f>
        <v>2.403439526360307E-2</v>
      </c>
      <c r="J51" s="848" t="str">
        <f>IF(OR(I51&gt;=0.3,I51&lt;=-0.3),"超过30%","")</f>
        <v/>
      </c>
      <c r="K51" s="2211"/>
      <c r="L51" s="2212"/>
      <c r="M51" s="2389"/>
      <c r="N51" s="2389"/>
      <c r="O51" s="2389"/>
    </row>
    <row r="52" spans="1:15" ht="13.5" customHeight="1">
      <c r="A52" s="2389"/>
      <c r="B52" s="2389"/>
      <c r="C52" s="845" t="s">
        <v>591</v>
      </c>
      <c r="D52" s="849"/>
      <c r="E52" s="847">
        <f>IF(E47&lt;G47,G47/E47-1,E47/G47-1)</f>
        <v>4.2875647668393801E-2</v>
      </c>
      <c r="F52" s="848" t="str">
        <f>IF(OR(E52&gt;=0.2,E52&lt;=-0.2),"超过20%","")</f>
        <v/>
      </c>
      <c r="G52" s="847">
        <f>IF(G47&lt;I47,I47/G47-1,G47/I47-1)</f>
        <v>0.13490273470538483</v>
      </c>
      <c r="H52" s="848" t="str">
        <f>IF(OR(G52&gt;=0.2,G52&lt;=-0.2),"超过20%","")</f>
        <v/>
      </c>
      <c r="I52" s="847">
        <f>IF(I47&lt;E47,E47/I47-1,I47/E47-1)</f>
        <v>8.8243586129123308E-2</v>
      </c>
      <c r="J52" s="848" t="str">
        <f>IF(OR(I52&gt;=0.2,I52&lt;=-0.2),"超过20%","")</f>
        <v/>
      </c>
      <c r="K52" s="2211"/>
      <c r="L52" s="2212"/>
      <c r="M52" s="2389"/>
      <c r="N52" s="2389"/>
      <c r="O52" s="2389"/>
    </row>
    <row r="53" spans="1:15" s="850" customFormat="1" ht="13.5" customHeight="1">
      <c r="A53" s="2390"/>
      <c r="B53" s="2390"/>
      <c r="C53" s="845" t="s">
        <v>592</v>
      </c>
      <c r="D53" s="849"/>
      <c r="E53" s="847">
        <f>IF(E46&lt;G46,G46/E46-1,E46/G46-1)</f>
        <v>0.1068672075994459</v>
      </c>
      <c r="F53" s="848" t="str">
        <f>IF(OR(E53&gt;=0.3,E53&lt;=-0.3),"超过30%","")</f>
        <v/>
      </c>
      <c r="G53" s="847">
        <f>IF(G46&lt;I46,I46/G46-1,G46/I46-1)</f>
        <v>0.15486268841627093</v>
      </c>
      <c r="H53" s="848" t="str">
        <f>IF(OR(G53&gt;=0.3,G53&lt;=-0.3),"超过30%","")</f>
        <v/>
      </c>
      <c r="I53" s="847">
        <f>IF(I46&lt;E46,E46/I46-1,I46/E46-1)</f>
        <v>4.3361552756555843E-2</v>
      </c>
      <c r="J53" s="848" t="str">
        <f>IF(OR(I53&gt;=0.3,I53&lt;=-0.3),"超过30%","")</f>
        <v/>
      </c>
      <c r="K53" s="2393"/>
      <c r="L53" s="2394"/>
      <c r="M53" s="2390"/>
      <c r="N53" s="2390"/>
      <c r="O53" s="2390"/>
    </row>
    <row r="54" spans="1:15" s="850" customFormat="1" ht="15" thickBot="1">
      <c r="A54" s="2390"/>
      <c r="B54" s="2391"/>
      <c r="C54" s="1316"/>
      <c r="D54" s="1314"/>
      <c r="E54" s="1314"/>
      <c r="F54" s="1314"/>
      <c r="G54" s="1314"/>
      <c r="H54" s="1314"/>
      <c r="I54" s="1314"/>
      <c r="J54" s="1314"/>
      <c r="K54" s="2393"/>
      <c r="L54" s="2394"/>
      <c r="M54" s="2390"/>
      <c r="N54" s="2390"/>
      <c r="O54" s="2390"/>
    </row>
    <row r="55" spans="1:15" ht="27" customHeight="1">
      <c r="A55" s="1099" t="s">
        <v>712</v>
      </c>
      <c r="B55" s="1100" t="s">
        <v>713</v>
      </c>
      <c r="C55" s="1800" t="s">
        <v>2248</v>
      </c>
      <c r="D55" s="2420" t="s">
        <v>2698</v>
      </c>
      <c r="E55" s="1101" t="s">
        <v>714</v>
      </c>
      <c r="F55" s="2213" t="s">
        <v>715</v>
      </c>
      <c r="G55" s="3545" t="s">
        <v>2691</v>
      </c>
      <c r="H55" s="3546"/>
      <c r="I55" s="2214" t="s">
        <v>2247</v>
      </c>
      <c r="J55" s="2218">
        <f>项目基本情况!F35</f>
        <v>0</v>
      </c>
      <c r="K55" s="2403" t="s">
        <v>2249</v>
      </c>
      <c r="L55" s="2212"/>
      <c r="M55" s="2389"/>
      <c r="N55" s="2389"/>
      <c r="O55" s="2389"/>
    </row>
    <row r="56" spans="1:15" s="1107" customFormat="1">
      <c r="A56" s="1103" t="s">
        <v>716</v>
      </c>
      <c r="B56" s="1104">
        <f>C48</f>
        <v>15243</v>
      </c>
      <c r="C56" s="1105">
        <v>1</v>
      </c>
      <c r="D56" s="2421">
        <v>1</v>
      </c>
      <c r="E56" s="1105">
        <f>'数据-汇总表'!E8+'数据-汇总表'!E9</f>
        <v>11376.31</v>
      </c>
      <c r="F56" s="2209">
        <f t="shared" ref="F56:F65" si="15">ROUND(B56*E56/10000,0)</f>
        <v>17341</v>
      </c>
      <c r="G56" s="3547"/>
      <c r="H56" s="3548"/>
      <c r="I56" s="2215">
        <v>1</v>
      </c>
      <c r="J56" s="2219">
        <v>1</v>
      </c>
      <c r="K56" s="2390"/>
      <c r="L56" s="1797"/>
      <c r="M56" s="1797"/>
      <c r="N56" s="1797"/>
      <c r="O56" s="1797"/>
    </row>
    <row r="57" spans="1:15" s="1107" customFormat="1">
      <c r="A57" s="1108" t="s">
        <v>717</v>
      </c>
      <c r="B57" s="599">
        <f>ROUND($C$48*C57*D57,0)</f>
        <v>2668</v>
      </c>
      <c r="C57" s="537">
        <f t="shared" ref="C57:C65" si="16">IF($C$55="北京市系数",I57,J57)</f>
        <v>0.7</v>
      </c>
      <c r="D57" s="3308">
        <v>0.25</v>
      </c>
      <c r="E57" s="3307">
        <f>'数据-汇总表'!G22</f>
        <v>0</v>
      </c>
      <c r="F57" s="2209">
        <f t="shared" si="15"/>
        <v>0</v>
      </c>
      <c r="G57" s="3549" t="s">
        <v>2692</v>
      </c>
      <c r="H57" s="2210" t="str">
        <f>项目基本情况!B37</f>
        <v>四级</v>
      </c>
      <c r="I57" s="2215">
        <f>SUMIF(修正!A45:A56,H57,修正!B45:B56)</f>
        <v>0.7</v>
      </c>
      <c r="J57" s="2220"/>
      <c r="K57" s="2389"/>
      <c r="L57" s="1797"/>
      <c r="M57" s="1797"/>
      <c r="N57" s="1797"/>
      <c r="O57" s="1797"/>
    </row>
    <row r="58" spans="1:15" s="1107" customFormat="1">
      <c r="A58" s="1108" t="s">
        <v>718</v>
      </c>
      <c r="B58" s="599">
        <f t="shared" ref="B58:B65" si="17">ROUND($C$48*C58*D58,0)</f>
        <v>1524</v>
      </c>
      <c r="C58" s="537">
        <f t="shared" si="16"/>
        <v>0.4</v>
      </c>
      <c r="D58" s="2422">
        <v>0.25</v>
      </c>
      <c r="E58" s="1109">
        <v>0</v>
      </c>
      <c r="F58" s="2209">
        <f t="shared" si="15"/>
        <v>0</v>
      </c>
      <c r="G58" s="3549"/>
      <c r="H58" s="2210" t="str">
        <f>项目基本情况!B37</f>
        <v>四级</v>
      </c>
      <c r="I58" s="2215">
        <f>SUMIF(修正!A45:A56,H58,修正!C45:C56)</f>
        <v>0.4</v>
      </c>
      <c r="J58" s="2220"/>
      <c r="K58" s="2390"/>
      <c r="L58" s="1797"/>
      <c r="M58" s="1797"/>
      <c r="N58" s="1797"/>
      <c r="O58" s="1797"/>
    </row>
    <row r="59" spans="1:15" s="1107" customFormat="1">
      <c r="A59" s="1108" t="s">
        <v>719</v>
      </c>
      <c r="B59" s="599">
        <f t="shared" si="17"/>
        <v>1067</v>
      </c>
      <c r="C59" s="537">
        <f t="shared" si="16"/>
        <v>0.28000000000000003</v>
      </c>
      <c r="D59" s="2422">
        <v>0.25</v>
      </c>
      <c r="E59" s="1109">
        <v>0</v>
      </c>
      <c r="F59" s="2209">
        <f t="shared" si="15"/>
        <v>0</v>
      </c>
      <c r="G59" s="3549"/>
      <c r="H59" s="2210" t="str">
        <f>项目基本情况!B37</f>
        <v>四级</v>
      </c>
      <c r="I59" s="2215">
        <f>SUMIF(修正!A45:A56,H59,修正!D45:D56)</f>
        <v>0.28000000000000003</v>
      </c>
      <c r="J59" s="2220"/>
      <c r="K59" s="2389"/>
      <c r="L59" s="1797"/>
      <c r="M59" s="1797"/>
      <c r="N59" s="1797"/>
      <c r="O59" s="1797"/>
    </row>
    <row r="60" spans="1:15" s="1107" customFormat="1">
      <c r="A60" s="1108" t="s">
        <v>720</v>
      </c>
      <c r="B60" s="599">
        <f t="shared" si="17"/>
        <v>953</v>
      </c>
      <c r="C60" s="537">
        <f t="shared" si="16"/>
        <v>0.25</v>
      </c>
      <c r="D60" s="2422">
        <v>0.25</v>
      </c>
      <c r="E60" s="1109">
        <v>0</v>
      </c>
      <c r="F60" s="2209">
        <f t="shared" si="15"/>
        <v>0</v>
      </c>
      <c r="G60" s="3549"/>
      <c r="H60" s="2210" t="str">
        <f>项目基本情况!B37</f>
        <v>四级</v>
      </c>
      <c r="I60" s="2215">
        <f>SUMIF(修正!A45:A56,H60,修正!E45:E56)</f>
        <v>0.25</v>
      </c>
      <c r="J60" s="2220"/>
      <c r="K60" s="2390"/>
      <c r="L60" s="1797"/>
      <c r="M60" s="1797"/>
      <c r="N60" s="1797"/>
      <c r="O60" s="1797"/>
    </row>
    <row r="61" spans="1:15" s="1107" customFormat="1">
      <c r="A61" s="2543" t="s">
        <v>2779</v>
      </c>
      <c r="B61" s="599">
        <f t="shared" si="17"/>
        <v>953</v>
      </c>
      <c r="C61" s="537">
        <f t="shared" si="16"/>
        <v>0.25</v>
      </c>
      <c r="D61" s="2422">
        <v>0.25</v>
      </c>
      <c r="E61" s="598">
        <f>'数据-汇总表'!E11</f>
        <v>0</v>
      </c>
      <c r="F61" s="2209">
        <f t="shared" si="15"/>
        <v>0</v>
      </c>
      <c r="G61" s="2222" t="s">
        <v>2693</v>
      </c>
      <c r="H61" s="2210" t="str">
        <f>项目基本情况!C37</f>
        <v>六级</v>
      </c>
      <c r="I61" s="2215">
        <f>SUMIF(修正!A45:A56,H61,修正!F45:F56)</f>
        <v>0.25</v>
      </c>
      <c r="J61" s="2220"/>
      <c r="K61" s="2389"/>
      <c r="L61" s="1797"/>
      <c r="M61" s="1797"/>
      <c r="N61" s="1797"/>
      <c r="O61" s="1797"/>
    </row>
    <row r="62" spans="1:15" s="1107" customFormat="1">
      <c r="A62" s="1108" t="s">
        <v>721</v>
      </c>
      <c r="B62" s="599">
        <f t="shared" si="17"/>
        <v>953</v>
      </c>
      <c r="C62" s="537">
        <f t="shared" si="16"/>
        <v>0.25</v>
      </c>
      <c r="D62" s="2422">
        <v>0.25</v>
      </c>
      <c r="E62" s="598">
        <f>'数据-汇总表'!E12</f>
        <v>0</v>
      </c>
      <c r="F62" s="2209">
        <f t="shared" si="15"/>
        <v>0</v>
      </c>
      <c r="G62" s="2216" t="s">
        <v>210</v>
      </c>
      <c r="H62" s="2210" t="str">
        <f>IF(G62="商业",项目基本情况!B37,IF(G62="办公",项目基本情况!C37,IF(G62="住宅",项目基本情况!D37,项目基本情况!E37)))</f>
        <v>六级</v>
      </c>
      <c r="I62" s="2215">
        <f>SUMIF(修正!A45:A56,H62,修正!G45:G56)</f>
        <v>0.25</v>
      </c>
      <c r="J62" s="2220"/>
      <c r="K62" s="2390"/>
      <c r="L62" s="1797"/>
      <c r="M62" s="1797"/>
      <c r="N62" s="1797"/>
      <c r="O62" s="1797"/>
    </row>
    <row r="63" spans="1:15" s="1107" customFormat="1">
      <c r="A63" s="1108" t="s">
        <v>722</v>
      </c>
      <c r="B63" s="599">
        <f t="shared" si="17"/>
        <v>572</v>
      </c>
      <c r="C63" s="537">
        <f t="shared" si="16"/>
        <v>0.15</v>
      </c>
      <c r="D63" s="2422">
        <v>0.25</v>
      </c>
      <c r="E63" s="598">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7"/>
      <c r="M63" s="1797"/>
      <c r="N63" s="1797"/>
      <c r="O63" s="1797"/>
    </row>
    <row r="64" spans="1:15" s="1107" customFormat="1">
      <c r="A64" s="1108" t="s">
        <v>723</v>
      </c>
      <c r="B64" s="599">
        <f t="shared" si="17"/>
        <v>762</v>
      </c>
      <c r="C64" s="537">
        <f t="shared" si="16"/>
        <v>0.2</v>
      </c>
      <c r="D64" s="2422">
        <v>0.25</v>
      </c>
      <c r="E64" s="598">
        <f>'数据-汇总表'!E14</f>
        <v>0</v>
      </c>
      <c r="F64" s="2209">
        <f t="shared" si="15"/>
        <v>0</v>
      </c>
      <c r="G64" s="2222" t="s">
        <v>2694</v>
      </c>
      <c r="H64" s="2210" t="str">
        <f>项目基本情况!B37</f>
        <v>四级</v>
      </c>
      <c r="I64" s="2215">
        <f>SUMIF(修正!A45:A56,H64,修正!H45:H56)</f>
        <v>0.2</v>
      </c>
      <c r="J64" s="2220"/>
      <c r="K64" s="2390"/>
      <c r="L64" s="1797"/>
      <c r="M64" s="1797"/>
      <c r="N64" s="1797"/>
      <c r="O64" s="1797"/>
    </row>
    <row r="65" spans="1:17" s="1107" customFormat="1" ht="15" thickBot="1">
      <c r="A65" s="1108" t="s">
        <v>724</v>
      </c>
      <c r="B65" s="599">
        <f t="shared" si="17"/>
        <v>762</v>
      </c>
      <c r="C65" s="537">
        <f t="shared" si="16"/>
        <v>0.2</v>
      </c>
      <c r="D65" s="2422">
        <v>0.25</v>
      </c>
      <c r="E65" s="598">
        <f>'数据-汇总表'!E15</f>
        <v>0</v>
      </c>
      <c r="F65" s="2209">
        <f t="shared" si="15"/>
        <v>0</v>
      </c>
      <c r="G65" s="2223" t="s">
        <v>2693</v>
      </c>
      <c r="H65" s="2224" t="str">
        <f>项目基本情况!C37</f>
        <v>六级</v>
      </c>
      <c r="I65" s="2217">
        <f>SUMIF(修正!A45:A56,H65,修正!H45:H56)</f>
        <v>0.2</v>
      </c>
      <c r="J65" s="2221"/>
      <c r="K65" s="2389"/>
      <c r="L65" s="1797"/>
      <c r="M65" s="1797"/>
      <c r="N65" s="1797"/>
      <c r="O65" s="1797"/>
    </row>
    <row r="66" spans="1:17" s="1107" customFormat="1" ht="13.5" thickBot="1">
      <c r="A66" s="1110" t="s">
        <v>725</v>
      </c>
      <c r="B66" s="1111" t="s">
        <v>263</v>
      </c>
      <c r="C66" s="1111" t="s">
        <v>264</v>
      </c>
      <c r="D66" s="1111" t="s">
        <v>2699</v>
      </c>
      <c r="E66" s="1111">
        <f>IF(B46="楼面地价",SUM(E56:E65),'数据-汇总表'!D3)</f>
        <v>11376.31</v>
      </c>
      <c r="F66" s="1112">
        <f>IF(B46="楼面地价",SUM(F56:F65),ROUND(C48*E66/10000,0))</f>
        <v>17341</v>
      </c>
      <c r="G66" s="1421"/>
      <c r="H66" s="1421"/>
      <c r="I66" s="1421"/>
      <c r="J66" s="1421"/>
      <c r="K66" s="2404"/>
      <c r="L66" s="1797"/>
      <c r="M66" s="1797"/>
      <c r="N66" s="1797"/>
      <c r="O66" s="1797"/>
    </row>
    <row r="67" spans="1:17">
      <c r="A67" s="1313"/>
      <c r="B67" s="1315"/>
      <c r="C67" s="1316"/>
      <c r="D67" s="1313"/>
      <c r="E67" s="1313"/>
      <c r="F67" s="1313"/>
      <c r="G67" s="1313"/>
      <c r="H67" s="1313"/>
      <c r="I67" s="1313"/>
      <c r="J67" s="2389"/>
      <c r="K67" s="2211"/>
      <c r="L67" s="2212"/>
      <c r="M67" s="2389"/>
      <c r="N67" s="2389"/>
      <c r="O67" s="2389"/>
    </row>
    <row r="68" spans="1:17">
      <c r="A68" s="1313"/>
      <c r="B68" s="1315"/>
      <c r="C68" s="1315" t="str">
        <f>YEAR(C7)&amp;"-"&amp;MONTH(C7)&amp;"-1"</f>
        <v>2017-7-1</v>
      </c>
      <c r="D68" s="1315">
        <f>EDATE(C68,-3)</f>
        <v>42826</v>
      </c>
      <c r="E68" s="1315">
        <f>EDATE(D68,-3)</f>
        <v>42736</v>
      </c>
      <c r="F68" s="1315">
        <f t="shared" ref="F68:O68" si="18">EDATE(E68,-3)</f>
        <v>42644</v>
      </c>
      <c r="G68" s="1315">
        <f t="shared" si="18"/>
        <v>42552</v>
      </c>
      <c r="H68" s="1315">
        <f t="shared" si="18"/>
        <v>42461</v>
      </c>
      <c r="I68" s="1315">
        <f t="shared" si="18"/>
        <v>42370</v>
      </c>
      <c r="J68" s="1315">
        <f t="shared" si="18"/>
        <v>42278</v>
      </c>
      <c r="K68" s="1315">
        <f t="shared" si="18"/>
        <v>42186</v>
      </c>
      <c r="L68" s="1315">
        <f t="shared" si="18"/>
        <v>42095</v>
      </c>
      <c r="M68" s="1315">
        <f t="shared" si="18"/>
        <v>42005</v>
      </c>
      <c r="N68" s="1315">
        <f t="shared" si="18"/>
        <v>41913</v>
      </c>
      <c r="O68" s="1315">
        <f t="shared" si="18"/>
        <v>41821</v>
      </c>
    </row>
    <row r="69" spans="1:17" ht="21.75" thickBot="1">
      <c r="A69" s="1317" t="s">
        <v>593</v>
      </c>
      <c r="B69" s="1313"/>
      <c r="C69" s="1318"/>
      <c r="D69" s="1318"/>
      <c r="E69" s="1318"/>
      <c r="F69" s="1319"/>
      <c r="G69" s="1319"/>
      <c r="H69" s="1318"/>
      <c r="I69" s="1318"/>
      <c r="J69" s="2405"/>
      <c r="K69" s="2406"/>
      <c r="L69" s="2407"/>
      <c r="M69" s="2405"/>
      <c r="N69" s="2405"/>
      <c r="O69" s="2405"/>
      <c r="P69" s="851"/>
      <c r="Q69" s="852"/>
    </row>
    <row r="70" spans="1:17" s="856" customFormat="1" ht="15">
      <c r="A70" s="2742" t="s">
        <v>3201</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5"/>
    </row>
    <row r="71" spans="1:17" s="413" customFormat="1" ht="30" customHeight="1">
      <c r="A71" s="3081"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2">
        <v>90</v>
      </c>
      <c r="N71" s="943">
        <v>89</v>
      </c>
      <c r="O71" s="3073">
        <v>90</v>
      </c>
      <c r="P71" s="852"/>
    </row>
    <row r="72" spans="1:17" s="413" customFormat="1" ht="15.75" thickBot="1">
      <c r="A72" s="863" t="s">
        <v>594</v>
      </c>
      <c r="B72" s="864"/>
      <c r="C72" s="865"/>
      <c r="D72" s="866"/>
      <c r="E72" s="866"/>
      <c r="F72" s="866"/>
      <c r="G72" s="866"/>
      <c r="H72" s="866"/>
      <c r="I72" s="866"/>
      <c r="J72" s="866"/>
      <c r="K72" s="866"/>
      <c r="L72" s="866"/>
      <c r="M72" s="867"/>
      <c r="N72" s="866"/>
      <c r="O72" s="2408"/>
      <c r="P72" s="852"/>
      <c r="Q72" s="852"/>
    </row>
    <row r="73" spans="1:17" s="413" customFormat="1" ht="15">
      <c r="A73" s="869" t="s">
        <v>574</v>
      </c>
      <c r="B73" s="858"/>
      <c r="C73" s="870" t="s">
        <v>595</v>
      </c>
      <c r="D73" s="140" t="s">
        <v>1468</v>
      </c>
      <c r="E73" s="140"/>
      <c r="F73" s="140"/>
      <c r="G73" s="140"/>
      <c r="H73" s="140"/>
      <c r="I73" s="140"/>
      <c r="J73" s="140"/>
      <c r="K73" s="140"/>
      <c r="L73" s="141"/>
      <c r="M73" s="1057"/>
      <c r="N73" s="2396"/>
      <c r="O73" s="2396"/>
      <c r="P73" s="874"/>
      <c r="Q73" s="852"/>
    </row>
    <row r="74" spans="1:17" s="413" customFormat="1" ht="15.75" thickBot="1">
      <c r="A74" s="869"/>
      <c r="B74" s="858"/>
      <c r="C74" s="987">
        <v>100</v>
      </c>
      <c r="D74" s="860">
        <v>98</v>
      </c>
      <c r="E74" s="860"/>
      <c r="F74" s="860"/>
      <c r="G74" s="860"/>
      <c r="H74" s="860"/>
      <c r="I74" s="860"/>
      <c r="J74" s="860"/>
      <c r="K74" s="860"/>
      <c r="L74" s="860"/>
      <c r="M74" s="862"/>
      <c r="N74" s="2396"/>
      <c r="O74" s="2396"/>
      <c r="P74" s="852"/>
      <c r="Q74" s="852"/>
    </row>
    <row r="75" spans="1:17">
      <c r="A75" s="875" t="s">
        <v>597</v>
      </c>
      <c r="B75" s="876" t="s">
        <v>598</v>
      </c>
      <c r="C75" s="122" t="s">
        <v>3386</v>
      </c>
      <c r="D75" s="122" t="s">
        <v>268</v>
      </c>
      <c r="E75" s="122"/>
      <c r="F75" s="122"/>
      <c r="G75" s="122"/>
      <c r="H75" s="122"/>
      <c r="I75" s="122"/>
      <c r="J75" s="122"/>
      <c r="K75" s="123"/>
      <c r="L75" s="124"/>
      <c r="M75" s="125"/>
      <c r="N75" s="2397"/>
      <c r="O75" s="2397"/>
      <c r="P75" s="340"/>
      <c r="Q75" s="852"/>
    </row>
    <row r="76" spans="1:17" ht="15.75" thickBot="1">
      <c r="A76" s="882"/>
      <c r="B76" s="883"/>
      <c r="C76" s="884">
        <v>100</v>
      </c>
      <c r="D76" s="884">
        <v>100</v>
      </c>
      <c r="E76" s="884"/>
      <c r="F76" s="884"/>
      <c r="G76" s="884"/>
      <c r="H76" s="884"/>
      <c r="I76" s="884"/>
      <c r="J76" s="884"/>
      <c r="K76" s="884"/>
      <c r="L76" s="884"/>
      <c r="M76" s="885"/>
      <c r="N76" s="2398"/>
      <c r="O76" s="2398"/>
      <c r="P76" s="340"/>
      <c r="Q76" s="852"/>
    </row>
    <row r="77" spans="1:17" ht="27.75" thickTop="1">
      <c r="A77" s="882"/>
      <c r="B77" s="886" t="s">
        <v>578</v>
      </c>
      <c r="C77" s="887"/>
      <c r="D77" s="887"/>
      <c r="E77" s="887"/>
      <c r="F77" s="887"/>
      <c r="G77" s="887"/>
      <c r="H77" s="887"/>
      <c r="I77" s="887"/>
      <c r="J77" s="887"/>
      <c r="K77" s="888"/>
      <c r="L77" s="889"/>
      <c r="M77" s="890"/>
      <c r="N77" s="2397"/>
      <c r="O77" s="2397"/>
      <c r="P77" s="340"/>
      <c r="Q77" s="852"/>
    </row>
    <row r="78" spans="1:17" ht="15.75" thickBot="1">
      <c r="A78" s="882"/>
      <c r="B78" s="891"/>
      <c r="C78" s="892"/>
      <c r="D78" s="892"/>
      <c r="E78" s="892"/>
      <c r="F78" s="892"/>
      <c r="G78" s="892"/>
      <c r="H78" s="892"/>
      <c r="I78" s="892"/>
      <c r="J78" s="892"/>
      <c r="K78" s="892"/>
      <c r="L78" s="892"/>
      <c r="M78" s="893"/>
      <c r="N78" s="2398"/>
      <c r="O78" s="2398"/>
      <c r="P78" s="340"/>
      <c r="Q78" s="852"/>
    </row>
    <row r="79" spans="1:17" ht="15.75" thickTop="1">
      <c r="A79" s="882"/>
      <c r="B79" s="894" t="s">
        <v>579</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398"/>
      <c r="O79" s="2398"/>
      <c r="P79" s="340"/>
      <c r="Q79" s="852"/>
    </row>
    <row r="80" spans="1:17" ht="15">
      <c r="A80" s="882"/>
      <c r="B80" s="896"/>
      <c r="C80" s="897">
        <v>0</v>
      </c>
      <c r="D80" s="897">
        <v>1</v>
      </c>
      <c r="E80" s="897">
        <v>2</v>
      </c>
      <c r="F80" s="897">
        <v>3</v>
      </c>
      <c r="G80" s="897">
        <v>4</v>
      </c>
      <c r="H80" s="897">
        <v>5</v>
      </c>
      <c r="I80" s="897"/>
      <c r="J80" s="897"/>
      <c r="K80" s="898"/>
      <c r="L80" s="899"/>
      <c r="M80" s="900"/>
      <c r="N80" s="2397"/>
      <c r="O80" s="2397"/>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398"/>
      <c r="O81" s="2398"/>
      <c r="P81" s="340"/>
      <c r="Q81" s="852"/>
    </row>
    <row r="82" spans="1:17" s="819" customFormat="1" ht="15.75" thickTop="1">
      <c r="A82" s="901"/>
      <c r="B82" s="886" t="str">
        <f>B12</f>
        <v>配建</v>
      </c>
      <c r="C82" s="139" t="s">
        <v>269</v>
      </c>
      <c r="D82" s="139" t="s">
        <v>270</v>
      </c>
      <c r="E82" s="139"/>
      <c r="F82" s="139"/>
      <c r="G82" s="139"/>
      <c r="H82" s="1065"/>
      <c r="I82" s="1065"/>
      <c r="J82" s="1065"/>
      <c r="K82" s="1065"/>
      <c r="L82" s="1066"/>
      <c r="M82" s="1067"/>
      <c r="N82" s="2399"/>
      <c r="O82" s="2399"/>
      <c r="P82" s="906"/>
      <c r="Q82" s="907"/>
    </row>
    <row r="83" spans="1:17" s="819" customFormat="1" ht="15.75" thickBot="1">
      <c r="A83" s="901"/>
      <c r="B83" s="891"/>
      <c r="C83" s="908">
        <v>100</v>
      </c>
      <c r="D83" s="884">
        <v>90</v>
      </c>
      <c r="E83" s="884"/>
      <c r="F83" s="884"/>
      <c r="G83" s="884"/>
      <c r="H83" s="884"/>
      <c r="I83" s="884"/>
      <c r="J83" s="884"/>
      <c r="K83" s="884"/>
      <c r="L83" s="884"/>
      <c r="M83" s="885"/>
      <c r="N83" s="2398"/>
      <c r="O83" s="2398"/>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399"/>
      <c r="O84" s="2399"/>
      <c r="P84" s="818"/>
      <c r="Q84" s="909"/>
    </row>
    <row r="85" spans="1:17" s="819" customFormat="1" ht="15.75" thickBot="1">
      <c r="A85" s="901"/>
      <c r="B85" s="891"/>
      <c r="C85" s="908">
        <v>100</v>
      </c>
      <c r="D85" s="908">
        <v>99</v>
      </c>
      <c r="E85" s="908">
        <v>98</v>
      </c>
      <c r="F85" s="908">
        <v>97</v>
      </c>
      <c r="G85" s="908"/>
      <c r="H85" s="910"/>
      <c r="I85" s="910"/>
      <c r="J85" s="910"/>
      <c r="K85" s="910"/>
      <c r="L85" s="910"/>
      <c r="M85" s="911"/>
      <c r="N85" s="2399"/>
      <c r="O85" s="2399"/>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399"/>
      <c r="O86" s="2399"/>
      <c r="P86" s="915"/>
      <c r="Q86" s="907"/>
    </row>
    <row r="87" spans="1:17" s="819" customFormat="1" ht="15.75" thickBot="1">
      <c r="A87" s="916"/>
      <c r="B87" s="917"/>
      <c r="C87" s="918">
        <v>100</v>
      </c>
      <c r="D87" s="918">
        <v>98</v>
      </c>
      <c r="E87" s="918">
        <v>96</v>
      </c>
      <c r="F87" s="918">
        <v>94</v>
      </c>
      <c r="G87" s="918"/>
      <c r="H87" s="919"/>
      <c r="I87" s="919"/>
      <c r="J87" s="919"/>
      <c r="K87" s="919"/>
      <c r="L87" s="919"/>
      <c r="M87" s="920"/>
      <c r="N87" s="2399"/>
      <c r="O87" s="2399"/>
      <c r="P87" s="906"/>
      <c r="Q87" s="907"/>
    </row>
    <row r="88" spans="1:17">
      <c r="A88" s="875" t="s">
        <v>580</v>
      </c>
      <c r="B88" s="876" t="s">
        <v>603</v>
      </c>
      <c r="C88" s="921" t="s">
        <v>604</v>
      </c>
      <c r="D88" s="921" t="s">
        <v>605</v>
      </c>
      <c r="E88" s="921" t="s">
        <v>606</v>
      </c>
      <c r="F88" s="921" t="s">
        <v>607</v>
      </c>
      <c r="G88" s="921" t="s">
        <v>608</v>
      </c>
      <c r="H88" s="877"/>
      <c r="I88" s="877"/>
      <c r="J88" s="877"/>
      <c r="K88" s="922"/>
      <c r="L88" s="923"/>
      <c r="M88" s="924"/>
      <c r="N88" s="2397"/>
      <c r="O88" s="2397"/>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398"/>
      <c r="O89" s="2398"/>
      <c r="P89" s="340"/>
      <c r="Q89" s="852"/>
    </row>
    <row r="90" spans="1:17" ht="15.75" thickTop="1">
      <c r="A90" s="882"/>
      <c r="B90" s="886" t="s">
        <v>726</v>
      </c>
      <c r="C90" s="926" t="s">
        <v>604</v>
      </c>
      <c r="D90" s="926" t="s">
        <v>605</v>
      </c>
      <c r="E90" s="926" t="s">
        <v>606</v>
      </c>
      <c r="F90" s="926" t="s">
        <v>607</v>
      </c>
      <c r="G90" s="926" t="s">
        <v>608</v>
      </c>
      <c r="H90" s="887"/>
      <c r="I90" s="887"/>
      <c r="J90" s="887"/>
      <c r="K90" s="888"/>
      <c r="L90" s="889"/>
      <c r="M90" s="890"/>
      <c r="N90" s="2397"/>
      <c r="O90" s="2397"/>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398"/>
      <c r="O91" s="2398"/>
      <c r="P91" s="340"/>
      <c r="Q91" s="852"/>
    </row>
    <row r="92" spans="1:17" ht="15.75" thickTop="1">
      <c r="A92" s="882"/>
      <c r="B92" s="886" t="s">
        <v>632</v>
      </c>
      <c r="C92" s="926" t="s">
        <v>604</v>
      </c>
      <c r="D92" s="926" t="s">
        <v>605</v>
      </c>
      <c r="E92" s="926" t="s">
        <v>606</v>
      </c>
      <c r="F92" s="926" t="s">
        <v>607</v>
      </c>
      <c r="G92" s="926" t="s">
        <v>608</v>
      </c>
      <c r="H92" s="887"/>
      <c r="I92" s="887"/>
      <c r="J92" s="887"/>
      <c r="K92" s="888"/>
      <c r="L92" s="889"/>
      <c r="M92" s="890"/>
      <c r="N92" s="2397"/>
      <c r="O92" s="2397"/>
      <c r="P92" s="340"/>
      <c r="Q92" s="852"/>
    </row>
    <row r="93" spans="1:17" ht="15.75" thickBot="1">
      <c r="A93" s="882"/>
      <c r="B93" s="891"/>
      <c r="C93" s="892">
        <v>100</v>
      </c>
      <c r="D93" s="892">
        <f>C93-$K19</f>
        <v>97</v>
      </c>
      <c r="E93" s="892">
        <f>D93-$K19</f>
        <v>94</v>
      </c>
      <c r="F93" s="892">
        <f>E93-$K19</f>
        <v>91</v>
      </c>
      <c r="G93" s="892">
        <f>F93-$K19</f>
        <v>88</v>
      </c>
      <c r="H93" s="892"/>
      <c r="I93" s="892"/>
      <c r="J93" s="892"/>
      <c r="K93" s="892"/>
      <c r="L93" s="892"/>
      <c r="M93" s="893"/>
      <c r="N93" s="2398"/>
      <c r="O93" s="2398"/>
      <c r="P93" s="340"/>
      <c r="Q93" s="852"/>
    </row>
    <row r="94" spans="1:17" ht="15.75" thickTop="1">
      <c r="A94" s="882"/>
      <c r="B94" s="886" t="s">
        <v>609</v>
      </c>
      <c r="C94" s="926" t="s">
        <v>604</v>
      </c>
      <c r="D94" s="926" t="s">
        <v>605</v>
      </c>
      <c r="E94" s="926" t="s">
        <v>606</v>
      </c>
      <c r="F94" s="926" t="s">
        <v>607</v>
      </c>
      <c r="G94" s="926" t="s">
        <v>608</v>
      </c>
      <c r="H94" s="887"/>
      <c r="I94" s="887"/>
      <c r="J94" s="887"/>
      <c r="K94" s="888"/>
      <c r="L94" s="889"/>
      <c r="M94" s="890"/>
      <c r="N94" s="2397"/>
      <c r="O94" s="2397"/>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98"/>
      <c r="O95" s="2398"/>
      <c r="P95" s="340"/>
      <c r="Q95" s="852"/>
    </row>
    <row r="96" spans="1:17" s="413" customFormat="1" ht="27.75" thickTop="1">
      <c r="A96" s="927"/>
      <c r="B96" s="886" t="s">
        <v>727</v>
      </c>
      <c r="C96" s="926" t="s">
        <v>604</v>
      </c>
      <c r="D96" s="926" t="s">
        <v>605</v>
      </c>
      <c r="E96" s="926" t="s">
        <v>606</v>
      </c>
      <c r="F96" s="926" t="s">
        <v>607</v>
      </c>
      <c r="G96" s="926" t="s">
        <v>608</v>
      </c>
      <c r="H96" s="926"/>
      <c r="I96" s="926"/>
      <c r="J96" s="926"/>
      <c r="K96" s="926"/>
      <c r="L96" s="1113"/>
      <c r="M96" s="970"/>
      <c r="N96" s="2396"/>
      <c r="O96" s="2396"/>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398"/>
      <c r="O97" s="2398"/>
      <c r="P97" s="340"/>
      <c r="Q97" s="852"/>
    </row>
    <row r="98" spans="1:17" s="413" customFormat="1" ht="27.75" thickTop="1">
      <c r="A98" s="927"/>
      <c r="B98" s="886" t="s">
        <v>728</v>
      </c>
      <c r="C98" s="921" t="s">
        <v>604</v>
      </c>
      <c r="D98" s="921" t="s">
        <v>605</v>
      </c>
      <c r="E98" s="921" t="s">
        <v>606</v>
      </c>
      <c r="F98" s="921" t="s">
        <v>607</v>
      </c>
      <c r="G98" s="921" t="s">
        <v>608</v>
      </c>
      <c r="H98" s="926"/>
      <c r="I98" s="926"/>
      <c r="J98" s="926"/>
      <c r="K98" s="926"/>
      <c r="L98" s="926"/>
      <c r="M98" s="970"/>
      <c r="N98" s="2396"/>
      <c r="O98" s="2396"/>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398"/>
      <c r="O99" s="2398"/>
      <c r="P99" s="340"/>
      <c r="Q99" s="852"/>
    </row>
    <row r="100" spans="1:17" s="819" customFormat="1" ht="15.75" thickTop="1">
      <c r="A100" s="901"/>
      <c r="B100" s="1060" t="s">
        <v>3074</v>
      </c>
      <c r="C100" s="921" t="s">
        <v>604</v>
      </c>
      <c r="D100" s="921" t="s">
        <v>605</v>
      </c>
      <c r="E100" s="921" t="s">
        <v>606</v>
      </c>
      <c r="F100" s="921" t="s">
        <v>607</v>
      </c>
      <c r="G100" s="921" t="s">
        <v>608</v>
      </c>
      <c r="H100" s="948"/>
      <c r="I100" s="948"/>
      <c r="J100" s="948"/>
      <c r="K100" s="948"/>
      <c r="L100" s="949"/>
      <c r="M100" s="950"/>
      <c r="N100" s="2399"/>
      <c r="O100" s="2399"/>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99"/>
      <c r="O101" s="2399"/>
      <c r="P101" s="906"/>
      <c r="Q101" s="907"/>
    </row>
    <row r="102" spans="1:17" s="819" customFormat="1" ht="15.75" thickTop="1">
      <c r="A102" s="901"/>
      <c r="B102" s="1062" t="s">
        <v>3061</v>
      </c>
      <c r="C102" s="213" t="s">
        <v>3062</v>
      </c>
      <c r="D102" s="213" t="s">
        <v>3063</v>
      </c>
      <c r="E102" s="213" t="s">
        <v>3064</v>
      </c>
      <c r="F102" s="213" t="s">
        <v>3065</v>
      </c>
      <c r="G102" s="213" t="s">
        <v>3066</v>
      </c>
      <c r="H102" s="948"/>
      <c r="I102" s="948"/>
      <c r="J102" s="948"/>
      <c r="K102" s="948"/>
      <c r="L102" s="948"/>
      <c r="M102" s="2806"/>
      <c r="N102" s="2399"/>
      <c r="O102" s="2399"/>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6"/>
      <c r="N103" s="2399"/>
      <c r="O103" s="2399"/>
      <c r="P103" s="906"/>
      <c r="Q103" s="907"/>
    </row>
    <row r="104" spans="1:17" ht="15.75" thickTop="1">
      <c r="A104" s="882"/>
      <c r="B104" s="1060" t="str">
        <f>B31</f>
        <v>临街状况</v>
      </c>
      <c r="C104" s="887" t="s">
        <v>729</v>
      </c>
      <c r="D104" s="887" t="s">
        <v>730</v>
      </c>
      <c r="E104" s="887" t="s">
        <v>731</v>
      </c>
      <c r="F104" s="887" t="s">
        <v>732</v>
      </c>
      <c r="G104" s="887"/>
      <c r="H104" s="887"/>
      <c r="I104" s="887"/>
      <c r="J104" s="887"/>
      <c r="K104" s="888"/>
      <c r="L104" s="889"/>
      <c r="M104" s="890"/>
      <c r="N104" s="2397"/>
      <c r="O104" s="2397"/>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98"/>
      <c r="O105" s="2398"/>
      <c r="P105" s="340"/>
      <c r="Q105" s="852"/>
    </row>
    <row r="106" spans="1:17" ht="27.75" thickTop="1">
      <c r="A106" s="882"/>
      <c r="B106" s="886" t="s">
        <v>631</v>
      </c>
      <c r="C106" s="139" t="s">
        <v>223</v>
      </c>
      <c r="D106" s="139" t="s">
        <v>225</v>
      </c>
      <c r="E106" s="139" t="s">
        <v>227</v>
      </c>
      <c r="F106" s="139" t="s">
        <v>228</v>
      </c>
      <c r="G106" s="139" t="s">
        <v>229</v>
      </c>
      <c r="H106" s="131"/>
      <c r="I106" s="131"/>
      <c r="J106" s="131"/>
      <c r="K106" s="132"/>
      <c r="L106" s="133"/>
      <c r="M106" s="134"/>
      <c r="N106" s="2397"/>
      <c r="O106" s="2397"/>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98"/>
      <c r="O107" s="2398"/>
      <c r="P107" s="340"/>
      <c r="Q107" s="852"/>
    </row>
    <row r="108" spans="1:17" ht="15.75" thickTop="1">
      <c r="A108" s="882"/>
      <c r="B108" s="886" t="s">
        <v>706</v>
      </c>
      <c r="C108" s="131" t="s">
        <v>1469</v>
      </c>
      <c r="D108" s="131" t="s">
        <v>1470</v>
      </c>
      <c r="E108" s="131" t="s">
        <v>1471</v>
      </c>
      <c r="F108" s="131"/>
      <c r="G108" s="131"/>
      <c r="H108" s="131"/>
      <c r="I108" s="131"/>
      <c r="J108" s="131"/>
      <c r="K108" s="132"/>
      <c r="L108" s="133"/>
      <c r="M108" s="134"/>
      <c r="N108" s="2397"/>
      <c r="O108" s="2397"/>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98"/>
      <c r="O109" s="2398"/>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397"/>
      <c r="O110" s="2397"/>
      <c r="P110" s="340"/>
      <c r="Q110" s="852"/>
    </row>
    <row r="111" spans="1:17" ht="15.75" thickBot="1">
      <c r="A111" s="882"/>
      <c r="B111" s="917"/>
      <c r="C111" s="908">
        <v>100</v>
      </c>
      <c r="D111" s="908">
        <v>99</v>
      </c>
      <c r="E111" s="908">
        <v>98</v>
      </c>
      <c r="F111" s="908">
        <v>97</v>
      </c>
      <c r="G111" s="939"/>
      <c r="H111" s="939"/>
      <c r="I111" s="939"/>
      <c r="J111" s="939"/>
      <c r="K111" s="939"/>
      <c r="L111" s="939"/>
      <c r="M111" s="940"/>
      <c r="N111" s="2398"/>
      <c r="O111" s="2398"/>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397"/>
      <c r="O112" s="2397"/>
      <c r="P112" s="340"/>
      <c r="Q112" s="852"/>
    </row>
    <row r="113" spans="1:17" ht="15.75" thickBot="1">
      <c r="A113" s="882"/>
      <c r="B113" s="891"/>
      <c r="C113" s="918">
        <v>100</v>
      </c>
      <c r="D113" s="918">
        <v>98</v>
      </c>
      <c r="E113" s="918">
        <v>96</v>
      </c>
      <c r="F113" s="918">
        <v>94</v>
      </c>
      <c r="G113" s="884"/>
      <c r="H113" s="884"/>
      <c r="I113" s="884"/>
      <c r="J113" s="884"/>
      <c r="K113" s="884"/>
      <c r="L113" s="884"/>
      <c r="M113" s="885"/>
      <c r="N113" s="2398"/>
      <c r="O113" s="2398"/>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399"/>
      <c r="O114" s="2399"/>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398"/>
      <c r="O115" s="2398"/>
      <c r="P115" s="906"/>
      <c r="Q115" s="907"/>
    </row>
    <row r="116" spans="1:17" ht="28.5">
      <c r="A116" s="875" t="s">
        <v>585</v>
      </c>
      <c r="B116" s="876" t="s">
        <v>736</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397"/>
      <c r="O116" s="2397"/>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397"/>
      <c r="O117" s="2397"/>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98"/>
      <c r="O118" s="2398"/>
      <c r="P118" s="340"/>
      <c r="Q118" s="852"/>
    </row>
    <row r="119" spans="1:17" ht="15" thickTop="1">
      <c r="A119" s="947"/>
      <c r="B119" s="886" t="s">
        <v>737</v>
      </c>
      <c r="C119" s="131" t="s">
        <v>1472</v>
      </c>
      <c r="D119" s="131" t="s">
        <v>1473</v>
      </c>
      <c r="E119" s="131" t="s">
        <v>1474</v>
      </c>
      <c r="F119" s="131" t="s">
        <v>1475</v>
      </c>
      <c r="G119" s="131"/>
      <c r="H119" s="131"/>
      <c r="I119" s="131"/>
      <c r="J119" s="131"/>
      <c r="K119" s="132"/>
      <c r="L119" s="133"/>
      <c r="M119" s="134"/>
      <c r="N119" s="2397"/>
      <c r="O119" s="2397"/>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98"/>
      <c r="O120" s="2398"/>
      <c r="P120" s="340"/>
      <c r="Q120" s="852"/>
    </row>
    <row r="121" spans="1:17" ht="15" thickTop="1">
      <c r="A121" s="947"/>
      <c r="B121" s="886" t="s">
        <v>738</v>
      </c>
      <c r="C121" s="139" t="s">
        <v>1476</v>
      </c>
      <c r="D121" s="139" t="s">
        <v>1477</v>
      </c>
      <c r="E121" s="139" t="s">
        <v>1478</v>
      </c>
      <c r="F121" s="131"/>
      <c r="G121" s="131"/>
      <c r="H121" s="131"/>
      <c r="I121" s="131"/>
      <c r="J121" s="131"/>
      <c r="K121" s="132"/>
      <c r="L121" s="133"/>
      <c r="M121" s="134"/>
      <c r="N121" s="2397"/>
      <c r="O121" s="2397"/>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98"/>
      <c r="O122" s="2398"/>
      <c r="P122" s="340"/>
      <c r="Q122" s="852"/>
    </row>
    <row r="123" spans="1:17" s="819" customFormat="1" ht="15" thickTop="1">
      <c r="A123" s="941"/>
      <c r="B123" s="1060" t="s">
        <v>2896</v>
      </c>
      <c r="C123" s="139" t="s">
        <v>2897</v>
      </c>
      <c r="D123" s="139" t="s">
        <v>2899</v>
      </c>
      <c r="E123" s="139" t="s">
        <v>2900</v>
      </c>
      <c r="F123" s="139" t="s">
        <v>2901</v>
      </c>
      <c r="G123" s="139" t="s">
        <v>2902</v>
      </c>
      <c r="H123" s="131"/>
      <c r="I123" s="131"/>
      <c r="J123" s="131"/>
      <c r="K123" s="132"/>
      <c r="L123" s="133"/>
      <c r="M123" s="134"/>
      <c r="N123" s="2399"/>
      <c r="O123" s="2399"/>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99"/>
      <c r="O124" s="2399"/>
      <c r="P124" s="906"/>
      <c r="Q124" s="907"/>
    </row>
    <row r="125" spans="1:17" ht="15" thickTop="1">
      <c r="A125" s="947"/>
      <c r="B125" s="886" t="s">
        <v>739</v>
      </c>
      <c r="C125" s="139" t="s">
        <v>1479</v>
      </c>
      <c r="D125" s="139" t="s">
        <v>1480</v>
      </c>
      <c r="E125" s="131" t="s">
        <v>1481</v>
      </c>
      <c r="F125" s="131" t="s">
        <v>1482</v>
      </c>
      <c r="G125" s="131" t="s">
        <v>1483</v>
      </c>
      <c r="H125" s="131"/>
      <c r="I125" s="131"/>
      <c r="J125" s="131"/>
      <c r="K125" s="132"/>
      <c r="L125" s="133"/>
      <c r="M125" s="134"/>
      <c r="N125" s="2397"/>
      <c r="O125" s="2397"/>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98"/>
      <c r="O126" s="2398"/>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397"/>
      <c r="O127" s="2397"/>
      <c r="P127" s="340"/>
      <c r="Q127" s="852"/>
    </row>
    <row r="128" spans="1:17" ht="15.75" thickBot="1">
      <c r="A128" s="882"/>
      <c r="B128" s="891"/>
      <c r="C128" s="908">
        <v>100</v>
      </c>
      <c r="D128" s="908">
        <v>99</v>
      </c>
      <c r="E128" s="908">
        <v>98</v>
      </c>
      <c r="F128" s="908">
        <v>97</v>
      </c>
      <c r="G128" s="884"/>
      <c r="H128" s="884"/>
      <c r="I128" s="884"/>
      <c r="J128" s="884"/>
      <c r="K128" s="884"/>
      <c r="L128" s="884"/>
      <c r="M128" s="885"/>
      <c r="N128" s="2398"/>
      <c r="O128" s="2398"/>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397"/>
      <c r="O129" s="2397"/>
      <c r="P129" s="340"/>
      <c r="Q129" s="852"/>
    </row>
    <row r="130" spans="1:17" ht="15.75" thickBot="1">
      <c r="A130" s="882"/>
      <c r="B130" s="891"/>
      <c r="C130" s="918">
        <v>100</v>
      </c>
      <c r="D130" s="918">
        <v>98</v>
      </c>
      <c r="E130" s="918">
        <v>96</v>
      </c>
      <c r="F130" s="918">
        <v>94</v>
      </c>
      <c r="G130" s="884"/>
      <c r="H130" s="884"/>
      <c r="I130" s="884"/>
      <c r="J130" s="884"/>
      <c r="K130" s="884"/>
      <c r="L130" s="884"/>
      <c r="M130" s="885"/>
      <c r="N130" s="2398"/>
      <c r="O130" s="2398"/>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399"/>
      <c r="O131" s="2399"/>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399"/>
      <c r="O132" s="2399"/>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B35" sqref="B35"/>
    </sheetView>
  </sheetViews>
  <sheetFormatPr defaultColWidth="12" defaultRowHeight="12"/>
  <cols>
    <col min="1" max="1" width="9.75" style="1649" customWidth="1"/>
    <col min="2" max="2" width="19.25" style="1770" customWidth="1"/>
    <col min="3" max="4" width="12" style="1650"/>
    <col min="5" max="5" width="20" style="1650" customWidth="1"/>
    <col min="6" max="8" width="12" style="1650"/>
    <col min="9" max="9" width="12.25" style="1650" bestFit="1" customWidth="1"/>
    <col min="10" max="10" width="12" style="1650"/>
    <col min="11" max="11" width="8.125" style="1647" customWidth="1"/>
    <col min="12" max="12" width="12" style="1650"/>
    <col min="13" max="13" width="8.5" style="1650" customWidth="1"/>
    <col min="14" max="14" width="9.75" style="1650" customWidth="1"/>
    <col min="15" max="25" width="12" style="1650"/>
    <col min="26" max="26" width="9.375" style="1649" customWidth="1"/>
    <col min="27" max="32" width="9.375" style="1648" customWidth="1"/>
    <col min="33" max="36" width="9.375" style="1649" customWidth="1"/>
    <col min="37" max="38" width="9.375" style="1650" customWidth="1"/>
    <col min="39" max="16384" width="12" style="1650"/>
  </cols>
  <sheetData>
    <row r="1" spans="1:36" ht="28.5">
      <c r="A1" s="1500" t="s">
        <v>2150</v>
      </c>
      <c r="B1" s="1501"/>
      <c r="C1" s="86" t="s">
        <v>2908</v>
      </c>
      <c r="D1" s="1762">
        <f>SUM(D29:D30,D33:D39)</f>
        <v>0</v>
      </c>
      <c r="E1" s="1646"/>
      <c r="F1" s="1646"/>
      <c r="G1" s="1646"/>
      <c r="H1" s="1646"/>
      <c r="I1" s="1646"/>
      <c r="J1" s="1646"/>
      <c r="K1" s="2409"/>
      <c r="L1" s="1906" t="s">
        <v>1582</v>
      </c>
      <c r="M1" s="2160">
        <f>SUMPRODUCT((区片价!B5:B9=I2)*(区片价!C3:F3=E2)*(区片价!C5:F9))</f>
        <v>0</v>
      </c>
      <c r="N1" s="2163">
        <f>SUMPRODUCT((因素修正幅度!B5:B9=I2)*(因素修正幅度!C3:F3=E2)*(因素修正幅度!C5:F9))</f>
        <v>0</v>
      </c>
      <c r="O1" s="2413"/>
      <c r="P1" s="2413"/>
      <c r="Q1" s="2409"/>
      <c r="R1" s="3113" t="s">
        <v>3301</v>
      </c>
      <c r="S1" s="3113" t="s">
        <v>3302</v>
      </c>
      <c r="T1" s="3113" t="s">
        <v>3303</v>
      </c>
      <c r="U1" s="3113" t="s">
        <v>3304</v>
      </c>
      <c r="V1" s="3113" t="s">
        <v>3305</v>
      </c>
      <c r="W1" s="3114"/>
      <c r="X1" s="3114"/>
      <c r="Y1" s="3114"/>
      <c r="Z1" s="3114"/>
      <c r="AA1" s="3114"/>
      <c r="AB1" s="3114"/>
      <c r="AC1" s="3115"/>
      <c r="AD1" s="3116"/>
      <c r="AE1" s="3116"/>
      <c r="AF1" s="3116"/>
      <c r="AG1" s="3116"/>
      <c r="AH1" s="3116"/>
      <c r="AI1" s="3116"/>
      <c r="AJ1" s="3117"/>
    </row>
    <row r="2" spans="1:36" ht="15.75">
      <c r="A2" s="86" t="s">
        <v>2151</v>
      </c>
      <c r="B2" s="585">
        <f>C26</f>
        <v>0</v>
      </c>
      <c r="C2" s="1499" t="s">
        <v>1492</v>
      </c>
      <c r="D2" s="1651" t="s">
        <v>2152</v>
      </c>
      <c r="E2" s="1806" t="s">
        <v>43</v>
      </c>
      <c r="F2" s="1651" t="s">
        <v>2153</v>
      </c>
      <c r="G2" s="1628" t="str">
        <f>IF(E2="商业",项目基本情况!B37,IF(E2="办公",项目基本情况!C37,IF(E2="住宅",项目基本情况!D37,项目基本情况!E37)))</f>
        <v>四级</v>
      </c>
      <c r="H2" s="1651" t="s">
        <v>2154</v>
      </c>
      <c r="I2" s="1628" t="str">
        <f>IF(E2="商业",项目基本情况!B38,IF(E2="办公",项目基本情况!C38,IF(E2="住宅",项目基本情况!D38,项目基本情况!E38)))</f>
        <v>Ⅳ-06</v>
      </c>
      <c r="J2" s="1652"/>
      <c r="K2" s="2409"/>
      <c r="L2" s="1907" t="s">
        <v>1639</v>
      </c>
      <c r="M2" s="2161">
        <f>SUMPRODUCT((区片价!B10:B28=I2)*(区片价!C3:F3=E2)*(区片价!C10:F28))</f>
        <v>0</v>
      </c>
      <c r="N2" s="2163">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1.8629</v>
      </c>
      <c r="T2" s="3118">
        <f>ROUND($C$5*$C$18*$C$19*$C$20*S2*$C$24,0)</f>
        <v>32472</v>
      </c>
      <c r="U2" s="3119">
        <f>面积!H9</f>
        <v>3617.84</v>
      </c>
      <c r="V2" s="3118">
        <f>ROUND(T2*U2/10000,0)</f>
        <v>11748</v>
      </c>
      <c r="W2" s="3114"/>
      <c r="X2" s="3114"/>
      <c r="Y2" s="3114"/>
      <c r="Z2" s="3114"/>
      <c r="AA2" s="3114"/>
      <c r="AB2" s="3114"/>
      <c r="AC2" s="3115"/>
      <c r="AD2" s="3116"/>
      <c r="AE2" s="3116"/>
      <c r="AF2" s="3116"/>
      <c r="AG2" s="3116"/>
      <c r="AH2" s="3116"/>
      <c r="AI2" s="3116"/>
      <c r="AJ2" s="3117"/>
    </row>
    <row r="3" spans="1:36" ht="15.75">
      <c r="A3" s="87" t="s">
        <v>2155</v>
      </c>
      <c r="B3" s="585" t="e">
        <f>ROUND(B2*10000/D1,0)</f>
        <v>#DIV/0!</v>
      </c>
      <c r="C3" s="1499" t="s">
        <v>2156</v>
      </c>
      <c r="D3" s="1651" t="s">
        <v>1495</v>
      </c>
      <c r="E3" s="3339" t="s">
        <v>3468</v>
      </c>
      <c r="F3" s="1807" t="s">
        <v>3448</v>
      </c>
      <c r="G3" s="1653">
        <f>IF(F3="宗地容积率",'数据-汇总表'!I4,IF(F3="估价对象容积率",'数据-汇总表'!I6,'数据-汇总表'!I7))</f>
        <v>3.8</v>
      </c>
      <c r="H3" s="1654" t="s">
        <v>1496</v>
      </c>
      <c r="I3" s="1808">
        <v>4</v>
      </c>
      <c r="J3" s="1652" t="s">
        <v>1497</v>
      </c>
      <c r="K3" s="2409"/>
      <c r="L3" s="1907" t="s">
        <v>1812</v>
      </c>
      <c r="M3" s="2161">
        <f>SUMPRODUCT((区片价!B29:B48=I2)*(区片价!C3:F3=E2)*(区片价!C29:F48))</f>
        <v>0</v>
      </c>
      <c r="N3" s="2163">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1.3371999999999999</v>
      </c>
      <c r="T3" s="3118">
        <f t="shared" ref="T3:T16" si="0">ROUND($C$5*$C$18*$C$19*$C$20*S3*$C$24,0)</f>
        <v>23309</v>
      </c>
      <c r="U3" s="3119">
        <f>面积!H10</f>
        <v>4738.66</v>
      </c>
      <c r="V3" s="3118">
        <f t="shared" ref="V3:V16" si="1">ROUND(T3*U3/10000,0)</f>
        <v>11045</v>
      </c>
      <c r="W3" s="3114"/>
      <c r="X3" s="3114"/>
      <c r="Y3" s="3114"/>
      <c r="Z3" s="3114"/>
      <c r="AA3" s="3114"/>
      <c r="AB3" s="3114"/>
      <c r="AC3" s="3115"/>
      <c r="AD3" s="3116"/>
      <c r="AE3" s="3116"/>
      <c r="AF3" s="3116"/>
      <c r="AG3" s="3116"/>
      <c r="AH3" s="3116"/>
      <c r="AI3" s="3116"/>
      <c r="AJ3" s="3117"/>
    </row>
    <row r="4" spans="1:36" ht="15">
      <c r="A4" s="3587"/>
      <c r="B4" s="3588"/>
      <c r="C4" s="3588"/>
      <c r="D4" s="3589"/>
      <c r="E4" s="3589"/>
      <c r="F4" s="3589"/>
      <c r="G4" s="3589"/>
      <c r="H4" s="3589"/>
      <c r="I4" s="3589"/>
      <c r="J4" s="3590"/>
      <c r="K4" s="2409"/>
      <c r="L4" s="1907" t="s">
        <v>1493</v>
      </c>
      <c r="M4" s="2161">
        <f>SUMPRODUCT((区片价!B49:B75=I2)*(区片价!C3:F3=E2)*(区片价!C49:F75))</f>
        <v>17410</v>
      </c>
      <c r="N4" s="2163">
        <f>SUMPRODUCT((因素修正幅度!B49:B75=I2)*(因素修正幅度!C3:F3=E2)*(因素修正幅度!C49:F75))</f>
        <v>7.5999999999999998E-2</v>
      </c>
      <c r="O4" s="2409"/>
      <c r="P4" s="2409"/>
      <c r="Q4" s="2409"/>
      <c r="R4" s="3118">
        <v>3</v>
      </c>
      <c r="S4" s="3118">
        <f>ROUND(IF(G3&gt;1,IF(R4&lt;7,SUMPRODUCT((B93:B98=R4)*(C92:N92=G2)*(C93:N98)),SUMIF(C92:N92,G2,C100:N100)),IF(R4&lt;7,SUMPRODUCT((B102:B107=R4)*(C92:N92=G2)*(C102:N107)),SUMIF(C92:N92,G2,C109:N109))),4)</f>
        <v>1.0788</v>
      </c>
      <c r="T4" s="3118">
        <f t="shared" si="0"/>
        <v>18805</v>
      </c>
      <c r="U4" s="3119">
        <f>面积!H11</f>
        <v>1973.4699999999998</v>
      </c>
      <c r="V4" s="3118">
        <f t="shared" si="1"/>
        <v>3711</v>
      </c>
      <c r="W4" s="3114"/>
      <c r="X4" s="3114"/>
      <c r="Y4" s="3114"/>
      <c r="Z4" s="3114"/>
      <c r="AA4" s="3114"/>
      <c r="AB4" s="3114"/>
      <c r="AC4" s="3115"/>
      <c r="AD4" s="3116"/>
      <c r="AE4" s="3116"/>
      <c r="AF4" s="3116"/>
      <c r="AG4" s="3116"/>
      <c r="AH4" s="3116"/>
      <c r="AI4" s="3116"/>
      <c r="AJ4" s="3117"/>
    </row>
    <row r="5" spans="1:36" s="1662" customFormat="1" ht="15.75" thickBot="1">
      <c r="A5" s="1900" t="s">
        <v>2297</v>
      </c>
      <c r="B5" s="1655" t="s">
        <v>2157</v>
      </c>
      <c r="C5" s="1656">
        <f>ROUND(IF(E2="商业",IF(F16="增加",C6*C7+C16,C6*C7-C16),IF(E2="住宅",IF(F16="增加",C6*C12+C16,C6*C12-C16),IF(F16="增加",C6+C16,C6-C16))),0)</f>
        <v>17404</v>
      </c>
      <c r="D5" s="1657"/>
      <c r="E5" s="1658"/>
      <c r="F5" s="1658"/>
      <c r="G5" s="1659"/>
      <c r="H5" s="1659"/>
      <c r="I5" s="1659"/>
      <c r="J5" s="1660"/>
      <c r="K5" s="2414"/>
      <c r="L5" s="1907" t="s">
        <v>1893</v>
      </c>
      <c r="M5" s="2161">
        <f>SUMPRODUCT((区片价!B76:B109=I2)*(区片价!C3:F3=E2)*(区片价!C76:F109))</f>
        <v>0</v>
      </c>
      <c r="N5" s="2163">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0.86560000000000004</v>
      </c>
      <c r="T5" s="3118">
        <f t="shared" si="0"/>
        <v>15088</v>
      </c>
      <c r="U5" s="3119">
        <f>面积!H12</f>
        <v>1046.3399999999999</v>
      </c>
      <c r="V5" s="3118">
        <f t="shared" si="1"/>
        <v>1579</v>
      </c>
      <c r="W5" s="3114"/>
      <c r="X5" s="3114"/>
      <c r="Y5" s="3114"/>
      <c r="Z5" s="3114"/>
      <c r="AA5" s="3114"/>
      <c r="AB5" s="3114"/>
      <c r="AC5" s="3120"/>
      <c r="AD5" s="3121"/>
      <c r="AE5" s="3121"/>
      <c r="AF5" s="3121"/>
      <c r="AG5" s="3121"/>
      <c r="AH5" s="3121"/>
      <c r="AI5" s="3121"/>
      <c r="AJ5" s="3122"/>
    </row>
    <row r="6" spans="1:36" ht="15.75" thickBot="1">
      <c r="A6" s="1904" t="s">
        <v>2304</v>
      </c>
      <c r="B6" s="1663" t="s">
        <v>2157</v>
      </c>
      <c r="C6" s="1664">
        <f>SUMIF(L1:L12,G2,M1:M12)</f>
        <v>17410</v>
      </c>
      <c r="D6" s="1665" t="s">
        <v>2158</v>
      </c>
      <c r="E6" s="1666"/>
      <c r="F6" s="1666"/>
      <c r="G6" s="1667"/>
      <c r="H6" s="1667"/>
      <c r="I6" s="1667"/>
      <c r="J6" s="1668"/>
      <c r="K6" s="2415"/>
      <c r="L6" s="1907" t="s">
        <v>370</v>
      </c>
      <c r="M6" s="2161">
        <f>SUMPRODUCT((区片价!B110:B157=I2)*(区片价!C3:F3=E2)*(区片价!C110:F157))</f>
        <v>0</v>
      </c>
      <c r="N6" s="2163">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0.73709999999999998</v>
      </c>
      <c r="T6" s="3118">
        <f t="shared" si="0"/>
        <v>12848</v>
      </c>
      <c r="U6" s="3119"/>
      <c r="V6" s="3118">
        <f t="shared" si="1"/>
        <v>0</v>
      </c>
      <c r="W6" s="3114"/>
      <c r="X6" s="3114"/>
      <c r="Y6" s="3114"/>
      <c r="Z6" s="3114"/>
      <c r="AA6" s="3114"/>
      <c r="AB6" s="3114"/>
      <c r="AC6" s="3120"/>
      <c r="AD6" s="3121"/>
      <c r="AE6" s="3121"/>
      <c r="AF6" s="3121"/>
      <c r="AG6" s="3121"/>
      <c r="AH6" s="3121"/>
      <c r="AI6" s="3121"/>
      <c r="AJ6" s="3122"/>
    </row>
    <row r="7" spans="1:36" ht="24">
      <c r="A7" s="3591" t="str">
        <f>IF(E2="商业",IF(C8="不临58条商业街","",2),"")</f>
        <v/>
      </c>
      <c r="B7" s="1669" t="s">
        <v>2159</v>
      </c>
      <c r="C7" s="1670">
        <f>IF(C8="不临58条商业街",1,ROUND(1+(1.6*E8+1.2*E9+0.8*E10+0.4*E11)*C9,4))</f>
        <v>1</v>
      </c>
      <c r="D7" s="1671" t="s">
        <v>2160</v>
      </c>
      <c r="E7" s="1809">
        <v>50</v>
      </c>
      <c r="F7" s="1672"/>
      <c r="G7" s="1673"/>
      <c r="H7" s="1673"/>
      <c r="I7" s="1673"/>
      <c r="J7" s="1674"/>
      <c r="K7" s="2415"/>
      <c r="L7" s="1907" t="s">
        <v>1896</v>
      </c>
      <c r="M7" s="2161">
        <f>SUMPRODUCT((区片价!B158:B205=I2)*(区片价!C3:F3=E2)*(区片价!C158:F205))</f>
        <v>0</v>
      </c>
      <c r="N7" s="2163">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0.6482</v>
      </c>
      <c r="T7" s="3118">
        <f t="shared" si="0"/>
        <v>11299</v>
      </c>
      <c r="U7" s="3119"/>
      <c r="V7" s="3118">
        <f t="shared" si="1"/>
        <v>0</v>
      </c>
      <c r="W7" s="3123" t="s">
        <v>3306</v>
      </c>
      <c r="X7" s="3124" t="str">
        <f>G2</f>
        <v>四级</v>
      </c>
      <c r="Y7" s="3124" t="s">
        <v>3307</v>
      </c>
      <c r="Z7" s="3125">
        <f>G3</f>
        <v>3.8</v>
      </c>
      <c r="AA7" s="3126"/>
      <c r="AB7" s="3126"/>
      <c r="AC7" s="3127"/>
      <c r="AD7" s="3128"/>
      <c r="AE7" s="3128"/>
      <c r="AF7" s="3128"/>
      <c r="AG7" s="3128"/>
      <c r="AH7" s="3128"/>
      <c r="AI7" s="3128"/>
      <c r="AJ7" s="3129"/>
    </row>
    <row r="8" spans="1:36" ht="24">
      <c r="A8" s="3592"/>
      <c r="B8" s="1654" t="s">
        <v>2161</v>
      </c>
      <c r="C8" s="1810" t="s">
        <v>2893</v>
      </c>
      <c r="D8" s="1675" t="s">
        <v>1498</v>
      </c>
      <c r="E8" s="1676">
        <f>ROUND(C11/E7,4)</f>
        <v>0</v>
      </c>
      <c r="F8" s="1677" t="s">
        <v>2162</v>
      </c>
      <c r="G8" s="1678"/>
      <c r="H8" s="1678"/>
      <c r="I8" s="1678"/>
      <c r="J8" s="1679"/>
      <c r="K8" s="2409"/>
      <c r="L8" s="1907" t="s">
        <v>1898</v>
      </c>
      <c r="M8" s="2161">
        <f>SUMPRODUCT((区片价!B206:B244=I2)*(区片价!C3:F3=E2)*(区片价!C206:F244))</f>
        <v>0</v>
      </c>
      <c r="N8" s="2163">
        <f>SUMPRODUCT((因素修正幅度!B206:B244=I2)*(因素修正幅度!C3:F3=E2)*(因素修正幅度!C206:F244))</f>
        <v>0</v>
      </c>
      <c r="O8" s="2409"/>
      <c r="P8" s="2409"/>
      <c r="Q8" s="2409"/>
      <c r="R8" s="3118">
        <v>7</v>
      </c>
      <c r="S8" s="3119">
        <v>0.64729999999999999</v>
      </c>
      <c r="T8" s="3118">
        <f t="shared" si="0"/>
        <v>11283</v>
      </c>
      <c r="U8" s="3119"/>
      <c r="V8" s="3118">
        <f t="shared" si="1"/>
        <v>0</v>
      </c>
      <c r="W8" s="3584" t="s">
        <v>3308</v>
      </c>
      <c r="X8" s="3585"/>
      <c r="Y8" s="3130" t="s">
        <v>331</v>
      </c>
      <c r="Z8" s="3130" t="s">
        <v>332</v>
      </c>
      <c r="AA8" s="3130" t="s">
        <v>327</v>
      </c>
      <c r="AB8" s="3130" t="s">
        <v>328</v>
      </c>
      <c r="AC8" s="3130" t="s">
        <v>329</v>
      </c>
      <c r="AD8" s="3130" t="s">
        <v>330</v>
      </c>
      <c r="AE8" s="3130" t="s">
        <v>1533</v>
      </c>
      <c r="AF8" s="3130" t="s">
        <v>1534</v>
      </c>
      <c r="AG8" s="3130" t="s">
        <v>1535</v>
      </c>
      <c r="AH8" s="3130" t="s">
        <v>1536</v>
      </c>
      <c r="AI8" s="3130" t="s">
        <v>1537</v>
      </c>
      <c r="AJ8" s="3130" t="s">
        <v>1538</v>
      </c>
    </row>
    <row r="9" spans="1:36" ht="15">
      <c r="A9" s="3592"/>
      <c r="B9" s="1654" t="s">
        <v>2163</v>
      </c>
      <c r="C9" s="1680">
        <f>SUMIF(修正!C59:C119,C8,修正!E59:E119)</f>
        <v>0</v>
      </c>
      <c r="D9" s="537" t="s">
        <v>1499</v>
      </c>
      <c r="E9" s="537">
        <f>ROUND(C11/E7,4)</f>
        <v>0</v>
      </c>
      <c r="F9" s="1677" t="s">
        <v>2164</v>
      </c>
      <c r="G9" s="1678"/>
      <c r="H9" s="1678"/>
      <c r="I9" s="1678"/>
      <c r="J9" s="1679"/>
      <c r="K9" s="2409"/>
      <c r="L9" s="1907" t="s">
        <v>1900</v>
      </c>
      <c r="M9" s="2161">
        <f>SUMPRODUCT((区片价!B245:B289=I2)*(区片价!C3:F3=E2)*(区片价!C245:F289))</f>
        <v>0</v>
      </c>
      <c r="N9" s="2163">
        <f>SUMPRODUCT((因素修正幅度!B245:B289=I2)*(因素修正幅度!C3:F3=E2)*(因素修正幅度!C245:F289))</f>
        <v>0</v>
      </c>
      <c r="O9" s="2409"/>
      <c r="P9" s="2409"/>
      <c r="Q9" s="2409"/>
      <c r="R9" s="3118">
        <v>8</v>
      </c>
      <c r="S9" s="3119">
        <v>0.64629999999999999</v>
      </c>
      <c r="T9" s="3118">
        <f t="shared" si="0"/>
        <v>11266</v>
      </c>
      <c r="U9" s="3119"/>
      <c r="V9" s="3118">
        <f t="shared" si="1"/>
        <v>0</v>
      </c>
      <c r="W9" s="3586" t="s">
        <v>3309</v>
      </c>
      <c r="X9" s="3131" t="s">
        <v>2120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592"/>
      <c r="B10" s="1654" t="s">
        <v>2165</v>
      </c>
      <c r="C10" s="537">
        <f>SUMIF(修正!C59:C119,C8,修正!F59:F119)</f>
        <v>0</v>
      </c>
      <c r="D10" s="537" t="s">
        <v>1500</v>
      </c>
      <c r="E10" s="537">
        <f>ROUND(C11/E7,4)</f>
        <v>0</v>
      </c>
      <c r="F10" s="1677" t="s">
        <v>2166</v>
      </c>
      <c r="G10" s="1678"/>
      <c r="H10" s="1678"/>
      <c r="I10" s="1678"/>
      <c r="J10" s="1679"/>
      <c r="K10" s="2409"/>
      <c r="L10" s="1907" t="s">
        <v>1904</v>
      </c>
      <c r="M10" s="2161">
        <f>SUMPRODUCT((区片价!B290:B316=I2)*(区片价!C3:F3=E2)*(区片价!C290:F316))</f>
        <v>0</v>
      </c>
      <c r="N10" s="2163">
        <f>SUMPRODUCT((因素修正幅度!B290:B316=I2)*(因素修正幅度!C3:F3=E2)*(因素修正幅度!C290:F316))</f>
        <v>0</v>
      </c>
      <c r="O10" s="2409"/>
      <c r="P10" s="2409"/>
      <c r="Q10" s="2409"/>
      <c r="R10" s="3118">
        <v>9</v>
      </c>
      <c r="S10" s="3119">
        <v>0.6452</v>
      </c>
      <c r="T10" s="3118">
        <f t="shared" si="0"/>
        <v>11247</v>
      </c>
      <c r="U10" s="3119"/>
      <c r="V10" s="3118">
        <f t="shared" si="1"/>
        <v>0</v>
      </c>
      <c r="W10" s="3586"/>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592"/>
      <c r="B11" s="1681" t="s">
        <v>2167</v>
      </c>
      <c r="C11" s="1682">
        <f>C10/4</f>
        <v>0</v>
      </c>
      <c r="D11" s="1682" t="s">
        <v>1501</v>
      </c>
      <c r="E11" s="1682">
        <f>ROUND(C11/E7,4)</f>
        <v>0</v>
      </c>
      <c r="F11" s="1683" t="s">
        <v>2168</v>
      </c>
      <c r="G11" s="1684"/>
      <c r="H11" s="1684"/>
      <c r="I11" s="1684"/>
      <c r="J11" s="1685"/>
      <c r="K11" s="2409"/>
      <c r="L11" s="1907" t="s">
        <v>2307</v>
      </c>
      <c r="M11" s="2161">
        <f>SUMPRODUCT((区片价!B317:B337=I2)*(区片价!C3:F3=E2)*(区片价!C317:F337))</f>
        <v>0</v>
      </c>
      <c r="N11" s="2163">
        <f>SUMPRODUCT((因素修正幅度!B317:B337=I2)*(因素修正幅度!C3:F3=E2)*(因素修正幅度!C317:F337))</f>
        <v>0</v>
      </c>
      <c r="O11" s="2409"/>
      <c r="P11" s="2409"/>
      <c r="Q11" s="2409"/>
      <c r="R11" s="3118">
        <v>10</v>
      </c>
      <c r="S11" s="3119">
        <v>0.64419999999999999</v>
      </c>
      <c r="T11" s="3118">
        <f t="shared" si="0"/>
        <v>11229</v>
      </c>
      <c r="U11" s="3119"/>
      <c r="V11" s="3118">
        <f t="shared" si="1"/>
        <v>0</v>
      </c>
      <c r="W11" s="3586" t="s">
        <v>3310</v>
      </c>
      <c r="X11" s="3135" t="s">
        <v>3307</v>
      </c>
      <c r="Y11" s="3136">
        <f>$G$3</f>
        <v>3.8</v>
      </c>
      <c r="Z11" s="3136">
        <f t="shared" ref="Z11:AJ11" si="3">$G$3</f>
        <v>3.8</v>
      </c>
      <c r="AA11" s="3136">
        <f t="shared" si="3"/>
        <v>3.8</v>
      </c>
      <c r="AB11" s="3136">
        <f t="shared" si="3"/>
        <v>3.8</v>
      </c>
      <c r="AC11" s="3136">
        <f t="shared" si="3"/>
        <v>3.8</v>
      </c>
      <c r="AD11" s="3136">
        <f t="shared" si="3"/>
        <v>3.8</v>
      </c>
      <c r="AE11" s="3136">
        <f t="shared" si="3"/>
        <v>3.8</v>
      </c>
      <c r="AF11" s="3136">
        <f t="shared" si="3"/>
        <v>3.8</v>
      </c>
      <c r="AG11" s="3136">
        <f t="shared" si="3"/>
        <v>3.8</v>
      </c>
      <c r="AH11" s="3136">
        <f t="shared" si="3"/>
        <v>3.8</v>
      </c>
      <c r="AI11" s="3136">
        <f t="shared" si="3"/>
        <v>3.8</v>
      </c>
      <c r="AJ11" s="3136">
        <f t="shared" si="3"/>
        <v>3.8</v>
      </c>
    </row>
    <row r="12" spans="1:36" ht="26.25" thickBot="1">
      <c r="A12" s="3591" t="s">
        <v>2305</v>
      </c>
      <c r="B12" s="1686" t="s">
        <v>2169</v>
      </c>
      <c r="C12" s="1670">
        <f>ROUND(C15*D15*E15*F15*G15*H15*I15*J15,4)</f>
        <v>1.056</v>
      </c>
      <c r="D12" s="1687" t="s">
        <v>2170</v>
      </c>
      <c r="E12" s="1688"/>
      <c r="F12" s="1688"/>
      <c r="G12" s="1689"/>
      <c r="H12" s="1689"/>
      <c r="I12" s="1689"/>
      <c r="J12" s="1690"/>
      <c r="K12" s="2409"/>
      <c r="L12" s="1908" t="s">
        <v>2308</v>
      </c>
      <c r="M12" s="2162">
        <f>SUMPRODUCT((区片价!B338:B344=I2)*(区片价!C3:F3=E2)*(区片价!C338:F344))</f>
        <v>0</v>
      </c>
      <c r="N12" s="2163">
        <f>SUMPRODUCT((因素修正幅度!B338:B344=I2)*(因素修正幅度!C3:F3=E2)*(因素修正幅度!C338:F344))</f>
        <v>0</v>
      </c>
      <c r="O12" s="2409"/>
      <c r="P12" s="2409"/>
      <c r="Q12" s="2409"/>
      <c r="R12" s="3118">
        <v>11</v>
      </c>
      <c r="S12" s="3119">
        <v>0.6431</v>
      </c>
      <c r="T12" s="3118">
        <f t="shared" si="0"/>
        <v>11210</v>
      </c>
      <c r="U12" s="3119"/>
      <c r="V12" s="3118">
        <f t="shared" si="1"/>
        <v>0</v>
      </c>
      <c r="W12" s="3586"/>
      <c r="X12" s="3137" t="s">
        <v>2123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593"/>
      <c r="B13" s="1691" t="s">
        <v>2171</v>
      </c>
      <c r="C13" s="1692" t="s">
        <v>2172</v>
      </c>
      <c r="D13" s="1693" t="s">
        <v>2173</v>
      </c>
      <c r="E13" s="1693" t="s">
        <v>2174</v>
      </c>
      <c r="F13" s="81" t="s">
        <v>1502</v>
      </c>
      <c r="G13" s="1811" t="s">
        <v>3454</v>
      </c>
      <c r="H13" s="1811" t="s">
        <v>2227</v>
      </c>
      <c r="I13" s="1811" t="s">
        <v>2227</v>
      </c>
      <c r="J13" s="1812" t="s">
        <v>2227</v>
      </c>
      <c r="K13" s="2409"/>
      <c r="L13" s="2409"/>
      <c r="M13" s="2409"/>
      <c r="N13" s="2409"/>
      <c r="O13" s="2409"/>
      <c r="P13" s="2409"/>
      <c r="Q13" s="2409"/>
      <c r="R13" s="3118">
        <v>12</v>
      </c>
      <c r="S13" s="3119">
        <v>0.64200000000000002</v>
      </c>
      <c r="T13" s="3118">
        <f t="shared" si="0"/>
        <v>11191</v>
      </c>
      <c r="U13" s="3119"/>
      <c r="V13" s="3118">
        <f t="shared" si="1"/>
        <v>0</v>
      </c>
      <c r="W13" s="3586"/>
      <c r="X13" s="3137"/>
      <c r="Y13" s="3134">
        <f>(-0.163*(Y12^2)-0.59*Y12+7617)*(10^(-4))/Y11</f>
        <v>0.19924934210526318</v>
      </c>
      <c r="Z13" s="3134">
        <f t="shared" ref="Z13:AJ13" si="5">(-0.163*(Z12^2)-0.59*Z12+7617)*(10^(-4))/Z11</f>
        <v>0.19924934210526318</v>
      </c>
      <c r="AA13" s="3134">
        <f t="shared" si="5"/>
        <v>0.19924934210526318</v>
      </c>
      <c r="AB13" s="3134">
        <f t="shared" si="5"/>
        <v>0.19924934210526318</v>
      </c>
      <c r="AC13" s="3134">
        <f t="shared" si="5"/>
        <v>0.19924934210526318</v>
      </c>
      <c r="AD13" s="3134">
        <f t="shared" si="5"/>
        <v>0.19924934210526318</v>
      </c>
      <c r="AE13" s="3134">
        <f t="shared" si="5"/>
        <v>0.19924934210526318</v>
      </c>
      <c r="AF13" s="3134">
        <f t="shared" si="5"/>
        <v>0.19924934210526318</v>
      </c>
      <c r="AG13" s="3134">
        <f t="shared" si="5"/>
        <v>0.19924934210526318</v>
      </c>
      <c r="AH13" s="3134">
        <f t="shared" si="5"/>
        <v>0.19924934210526318</v>
      </c>
      <c r="AI13" s="3134">
        <f t="shared" si="5"/>
        <v>0.19924934210526318</v>
      </c>
      <c r="AJ13" s="3134">
        <f t="shared" si="5"/>
        <v>0.19924934210526318</v>
      </c>
    </row>
    <row r="14" spans="1:36" ht="15">
      <c r="A14" s="3593"/>
      <c r="B14" s="1694"/>
      <c r="C14" s="1813" t="s">
        <v>239</v>
      </c>
      <c r="D14" s="1510" t="s">
        <v>240</v>
      </c>
      <c r="E14" s="1510" t="s">
        <v>240</v>
      </c>
      <c r="F14" s="1814" t="s">
        <v>3449</v>
      </c>
      <c r="G14" s="1695" t="s">
        <v>2203</v>
      </c>
      <c r="H14" s="1696"/>
      <c r="I14" s="1697"/>
      <c r="J14" s="1698"/>
      <c r="K14" s="2409"/>
      <c r="L14" s="2409"/>
      <c r="M14" s="2409"/>
      <c r="N14" s="2409"/>
      <c r="O14" s="2409"/>
      <c r="P14" s="2409"/>
      <c r="Q14" s="2409"/>
      <c r="R14" s="3118">
        <v>13</v>
      </c>
      <c r="S14" s="3119">
        <v>0.64080000000000004</v>
      </c>
      <c r="T14" s="3118">
        <f t="shared" si="0"/>
        <v>11170</v>
      </c>
      <c r="U14" s="3119"/>
      <c r="V14" s="3118">
        <f t="shared" si="1"/>
        <v>0</v>
      </c>
      <c r="W14" s="3114"/>
      <c r="X14" s="3114"/>
      <c r="Y14" s="3114"/>
      <c r="Z14" s="3114"/>
      <c r="AA14" s="3114"/>
      <c r="AB14" s="3114"/>
      <c r="AC14" s="3115"/>
      <c r="AD14" s="3116"/>
      <c r="AE14" s="3116"/>
      <c r="AF14" s="3116"/>
      <c r="AG14" s="3116"/>
      <c r="AH14" s="3116"/>
      <c r="AI14" s="3116"/>
      <c r="AJ14" s="3117"/>
    </row>
    <row r="15" spans="1:36" ht="15.75" thickBot="1">
      <c r="A15" s="3594"/>
      <c r="B15" s="1699" t="s">
        <v>2175</v>
      </c>
      <c r="C15" s="566">
        <f>IF(C14="有",1.1,1)</f>
        <v>1.1000000000000001</v>
      </c>
      <c r="D15" s="566">
        <f>IF(D14="有",1.1,1)</f>
        <v>1</v>
      </c>
      <c r="E15" s="566">
        <f>IF(E14="有",1.1,1)</f>
        <v>1</v>
      </c>
      <c r="F15" s="566">
        <f>IF(F14="500米范围内",1.2,IF(F14="500-1000米",1.1,1))</f>
        <v>1</v>
      </c>
      <c r="G15" s="1815">
        <v>0.96</v>
      </c>
      <c r="H15" s="1815">
        <v>1</v>
      </c>
      <c r="I15" s="1815">
        <v>1</v>
      </c>
      <c r="J15" s="1816">
        <v>1</v>
      </c>
      <c r="K15" s="2409"/>
      <c r="L15" s="1730" t="s">
        <v>2192</v>
      </c>
      <c r="M15" s="1731" t="s">
        <v>2193</v>
      </c>
      <c r="N15" s="1731" t="s">
        <v>2194</v>
      </c>
      <c r="O15" s="1731" t="s">
        <v>1221</v>
      </c>
      <c r="P15" s="1732" t="s">
        <v>2195</v>
      </c>
      <c r="Q15" s="2409"/>
      <c r="R15" s="3118">
        <v>14</v>
      </c>
      <c r="S15" s="3119">
        <v>0.63959999999999995</v>
      </c>
      <c r="T15" s="3118">
        <f t="shared" si="0"/>
        <v>11149</v>
      </c>
      <c r="U15" s="3119"/>
      <c r="V15" s="3118">
        <f t="shared" si="1"/>
        <v>0</v>
      </c>
      <c r="W15" s="3114"/>
      <c r="X15" s="3114"/>
      <c r="Y15" s="3114"/>
      <c r="Z15" s="3114"/>
      <c r="AA15" s="3114"/>
      <c r="AB15" s="3114"/>
      <c r="AC15" s="3115"/>
      <c r="AD15" s="3116"/>
      <c r="AE15" s="3116"/>
      <c r="AF15" s="3116"/>
      <c r="AG15" s="3116"/>
      <c r="AH15" s="3116"/>
      <c r="AI15" s="3116"/>
      <c r="AJ15" s="3117"/>
    </row>
    <row r="16" spans="1:36" ht="24">
      <c r="A16" s="3591" t="s">
        <v>2306</v>
      </c>
      <c r="B16" s="1669" t="s">
        <v>2176</v>
      </c>
      <c r="C16" s="1802">
        <f>ROUND(SUM(G17:J17)/C17,0)</f>
        <v>6</v>
      </c>
      <c r="D16" s="1700" t="s">
        <v>2177</v>
      </c>
      <c r="E16" s="3338" t="s">
        <v>2180</v>
      </c>
      <c r="F16" s="1817" t="s">
        <v>2230</v>
      </c>
      <c r="G16" s="1818" t="s">
        <v>3455</v>
      </c>
      <c r="H16" s="1818" t="s">
        <v>759</v>
      </c>
      <c r="I16" s="1818" t="s">
        <v>759</v>
      </c>
      <c r="J16" s="1819" t="s">
        <v>759</v>
      </c>
      <c r="K16" s="2409"/>
      <c r="L16" s="1736" t="s">
        <v>2197</v>
      </c>
      <c r="M16" s="1680">
        <v>0.25</v>
      </c>
      <c r="N16" s="1680">
        <v>0.2</v>
      </c>
      <c r="O16" s="1680">
        <v>0.15</v>
      </c>
      <c r="P16" s="2768">
        <v>0.1</v>
      </c>
      <c r="Q16" s="2769"/>
      <c r="R16" s="3118">
        <v>15</v>
      </c>
      <c r="S16" s="3119">
        <v>0.63839999999999997</v>
      </c>
      <c r="T16" s="3118">
        <f t="shared" si="0"/>
        <v>11128</v>
      </c>
      <c r="U16" s="3119"/>
      <c r="V16" s="3118">
        <f t="shared" si="1"/>
        <v>0</v>
      </c>
      <c r="W16" s="3126"/>
      <c r="X16" s="3126"/>
      <c r="Y16" s="3126"/>
      <c r="Z16" s="3126"/>
      <c r="AA16" s="3126"/>
      <c r="AB16" s="3126"/>
      <c r="AC16" s="3127"/>
      <c r="AD16" s="3116"/>
      <c r="AE16" s="3116"/>
      <c r="AF16" s="3116"/>
      <c r="AG16" s="3116"/>
      <c r="AH16" s="3116"/>
      <c r="AI16" s="3116"/>
      <c r="AJ16" s="3117"/>
    </row>
    <row r="17" spans="1:37" ht="13.5" thickBot="1">
      <c r="A17" s="3592"/>
      <c r="B17" s="1701" t="s">
        <v>2178</v>
      </c>
      <c r="C17" s="1702">
        <f>SUMPRODUCT((修正!A2:A5=E2)*(修正!B1:M1=G2)*(修正!B2:M5))</f>
        <v>2.5</v>
      </c>
      <c r="D17" s="1703" t="s">
        <v>2179</v>
      </c>
      <c r="E17" s="1773" t="str">
        <f>IF(OR(G2="八级",G2="九级",G2="十级",G2="十一级",G2="十二级"),"五通一平","七通一平")</f>
        <v>七通一平</v>
      </c>
      <c r="F17" s="1704" t="s">
        <v>2181</v>
      </c>
      <c r="G17" s="1702">
        <f>SUMPRODUCT((七通一平=G16)*(修正!B1:M1=G2)*(修正!B6:M14))</f>
        <v>15</v>
      </c>
      <c r="H17" s="1702">
        <f>SUMPRODUCT((七通一平=H16)*(修正!B1:M1=G2)*(修正!B6:M14))</f>
        <v>0</v>
      </c>
      <c r="I17" s="1702">
        <f>SUMPRODUCT((七通一平=I16)*(修正!B1:M1=G2)*(修正!B6:M14))</f>
        <v>0</v>
      </c>
      <c r="J17" s="1705">
        <f>SUMPRODUCT((七通一平=J16)*(修正!B1:M1=G2)*(修正!B6:M14))</f>
        <v>0</v>
      </c>
      <c r="K17" s="2409"/>
      <c r="L17" s="1743" t="s">
        <v>2186</v>
      </c>
      <c r="M17" s="548">
        <f>ROUND($E$20*(1+M16),3)</f>
        <v>5.3999999999999999E-2</v>
      </c>
      <c r="N17" s="548">
        <f>ROUND($E$20*(1+N16),3)</f>
        <v>5.1999999999999998E-2</v>
      </c>
      <c r="O17" s="548">
        <f>ROUND($E$20*(1+O16),3)</f>
        <v>0.05</v>
      </c>
      <c r="P17" s="2772">
        <f>ROUND($E$20*(1+P16),3)</f>
        <v>4.8000000000000001E-2</v>
      </c>
      <c r="Q17" s="2769"/>
      <c r="R17" s="2769"/>
      <c r="S17" s="2769"/>
      <c r="T17" s="2769"/>
      <c r="U17" s="2769"/>
      <c r="V17" s="2769"/>
      <c r="W17" s="2769"/>
      <c r="X17" s="2769"/>
      <c r="Y17" s="2769"/>
      <c r="Z17" s="2770"/>
      <c r="AA17" s="2771"/>
      <c r="AB17" s="2771"/>
      <c r="AC17" s="2771"/>
      <c r="AD17" s="2771"/>
      <c r="AE17" s="1647"/>
      <c r="AF17" s="1647"/>
      <c r="AG17" s="1650"/>
      <c r="AH17" s="1650"/>
      <c r="AI17" s="1650"/>
      <c r="AJ17" s="1650"/>
    </row>
    <row r="18" spans="1:37" s="1662" customFormat="1" ht="15.75" thickBot="1">
      <c r="A18" s="1901" t="s">
        <v>2298</v>
      </c>
      <c r="B18" s="1706" t="s">
        <v>2182</v>
      </c>
      <c r="C18" s="1707">
        <f>SUMIF(修正!C18:C39,E3,修正!E18:E39)</f>
        <v>0.9</v>
      </c>
      <c r="D18" s="1708"/>
      <c r="E18" s="1709"/>
      <c r="F18" s="1710"/>
      <c r="G18" s="1711"/>
      <c r="H18" s="1711"/>
      <c r="I18" s="1711"/>
      <c r="J18" s="1712"/>
      <c r="K18" s="2416"/>
      <c r="O18" s="2774"/>
      <c r="P18" s="2774"/>
      <c r="Q18" s="2775"/>
      <c r="R18" s="2775"/>
      <c r="S18" s="2775"/>
      <c r="T18" s="2770"/>
      <c r="U18" s="2770"/>
      <c r="V18" s="2770"/>
      <c r="W18" s="2769"/>
      <c r="X18" s="2769"/>
      <c r="Y18" s="2769"/>
      <c r="Z18" s="2776"/>
      <c r="AA18" s="2777"/>
      <c r="AB18" s="2777"/>
      <c r="AC18" s="2777"/>
      <c r="AD18" s="2777"/>
      <c r="AE18" s="1648"/>
      <c r="AF18" s="1648"/>
      <c r="AG18" s="1649"/>
      <c r="AH18" s="1649"/>
      <c r="AI18" s="1649"/>
    </row>
    <row r="19" spans="1:37" s="1662" customFormat="1" ht="27.75" thickBot="1">
      <c r="A19" s="1901" t="s">
        <v>2299</v>
      </c>
      <c r="B19" s="1706" t="s">
        <v>2183</v>
      </c>
      <c r="C19" s="1715">
        <f>ROUND(IF(H19="按公示增长率计算",SUMPRODUCT((地价!A3:A19=YEAR(G19)&amp;"-"&amp;ROUNDUP(MONTH(G19)/3,0))*(地价!X2:AB2=E2)*(地价!X3:AB19)),IF(H19="地价指数",M20/M19,(1+I19)^O19)),4)</f>
        <v>1.2154</v>
      </c>
      <c r="D19" s="1716" t="s">
        <v>1503</v>
      </c>
      <c r="E19" s="1717">
        <v>41640</v>
      </c>
      <c r="F19" s="1716" t="s">
        <v>1504</v>
      </c>
      <c r="G19" s="1718">
        <f>'数据-取费表'!B2</f>
        <v>42930</v>
      </c>
      <c r="H19" s="3060" t="s">
        <v>3450</v>
      </c>
      <c r="I19" s="1719" t="str">
        <f>IF(H19="季度增幅（自定义）",SUMIF(N21:N24,E2,O21:O24),"")</f>
        <v/>
      </c>
      <c r="J19" s="1712"/>
      <c r="K19" s="2416"/>
      <c r="L19" s="3288" t="s">
        <v>3370</v>
      </c>
      <c r="M19" s="3290">
        <f>ROUND(SUMIF(地价!B2:F2,E2,地价!B19:F19),0)</f>
        <v>258</v>
      </c>
      <c r="N19" s="3286" t="s">
        <v>2229</v>
      </c>
      <c r="O19" s="1720">
        <f>ROUNDDOWN(DATEDIF(E19,G19,"M")/3,0)</f>
        <v>14</v>
      </c>
      <c r="P19" s="2773"/>
      <c r="Q19" s="2775"/>
      <c r="R19" s="2775"/>
      <c r="S19" s="2775"/>
      <c r="T19" s="2770"/>
      <c r="U19" s="2770"/>
      <c r="V19" s="2770"/>
      <c r="W19" s="2769"/>
      <c r="X19" s="2769"/>
      <c r="Y19" s="2769"/>
      <c r="Z19" s="2776"/>
      <c r="AA19" s="2777"/>
      <c r="AB19" s="2777"/>
      <c r="AC19" s="2777"/>
      <c r="AD19" s="2777"/>
      <c r="AE19" s="1713"/>
      <c r="AF19" s="1714"/>
      <c r="AG19" s="1721"/>
      <c r="AH19" s="1649"/>
      <c r="AI19" s="1661"/>
      <c r="AJ19" s="1661"/>
      <c r="AK19" s="1661"/>
    </row>
    <row r="20" spans="1:37" s="1662" customFormat="1" ht="27.75" thickBot="1">
      <c r="A20" s="1902" t="s">
        <v>2300</v>
      </c>
      <c r="B20" s="1775" t="s">
        <v>2184</v>
      </c>
      <c r="C20" s="1722">
        <f>ROUND(POWER(1+G20,J20-I20)*(POWER(1+G20,I20)-1)/(POWER(1+G20,J20)-1),4)</f>
        <v>0.90610000000000002</v>
      </c>
      <c r="D20" s="1776" t="s">
        <v>2185</v>
      </c>
      <c r="E20" s="2635">
        <v>4.3499999999999997E-2</v>
      </c>
      <c r="F20" s="1776" t="s">
        <v>2186</v>
      </c>
      <c r="G20" s="1777">
        <f>SUMIF(M15:P15,E2,M17:P17)</f>
        <v>5.3999999999999999E-2</v>
      </c>
      <c r="H20" s="1776" t="s">
        <v>2187</v>
      </c>
      <c r="I20" s="1778">
        <f>SUMIF('数据-取费表'!C6:C15,E2,'数据-取费表'!F6:F15)/COUNTIF('数据-取费表'!C6:C15,E2)</f>
        <v>30.179999999999996</v>
      </c>
      <c r="J20" s="1779">
        <f>IF(E2="住宅",70,IF(E2="商业",40,50))</f>
        <v>40</v>
      </c>
      <c r="K20" s="2416"/>
      <c r="L20" s="3289" t="s">
        <v>3371</v>
      </c>
      <c r="M20" s="3291">
        <f>ROUND(SUMPRODUCT((地价!A4:A19=YEAR(G19)&amp;"-"&amp;ROUNDUP(MONTH(G19)/3,0))*(地价!B2:F2=E2)*(地价!B4:F19)),0)</f>
        <v>0</v>
      </c>
      <c r="N20" s="3287" t="s">
        <v>3195</v>
      </c>
      <c r="O20" s="3061" t="s">
        <v>3196</v>
      </c>
      <c r="P20" s="3062" t="s">
        <v>3205</v>
      </c>
      <c r="R20" s="2775"/>
      <c r="S20" s="2775"/>
      <c r="T20" s="2770"/>
      <c r="U20" s="2770"/>
      <c r="V20" s="2770"/>
      <c r="W20" s="2769"/>
      <c r="X20" s="2769"/>
      <c r="Y20" s="2769"/>
      <c r="Z20" s="2776"/>
      <c r="AA20" s="2777"/>
      <c r="AB20" s="2777"/>
      <c r="AC20" s="2777"/>
      <c r="AD20" s="2777"/>
      <c r="AE20" s="1713"/>
      <c r="AF20" s="1713"/>
    </row>
    <row r="21" spans="1:37" s="1662" customFormat="1" ht="24.75" customHeight="1">
      <c r="A21" s="1903" t="s">
        <v>2301</v>
      </c>
      <c r="B21" s="1820" t="s">
        <v>2894</v>
      </c>
      <c r="C21" s="1780">
        <f>IF(B21="容积率修正",IF(G3&lt;=10,D22,J22),C23)</f>
        <v>0.86560000000000004</v>
      </c>
      <c r="D21" s="1781"/>
      <c r="E21" s="1781"/>
      <c r="F21" s="1781"/>
      <c r="G21" s="1781"/>
      <c r="H21" s="1781"/>
      <c r="I21" s="1781"/>
      <c r="J21" s="1782"/>
      <c r="K21" s="2416"/>
      <c r="N21" s="3063" t="s">
        <v>3197</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3"/>
      <c r="AF21" s="1713"/>
    </row>
    <row r="22" spans="1:37" s="1662" customFormat="1" ht="24" customHeight="1">
      <c r="A22" s="190" t="s">
        <v>2304</v>
      </c>
      <c r="B22" s="1724" t="s">
        <v>2188</v>
      </c>
      <c r="C22" s="1803" t="s">
        <v>2201</v>
      </c>
      <c r="D22" s="1803">
        <f>IF(E22=G22,F22,IF(G3&lt;=10,ROUND(F22+(H22-F22)*(G3-E22)/(G22-E22),4),"——"))</f>
        <v>0.87809999999999999</v>
      </c>
      <c r="E22" s="1653">
        <f>ROUNDDOWN(G3,1)</f>
        <v>3.8</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1653">
        <f>ROUNDUP(G3,1)</f>
        <v>3.8</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803" t="s">
        <v>1517</v>
      </c>
      <c r="J22" s="1783" t="str">
        <f>IF(G3&gt;10,D113,"——")</f>
        <v>——</v>
      </c>
      <c r="K22" s="2416"/>
      <c r="N22" s="3063" t="s">
        <v>3198</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3"/>
      <c r="AF22" s="1713"/>
    </row>
    <row r="23" spans="1:37" ht="27.75" thickBot="1">
      <c r="A23" s="190" t="s">
        <v>2305</v>
      </c>
      <c r="B23" s="1893" t="s">
        <v>2189</v>
      </c>
      <c r="C23" s="1894">
        <f>ROUND(IF(G3&gt;1,IF(I3&lt;7,SUMPRODUCT((B93:B98=I3)*(C92:N92=G2)*(C93:N98)),SUMIF(C92:N92,G2,C100:N100)),IF(I3&lt;7,SUMPRODUCT((B102:B107=I3)*(C92:N92=G2)*(C102:N107)),SUMIF(C92:N92,G2,C109:N109))),4)</f>
        <v>0.86560000000000004</v>
      </c>
      <c r="D23" s="1696"/>
      <c r="E23" s="1696"/>
      <c r="F23" s="1725"/>
      <c r="G23" s="1726"/>
      <c r="H23" s="1895"/>
      <c r="I23" s="1896"/>
      <c r="J23" s="1897"/>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9"/>
    </row>
    <row r="24" spans="1:37" s="1662" customFormat="1" ht="24" customHeight="1" thickBot="1">
      <c r="A24" s="1902" t="s">
        <v>2302</v>
      </c>
      <c r="B24" s="1706" t="s">
        <v>2190</v>
      </c>
      <c r="C24" s="1715">
        <f>SUMIF(A45:A88,E2,B45:B88)</f>
        <v>1.0105</v>
      </c>
      <c r="D24" s="1710"/>
      <c r="E24" s="1898"/>
      <c r="F24" s="1898"/>
      <c r="G24" s="1898"/>
      <c r="H24" s="1898"/>
      <c r="I24" s="1898"/>
      <c r="J24" s="1899"/>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3"/>
      <c r="AF24" s="1713"/>
    </row>
    <row r="25" spans="1:37" ht="15" thickBot="1">
      <c r="A25" s="1902" t="s">
        <v>2303</v>
      </c>
      <c r="B25" s="1727" t="s">
        <v>2191</v>
      </c>
      <c r="C25" s="1728"/>
      <c r="D25" s="1673"/>
      <c r="E25" s="1673"/>
      <c r="F25" s="1729"/>
      <c r="G25" s="1673"/>
      <c r="H25" s="1673"/>
      <c r="I25" s="1673"/>
      <c r="J25" s="1674"/>
      <c r="K25" s="2409"/>
      <c r="N25" s="3070" t="s">
        <v>3199</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5"/>
      <c r="B26" s="1724" t="s">
        <v>2223</v>
      </c>
      <c r="C26" s="543">
        <f>E29+SUM(E33:E39)</f>
        <v>0</v>
      </c>
      <c r="D26" s="1733"/>
      <c r="E26" s="1696"/>
      <c r="F26" s="1734"/>
      <c r="G26" s="1696"/>
      <c r="H26" s="1696"/>
      <c r="I26" s="1696"/>
      <c r="J26" s="1735"/>
      <c r="K26" s="2409"/>
      <c r="R26" s="2775"/>
      <c r="S26" s="2775"/>
      <c r="T26" s="2770"/>
      <c r="U26" s="2770"/>
      <c r="V26" s="2770"/>
      <c r="W26" s="2769"/>
      <c r="X26" s="2769"/>
      <c r="Y26" s="2769"/>
      <c r="Z26" s="2776"/>
      <c r="AA26" s="2777"/>
      <c r="AB26" s="2777"/>
      <c r="AC26" s="2777"/>
      <c r="AD26" s="2777"/>
    </row>
    <row r="27" spans="1:37" ht="26.25" customHeight="1" thickBot="1">
      <c r="A27" s="1905"/>
      <c r="B27" s="1737" t="s">
        <v>2224</v>
      </c>
      <c r="C27" s="1738">
        <f>E30+SUM(I33:I39)</f>
        <v>0</v>
      </c>
      <c r="D27" s="1739"/>
      <c r="E27" s="1740"/>
      <c r="F27" s="1741"/>
      <c r="G27" s="1740"/>
      <c r="H27" s="1740"/>
      <c r="I27" s="1740"/>
      <c r="J27" s="1742"/>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32.25" customHeight="1">
      <c r="A28" s="1892"/>
      <c r="B28" s="1744" t="s">
        <v>2222</v>
      </c>
      <c r="C28" s="1745" t="s">
        <v>2196</v>
      </c>
      <c r="D28" s="1745" t="s">
        <v>2213</v>
      </c>
      <c r="E28" s="1746" t="s">
        <v>2214</v>
      </c>
      <c r="F28" s="1747"/>
      <c r="G28" s="1689"/>
      <c r="H28" s="1689"/>
      <c r="I28" s="1689"/>
      <c r="J28" s="1690"/>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7.75" customHeight="1">
      <c r="A29" s="1804"/>
      <c r="B29" s="1748" t="s">
        <v>2217</v>
      </c>
      <c r="C29" s="543">
        <f>ROUND(C5*C18*C19*C20*C21*C24,0)</f>
        <v>15088</v>
      </c>
      <c r="D29" s="1771"/>
      <c r="E29" s="1805">
        <f>ROUND(C29*D29/10000,0)</f>
        <v>0</v>
      </c>
      <c r="F29" s="1749" t="s">
        <v>2198</v>
      </c>
      <c r="G29" s="1750"/>
      <c r="H29" s="1750"/>
      <c r="I29" s="1750"/>
      <c r="J29" s="1751"/>
      <c r="K29" s="2409"/>
      <c r="L29" s="2409"/>
      <c r="M29" s="2409"/>
      <c r="N29" s="2409"/>
      <c r="O29" s="2774"/>
      <c r="P29" s="2774"/>
      <c r="Q29" s="2775"/>
      <c r="R29" s="2775"/>
      <c r="S29" s="2775"/>
      <c r="T29" s="2770"/>
      <c r="U29" s="2770"/>
      <c r="V29" s="2770"/>
      <c r="W29" s="2769"/>
      <c r="X29" s="2769"/>
      <c r="Y29" s="2769"/>
      <c r="Z29" s="2776"/>
      <c r="AA29" s="2777"/>
      <c r="AB29" s="2777"/>
      <c r="AC29" s="2777"/>
      <c r="AD29" s="2777"/>
      <c r="AE29" s="1647"/>
      <c r="AF29" s="1647"/>
      <c r="AG29" s="1650"/>
      <c r="AH29" s="1650"/>
      <c r="AI29" s="1650"/>
      <c r="AJ29" s="1650"/>
    </row>
    <row r="30" spans="1:37" ht="24.75" thickBot="1">
      <c r="A30" s="1752"/>
      <c r="B30" s="1753" t="s">
        <v>2218</v>
      </c>
      <c r="C30" s="566">
        <f>ROUND(IF(E2="工业",C29*M39,C29*M38),0)</f>
        <v>3772</v>
      </c>
      <c r="D30" s="1772"/>
      <c r="E30" s="1805">
        <f>ROUND(C30*D30/10000,0)</f>
        <v>0</v>
      </c>
      <c r="F30" s="1754" t="s">
        <v>2215</v>
      </c>
      <c r="G30" s="1755"/>
      <c r="H30" s="1755"/>
      <c r="I30" s="1755"/>
      <c r="J30" s="1756"/>
      <c r="K30" s="2409"/>
      <c r="L30" s="2409"/>
      <c r="M30" s="2409"/>
      <c r="N30" s="2409"/>
      <c r="O30" s="2774"/>
      <c r="P30" s="2774"/>
      <c r="Q30" s="2775"/>
      <c r="R30" s="2775"/>
      <c r="S30" s="2775"/>
      <c r="T30" s="2770"/>
      <c r="U30" s="2770"/>
      <c r="V30" s="2770"/>
      <c r="W30" s="2769"/>
      <c r="X30" s="2769"/>
      <c r="Y30" s="2769"/>
      <c r="Z30" s="2776"/>
      <c r="AA30" s="2777"/>
      <c r="AB30" s="2777"/>
      <c r="AC30" s="2777"/>
      <c r="AD30" s="2777"/>
      <c r="AE30" s="1647"/>
      <c r="AF30" s="1647"/>
      <c r="AG30" s="1650"/>
      <c r="AH30" s="1650"/>
      <c r="AI30" s="1650"/>
      <c r="AJ30" s="1650"/>
    </row>
    <row r="31" spans="1:37" ht="14.25">
      <c r="A31" s="1757"/>
      <c r="B31" s="1758" t="s">
        <v>2219</v>
      </c>
      <c r="C31" s="1759" t="s">
        <v>2220</v>
      </c>
      <c r="D31" s="1689"/>
      <c r="E31" s="1759"/>
      <c r="F31" s="1759"/>
      <c r="G31" s="1687" t="s">
        <v>2221</v>
      </c>
      <c r="H31" s="1689"/>
      <c r="I31" s="1760"/>
      <c r="J31" s="1690"/>
      <c r="K31" s="2409"/>
      <c r="L31" s="2409"/>
      <c r="M31" s="2409"/>
      <c r="N31" s="2409"/>
      <c r="O31" s="2774"/>
      <c r="P31" s="2774"/>
      <c r="Q31" s="2775"/>
      <c r="R31" s="2775"/>
      <c r="S31" s="2775"/>
      <c r="T31" s="2770"/>
      <c r="U31" s="2770"/>
      <c r="V31" s="2770"/>
      <c r="W31" s="2769"/>
      <c r="X31" s="2769"/>
      <c r="Y31" s="2769"/>
      <c r="Z31" s="2776"/>
      <c r="AA31" s="2777"/>
      <c r="AB31" s="2777"/>
      <c r="AC31" s="2777"/>
      <c r="AD31" s="2777"/>
      <c r="AE31" s="1647"/>
      <c r="AF31" s="1647"/>
      <c r="AG31" s="1650"/>
      <c r="AH31" s="1650"/>
      <c r="AI31" s="1650"/>
      <c r="AJ31" s="1650"/>
    </row>
    <row r="32" spans="1:37" ht="24">
      <c r="A32" s="1804"/>
      <c r="B32" s="1761"/>
      <c r="C32" s="171" t="s">
        <v>2196</v>
      </c>
      <c r="D32" s="168" t="s">
        <v>2213</v>
      </c>
      <c r="E32" s="168" t="s">
        <v>2214</v>
      </c>
      <c r="F32" s="1762" t="s">
        <v>2200</v>
      </c>
      <c r="G32" s="1723" t="s">
        <v>2196</v>
      </c>
      <c r="H32" s="1723" t="s">
        <v>2213</v>
      </c>
      <c r="I32" s="1723" t="s">
        <v>2214</v>
      </c>
      <c r="J32" s="1763"/>
      <c r="K32" s="2409"/>
      <c r="L32" s="2409"/>
      <c r="M32" s="2409"/>
      <c r="N32" s="2409"/>
      <c r="O32" s="2774"/>
      <c r="P32" s="2774"/>
      <c r="Q32" s="2775"/>
      <c r="R32" s="2775"/>
      <c r="S32" s="2775"/>
      <c r="T32" s="2770"/>
      <c r="U32" s="2770"/>
      <c r="V32" s="2770"/>
      <c r="W32" s="2769"/>
      <c r="X32" s="2769"/>
      <c r="Y32" s="2769"/>
      <c r="Z32" s="2776"/>
      <c r="AA32" s="2777"/>
      <c r="AB32" s="2777"/>
      <c r="AC32" s="2777"/>
      <c r="AD32" s="2777"/>
      <c r="AE32" s="1647"/>
      <c r="AF32" s="1647"/>
      <c r="AG32" s="1650"/>
      <c r="AH32" s="1650"/>
      <c r="AI32" s="1650"/>
      <c r="AJ32" s="1650"/>
    </row>
    <row r="33" spans="1:37" ht="14.25">
      <c r="A33" s="1764"/>
      <c r="B33" s="1765" t="s">
        <v>1519</v>
      </c>
      <c r="C33" s="543">
        <f>ROUND(C5*C19*C20*C24*F33,0)</f>
        <v>13557</v>
      </c>
      <c r="D33" s="1771"/>
      <c r="E33" s="537">
        <f>ROUND(C33*D33/10000,0)</f>
        <v>0</v>
      </c>
      <c r="F33" s="537">
        <f>SUMIF(修正!A45:A56,G2,修正!B45:B56)</f>
        <v>0.7</v>
      </c>
      <c r="G33" s="537">
        <f t="shared" ref="G33:G39" si="6">ROUND(IF(E2="工业",C33*$M$39,C33*$M$38),0)</f>
        <v>3389</v>
      </c>
      <c r="H33" s="537">
        <f>D33</f>
        <v>0</v>
      </c>
      <c r="I33" s="537">
        <f>ROUND(G33*H33/10000,0)</f>
        <v>0</v>
      </c>
      <c r="J33" s="1766"/>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4"/>
      <c r="B34" s="1692" t="s">
        <v>1520</v>
      </c>
      <c r="C34" s="543">
        <f>ROUND(C5*C19*C20*C24*F34,0)</f>
        <v>7747</v>
      </c>
      <c r="D34" s="1771"/>
      <c r="E34" s="537">
        <f t="shared" ref="E34:E39" si="7">ROUND(C34*D34/10000,0)</f>
        <v>0</v>
      </c>
      <c r="F34" s="537">
        <f>SUMIF(修正!A45:A56,G2,修正!C45:C56)</f>
        <v>0.4</v>
      </c>
      <c r="G34" s="537">
        <f t="shared" si="6"/>
        <v>1937</v>
      </c>
      <c r="H34" s="537">
        <f t="shared" ref="H34:H39" si="8">D34</f>
        <v>0</v>
      </c>
      <c r="I34" s="537">
        <f t="shared" ref="I34:I39" si="9">ROUND(G34*H34/10000,0)</f>
        <v>0</v>
      </c>
      <c r="J34" s="1766"/>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4"/>
      <c r="B35" s="1692" t="s">
        <v>1521</v>
      </c>
      <c r="C35" s="543">
        <f>ROUND(C5*C19*C20*C24*F35,0)</f>
        <v>5423</v>
      </c>
      <c r="D35" s="1771"/>
      <c r="E35" s="537">
        <f t="shared" si="7"/>
        <v>0</v>
      </c>
      <c r="F35" s="537">
        <f>SUMIF(修正!A45:A56,G2,修正!D45:D56)</f>
        <v>0.28000000000000003</v>
      </c>
      <c r="G35" s="537">
        <f t="shared" si="6"/>
        <v>1356</v>
      </c>
      <c r="H35" s="537">
        <f t="shared" si="8"/>
        <v>0</v>
      </c>
      <c r="I35" s="537">
        <f t="shared" si="9"/>
        <v>0</v>
      </c>
      <c r="J35" s="1766"/>
      <c r="K35" s="2409"/>
      <c r="L35" s="2409"/>
      <c r="M35" s="2409"/>
      <c r="N35" s="2409"/>
      <c r="O35" s="2409"/>
      <c r="P35" s="2409"/>
      <c r="Q35" s="2409"/>
      <c r="R35" s="2409"/>
      <c r="S35" s="2409"/>
      <c r="T35" s="2409"/>
      <c r="U35" s="2409"/>
      <c r="V35" s="2409"/>
      <c r="W35" s="2409"/>
      <c r="X35" s="2409"/>
      <c r="Y35" s="2409"/>
      <c r="Z35" s="2410"/>
    </row>
    <row r="36" spans="1:37" ht="13.5" thickBot="1">
      <c r="A36" s="1764"/>
      <c r="B36" s="1692" t="s">
        <v>1522</v>
      </c>
      <c r="C36" s="543">
        <f>ROUND(C5*C19*C20*C24*F36,0)</f>
        <v>4842</v>
      </c>
      <c r="D36" s="1771"/>
      <c r="E36" s="537">
        <f t="shared" si="7"/>
        <v>0</v>
      </c>
      <c r="F36" s="537">
        <f>SUMIF(修正!A45:A56,G2,修正!E45:E56)</f>
        <v>0.25</v>
      </c>
      <c r="G36" s="537">
        <f t="shared" si="6"/>
        <v>1211</v>
      </c>
      <c r="H36" s="537">
        <f t="shared" si="8"/>
        <v>0</v>
      </c>
      <c r="I36" s="537">
        <f t="shared" si="9"/>
        <v>0</v>
      </c>
      <c r="J36" s="1766"/>
      <c r="K36" s="2409"/>
      <c r="L36" s="2413"/>
      <c r="M36" s="2413"/>
      <c r="N36" s="2409"/>
      <c r="O36" s="2409"/>
      <c r="P36" s="2409"/>
      <c r="Q36" s="2409"/>
      <c r="R36" s="2409"/>
      <c r="S36" s="2409"/>
      <c r="T36" s="2409"/>
      <c r="U36" s="2409"/>
      <c r="V36" s="2409"/>
      <c r="W36" s="2409"/>
      <c r="X36" s="2409"/>
      <c r="Y36" s="2409"/>
      <c r="Z36" s="2410"/>
    </row>
    <row r="37" spans="1:37" ht="12.75">
      <c r="A37" s="1764"/>
      <c r="B37" s="1692" t="s">
        <v>1523</v>
      </c>
      <c r="C37" s="537">
        <f>ROUND(C5*C19*C20*C24*F37,0)</f>
        <v>4842</v>
      </c>
      <c r="D37" s="1771"/>
      <c r="E37" s="537">
        <f t="shared" si="7"/>
        <v>0</v>
      </c>
      <c r="F37" s="543">
        <f>SUMIF(修正!A45:A56,G2,修正!F45:F56)</f>
        <v>0.25</v>
      </c>
      <c r="G37" s="537">
        <f t="shared" si="6"/>
        <v>1211</v>
      </c>
      <c r="H37" s="537">
        <f t="shared" si="8"/>
        <v>0</v>
      </c>
      <c r="I37" s="537">
        <f t="shared" si="9"/>
        <v>0</v>
      </c>
      <c r="J37" s="1766"/>
      <c r="K37" s="2409"/>
      <c r="L37" s="2417" t="s">
        <v>2216</v>
      </c>
      <c r="M37" s="2418"/>
      <c r="N37" s="2409"/>
      <c r="O37" s="2409"/>
      <c r="P37" s="2409"/>
      <c r="Q37" s="2409"/>
      <c r="R37" s="2409"/>
      <c r="S37" s="2409"/>
      <c r="T37" s="2409"/>
      <c r="U37" s="2409"/>
      <c r="V37" s="2409"/>
      <c r="W37" s="2409"/>
      <c r="X37" s="2409"/>
      <c r="Y37" s="2409"/>
      <c r="Z37" s="2410"/>
    </row>
    <row r="38" spans="1:37" ht="12.75">
      <c r="A38" s="1764"/>
      <c r="B38" s="1692" t="s">
        <v>1524</v>
      </c>
      <c r="C38" s="537">
        <f>ROUND(C5*C19*C20*C24*F38,0)</f>
        <v>4842</v>
      </c>
      <c r="D38" s="1771"/>
      <c r="E38" s="537">
        <f t="shared" si="7"/>
        <v>0</v>
      </c>
      <c r="F38" s="543">
        <f>SUMIF(修正!A45:A56,G2,修正!G45:G56)</f>
        <v>0.25</v>
      </c>
      <c r="G38" s="537">
        <f t="shared" si="6"/>
        <v>1211</v>
      </c>
      <c r="H38" s="537">
        <f t="shared" si="8"/>
        <v>0</v>
      </c>
      <c r="I38" s="537">
        <f t="shared" si="9"/>
        <v>0</v>
      </c>
      <c r="J38" s="1766"/>
      <c r="K38" s="2409"/>
      <c r="L38" s="1786" t="s">
        <v>2199</v>
      </c>
      <c r="M38" s="1787">
        <v>0.25</v>
      </c>
      <c r="N38" s="2409"/>
      <c r="O38" s="2409"/>
      <c r="P38" s="2409"/>
      <c r="Q38" s="2409"/>
      <c r="R38" s="2409"/>
      <c r="S38" s="2409"/>
      <c r="T38" s="2409"/>
      <c r="U38" s="2409"/>
      <c r="V38" s="2409"/>
      <c r="W38" s="2409"/>
      <c r="X38" s="2409"/>
      <c r="Y38" s="2409"/>
      <c r="Z38" s="2410"/>
    </row>
    <row r="39" spans="1:37" ht="13.5" thickBot="1">
      <c r="A39" s="1752"/>
      <c r="B39" s="1767" t="s">
        <v>1525</v>
      </c>
      <c r="C39" s="566">
        <f>ROUND(C5*C19*C20*C24*F39,0)</f>
        <v>3874</v>
      </c>
      <c r="D39" s="1772"/>
      <c r="E39" s="566">
        <f t="shared" si="7"/>
        <v>0</v>
      </c>
      <c r="F39" s="1768">
        <f>SUMIF(修正!A45:A56,G2,修正!H45:H56)</f>
        <v>0.2</v>
      </c>
      <c r="G39" s="566">
        <f t="shared" si="6"/>
        <v>969</v>
      </c>
      <c r="H39" s="566">
        <f t="shared" si="8"/>
        <v>0</v>
      </c>
      <c r="I39" s="566">
        <f t="shared" si="9"/>
        <v>0</v>
      </c>
      <c r="J39" s="1769"/>
      <c r="K39" s="2409"/>
      <c r="L39" s="1788" t="s">
        <v>2195</v>
      </c>
      <c r="M39" s="1789">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1" t="s">
        <v>2134</v>
      </c>
      <c r="B45" s="1512"/>
      <c r="C45" s="1168"/>
      <c r="D45" s="300"/>
      <c r="E45" s="300"/>
      <c r="F45" s="298"/>
      <c r="G45" s="1568"/>
      <c r="H45" s="298"/>
      <c r="I45" s="1513"/>
      <c r="J45" s="1513"/>
      <c r="K45" s="1513"/>
      <c r="L45" s="1513"/>
      <c r="M45" s="1513"/>
      <c r="N45" s="1647"/>
      <c r="Z45" s="2410"/>
      <c r="AA45" s="2410"/>
      <c r="AB45" s="2410"/>
      <c r="AC45" s="2410"/>
      <c r="AD45" s="2410"/>
      <c r="AE45" s="2410"/>
      <c r="AF45" s="2410"/>
      <c r="AG45" s="2410"/>
      <c r="AH45" s="2410"/>
      <c r="AI45" s="2410"/>
      <c r="AJ45" s="2410"/>
    </row>
    <row r="46" spans="1:37" s="2409" customFormat="1" ht="15">
      <c r="A46" s="1514" t="s">
        <v>1</v>
      </c>
      <c r="B46" s="1515">
        <f>1+E48</f>
        <v>1.0105</v>
      </c>
      <c r="C46" s="1516"/>
      <c r="D46" s="1517"/>
      <c r="E46" s="1518"/>
      <c r="F46" s="2159"/>
      <c r="G46" s="298"/>
      <c r="H46" s="1513"/>
      <c r="I46" s="1513"/>
      <c r="J46" s="1513"/>
      <c r="K46" s="1513"/>
      <c r="L46" s="1513"/>
      <c r="M46" s="1513"/>
      <c r="N46" s="1647"/>
      <c r="Z46" s="2410"/>
      <c r="AA46" s="2410"/>
      <c r="AB46" s="2410"/>
      <c r="AC46" s="2410"/>
      <c r="AD46" s="2410"/>
      <c r="AE46" s="2410"/>
      <c r="AF46" s="2410"/>
      <c r="AG46" s="2410"/>
      <c r="AH46" s="2410"/>
      <c r="AI46" s="2410"/>
      <c r="AJ46" s="2410"/>
    </row>
    <row r="47" spans="1:37" s="2409" customFormat="1" ht="24">
      <c r="A47" s="1520" t="s">
        <v>2135</v>
      </c>
      <c r="B47" s="1521" t="s">
        <v>2136</v>
      </c>
      <c r="C47" s="1522" t="s">
        <v>2137</v>
      </c>
      <c r="D47" s="1523" t="s">
        <v>2210</v>
      </c>
      <c r="E47" s="1524" t="s">
        <v>2212</v>
      </c>
      <c r="F47" s="2639" t="s">
        <v>2891</v>
      </c>
      <c r="G47" s="1523" t="s">
        <v>2208</v>
      </c>
      <c r="H47" s="2640" t="s">
        <v>2892</v>
      </c>
      <c r="I47" s="1523" t="s">
        <v>2211</v>
      </c>
      <c r="J47" s="951" t="s">
        <v>604</v>
      </c>
      <c r="K47" s="951" t="s">
        <v>605</v>
      </c>
      <c r="L47" s="951" t="s">
        <v>606</v>
      </c>
      <c r="M47" s="951" t="s">
        <v>607</v>
      </c>
      <c r="N47" s="951" t="s">
        <v>608</v>
      </c>
      <c r="AA47" s="2410"/>
      <c r="AB47" s="2410"/>
      <c r="AC47" s="2410"/>
      <c r="AD47" s="2410"/>
      <c r="AE47" s="2410"/>
      <c r="AF47" s="2410"/>
      <c r="AG47" s="2410"/>
      <c r="AH47" s="2410"/>
      <c r="AI47" s="2410"/>
      <c r="AJ47" s="2410"/>
      <c r="AK47" s="2410"/>
    </row>
    <row r="48" spans="1:37" s="2409" customFormat="1" ht="36">
      <c r="A48" s="1520" t="s">
        <v>2138</v>
      </c>
      <c r="B48" s="1525" t="str">
        <f>估价对象房地状况!C4</f>
        <v>估价对象位于XX商圈，周边商业氛围成熟，人流量大，商业繁华度好</v>
      </c>
      <c r="C48" s="1510" t="s">
        <v>124</v>
      </c>
      <c r="D48" s="2638">
        <f t="shared" ref="D48:D56" si="10">SUMIF($J$47:$N$47,C48,J48:N48)</f>
        <v>0</v>
      </c>
      <c r="E48" s="1527">
        <f>ROUND(SUM(D48:D56),4)</f>
        <v>1.0500000000000001E-2</v>
      </c>
      <c r="F48" s="1528">
        <f>IF(E2="商业",SUMIF(L1:L12,G2,N1:N12),"——")</f>
        <v>7.5999999999999998E-2</v>
      </c>
      <c r="G48" s="2636">
        <v>0.01</v>
      </c>
      <c r="H48" s="2654">
        <f t="shared" ref="H48:H56" si="11">IFERROR(ROUNDDOWN($F$48*I48/2,4),"——")</f>
        <v>1.2500000000000001E-2</v>
      </c>
      <c r="I48" s="1526">
        <v>0.33</v>
      </c>
      <c r="J48" s="2637">
        <f t="shared" ref="J48:J56" si="12">K48+$G48</f>
        <v>0.02</v>
      </c>
      <c r="K48" s="2637">
        <f t="shared" ref="K48:K56" si="13">$L48+$G48</f>
        <v>0.01</v>
      </c>
      <c r="L48" s="2637">
        <v>0</v>
      </c>
      <c r="M48" s="2637">
        <f t="shared" ref="M48:N56" si="14">L48-$G48</f>
        <v>-0.01</v>
      </c>
      <c r="N48" s="2637">
        <f t="shared" si="14"/>
        <v>-0.02</v>
      </c>
      <c r="AA48" s="2410"/>
      <c r="AB48" s="2410"/>
      <c r="AC48" s="2410"/>
      <c r="AD48" s="2410"/>
      <c r="AE48" s="2410"/>
      <c r="AF48" s="2410"/>
      <c r="AG48" s="2410"/>
      <c r="AH48" s="2410"/>
      <c r="AI48" s="2410"/>
      <c r="AJ48" s="2410"/>
      <c r="AK48" s="2410"/>
    </row>
    <row r="49" spans="1:37" s="2409" customFormat="1" ht="48">
      <c r="A49" s="1520" t="s">
        <v>97</v>
      </c>
      <c r="B49" s="1529" t="str">
        <f>估价对象房地状况!C18</f>
        <v>估价对象周边道路状况、公共交通通达情况、停车便捷程度，综合评价交通便捷度较好</v>
      </c>
      <c r="C49" s="1510" t="s">
        <v>124</v>
      </c>
      <c r="D49" s="2638">
        <f t="shared" si="10"/>
        <v>0</v>
      </c>
      <c r="E49" s="1530"/>
      <c r="F49" s="1528"/>
      <c r="G49" s="2636">
        <v>8.0000000000000002E-3</v>
      </c>
      <c r="H49" s="2654">
        <f t="shared" si="11"/>
        <v>9.4999999999999998E-3</v>
      </c>
      <c r="I49" s="1526">
        <v>0.25</v>
      </c>
      <c r="J49" s="2637">
        <f t="shared" si="12"/>
        <v>1.6E-2</v>
      </c>
      <c r="K49" s="2637">
        <f t="shared" si="13"/>
        <v>8.0000000000000002E-3</v>
      </c>
      <c r="L49" s="2637">
        <v>0</v>
      </c>
      <c r="M49" s="2637">
        <f t="shared" si="14"/>
        <v>-8.0000000000000002E-3</v>
      </c>
      <c r="N49" s="2637">
        <f t="shared" si="14"/>
        <v>-1.6E-2</v>
      </c>
      <c r="AA49" s="2410"/>
      <c r="AB49" s="2410"/>
      <c r="AC49" s="2410"/>
      <c r="AD49" s="2410"/>
      <c r="AE49" s="2410"/>
      <c r="AF49" s="2410"/>
      <c r="AG49" s="2410"/>
      <c r="AH49" s="2410"/>
      <c r="AI49" s="2410"/>
      <c r="AJ49" s="2410"/>
      <c r="AK49" s="2410"/>
    </row>
    <row r="50" spans="1:37" s="2409" customFormat="1" ht="24">
      <c r="A50" s="1520" t="s">
        <v>128</v>
      </c>
      <c r="B50" s="1529" t="str">
        <f>估价对象房地状况!C19</f>
        <v>零星有其他用地，基本不影响本宗地</v>
      </c>
      <c r="C50" s="1510" t="s">
        <v>123</v>
      </c>
      <c r="D50" s="2638">
        <f t="shared" si="10"/>
        <v>1.5E-3</v>
      </c>
      <c r="E50" s="1530"/>
      <c r="F50" s="1528"/>
      <c r="G50" s="2636">
        <v>1.5E-3</v>
      </c>
      <c r="H50" s="2654">
        <f t="shared" si="11"/>
        <v>1.9E-3</v>
      </c>
      <c r="I50" s="1526">
        <v>0.05</v>
      </c>
      <c r="J50" s="2637">
        <f t="shared" si="12"/>
        <v>3.0000000000000001E-3</v>
      </c>
      <c r="K50" s="2637">
        <f t="shared" si="13"/>
        <v>1.5E-3</v>
      </c>
      <c r="L50" s="2637">
        <v>0</v>
      </c>
      <c r="M50" s="2637">
        <f t="shared" si="14"/>
        <v>-1.5E-3</v>
      </c>
      <c r="N50" s="2637">
        <f t="shared" si="14"/>
        <v>-3.0000000000000001E-3</v>
      </c>
      <c r="AA50" s="2410"/>
      <c r="AB50" s="2410"/>
      <c r="AC50" s="2410"/>
      <c r="AD50" s="2410"/>
      <c r="AE50" s="2410"/>
      <c r="AF50" s="2410"/>
      <c r="AG50" s="2410"/>
      <c r="AH50" s="2410"/>
      <c r="AI50" s="2410"/>
      <c r="AJ50" s="2410"/>
      <c r="AK50" s="2410"/>
    </row>
    <row r="51" spans="1:37" s="2409" customFormat="1" ht="48">
      <c r="A51" s="1520" t="s">
        <v>2139</v>
      </c>
      <c r="B51" s="2630" t="s">
        <v>2888</v>
      </c>
      <c r="C51" s="1510" t="s">
        <v>123</v>
      </c>
      <c r="D51" s="2638">
        <f t="shared" si="10"/>
        <v>1.5E-3</v>
      </c>
      <c r="E51" s="1530"/>
      <c r="F51" s="1528"/>
      <c r="G51" s="2636">
        <v>1.5E-3</v>
      </c>
      <c r="H51" s="2654">
        <f t="shared" si="11"/>
        <v>1.9E-3</v>
      </c>
      <c r="I51" s="1526">
        <v>0.05</v>
      </c>
      <c r="J51" s="2637">
        <f t="shared" si="12"/>
        <v>3.0000000000000001E-3</v>
      </c>
      <c r="K51" s="2637">
        <f t="shared" si="13"/>
        <v>1.5E-3</v>
      </c>
      <c r="L51" s="2637">
        <v>0</v>
      </c>
      <c r="M51" s="2637">
        <f t="shared" si="14"/>
        <v>-1.5E-3</v>
      </c>
      <c r="N51" s="2637">
        <f t="shared" si="14"/>
        <v>-3.0000000000000001E-3</v>
      </c>
      <c r="AA51" s="2410"/>
      <c r="AB51" s="2410"/>
      <c r="AC51" s="2410"/>
      <c r="AD51" s="2410"/>
      <c r="AE51" s="2410"/>
      <c r="AF51" s="2410"/>
      <c r="AG51" s="2410"/>
      <c r="AH51" s="2410"/>
      <c r="AI51" s="2410"/>
      <c r="AJ51" s="2410"/>
      <c r="AK51" s="2410"/>
    </row>
    <row r="52" spans="1:37" s="2409" customFormat="1" ht="24">
      <c r="A52" s="1520" t="s">
        <v>2140</v>
      </c>
      <c r="B52" s="1529" t="str">
        <f>估价对象房地状况!C24</f>
        <v>城市支路——裕民中路</v>
      </c>
      <c r="C52" s="1510" t="s">
        <v>124</v>
      </c>
      <c r="D52" s="2638">
        <f t="shared" si="10"/>
        <v>0</v>
      </c>
      <c r="E52" s="1530"/>
      <c r="F52" s="1528"/>
      <c r="G52" s="2636">
        <v>3.0000000000000001E-3</v>
      </c>
      <c r="H52" s="2654">
        <f t="shared" si="11"/>
        <v>3.0000000000000001E-3</v>
      </c>
      <c r="I52" s="1526">
        <v>0.08</v>
      </c>
      <c r="J52" s="2637">
        <f t="shared" si="12"/>
        <v>6.0000000000000001E-3</v>
      </c>
      <c r="K52" s="2637">
        <f t="shared" si="13"/>
        <v>3.0000000000000001E-3</v>
      </c>
      <c r="L52" s="2637">
        <v>0</v>
      </c>
      <c r="M52" s="2637">
        <f t="shared" si="14"/>
        <v>-3.0000000000000001E-3</v>
      </c>
      <c r="N52" s="2637">
        <f t="shared" si="14"/>
        <v>-6.0000000000000001E-3</v>
      </c>
      <c r="AA52" s="2410"/>
      <c r="AB52" s="2410"/>
      <c r="AC52" s="2410"/>
      <c r="AD52" s="2410"/>
      <c r="AE52" s="2410"/>
      <c r="AF52" s="2410"/>
      <c r="AG52" s="2410"/>
      <c r="AH52" s="2410"/>
      <c r="AI52" s="2410"/>
      <c r="AJ52" s="2410"/>
      <c r="AK52" s="2410"/>
    </row>
    <row r="53" spans="1:37" s="2409" customFormat="1" ht="24">
      <c r="A53" s="1520" t="s">
        <v>2141</v>
      </c>
      <c r="B53" s="2631" t="s">
        <v>2889</v>
      </c>
      <c r="C53" s="1510" t="s">
        <v>123</v>
      </c>
      <c r="D53" s="2638">
        <f t="shared" si="10"/>
        <v>1E-3</v>
      </c>
      <c r="E53" s="1530"/>
      <c r="F53" s="1528"/>
      <c r="G53" s="2636">
        <v>1E-3</v>
      </c>
      <c r="H53" s="2654">
        <f t="shared" si="11"/>
        <v>1.1000000000000001E-3</v>
      </c>
      <c r="I53" s="1526">
        <v>0.03</v>
      </c>
      <c r="J53" s="2637">
        <f t="shared" si="12"/>
        <v>2E-3</v>
      </c>
      <c r="K53" s="2637">
        <f t="shared" si="13"/>
        <v>1E-3</v>
      </c>
      <c r="L53" s="2637">
        <v>0</v>
      </c>
      <c r="M53" s="2637">
        <f t="shared" si="14"/>
        <v>-1E-3</v>
      </c>
      <c r="N53" s="2637">
        <f t="shared" si="14"/>
        <v>-2E-3</v>
      </c>
      <c r="AA53" s="2410"/>
      <c r="AB53" s="2410"/>
      <c r="AC53" s="2410"/>
      <c r="AD53" s="2410"/>
      <c r="AE53" s="2410"/>
      <c r="AF53" s="2410"/>
      <c r="AG53" s="2410"/>
      <c r="AH53" s="2410"/>
      <c r="AI53" s="2410"/>
      <c r="AJ53" s="2410"/>
      <c r="AK53" s="2410"/>
    </row>
    <row r="54" spans="1:37" s="2409" customFormat="1" ht="24">
      <c r="A54" s="1531" t="s">
        <v>2142</v>
      </c>
      <c r="B54" s="2632" t="str">
        <f>估价对象房地状况!C21</f>
        <v>估价对象所在区域公共配套设施齐备情况</v>
      </c>
      <c r="C54" s="1510" t="s">
        <v>123</v>
      </c>
      <c r="D54" s="2638">
        <f t="shared" si="10"/>
        <v>1.5E-3</v>
      </c>
      <c r="E54" s="1530"/>
      <c r="F54" s="1528"/>
      <c r="G54" s="2636">
        <v>1.5E-3</v>
      </c>
      <c r="H54" s="2654">
        <f t="shared" si="11"/>
        <v>1.9E-3</v>
      </c>
      <c r="I54" s="1526">
        <v>0.05</v>
      </c>
      <c r="J54" s="2637">
        <f t="shared" si="12"/>
        <v>3.0000000000000001E-3</v>
      </c>
      <c r="K54" s="2637">
        <f t="shared" si="13"/>
        <v>1.5E-3</v>
      </c>
      <c r="L54" s="2637">
        <v>0</v>
      </c>
      <c r="M54" s="2637">
        <f t="shared" si="14"/>
        <v>-1.5E-3</v>
      </c>
      <c r="N54" s="2637">
        <f t="shared" si="14"/>
        <v>-3.0000000000000001E-3</v>
      </c>
      <c r="AA54" s="2410"/>
      <c r="AB54" s="2410"/>
      <c r="AC54" s="2410"/>
      <c r="AD54" s="2410"/>
      <c r="AE54" s="2410"/>
      <c r="AF54" s="2410"/>
      <c r="AG54" s="2410"/>
      <c r="AH54" s="2410"/>
      <c r="AI54" s="2410"/>
      <c r="AJ54" s="2410"/>
      <c r="AK54" s="2410"/>
    </row>
    <row r="55" spans="1:37" s="2409" customFormat="1" ht="24">
      <c r="A55" s="1531" t="s">
        <v>2143</v>
      </c>
      <c r="B55" s="1529" t="str">
        <f>估价对象房地状况!C22</f>
        <v>估价对象所在区域基础设施水平</v>
      </c>
      <c r="C55" s="1510" t="s">
        <v>123</v>
      </c>
      <c r="D55" s="2638">
        <f t="shared" si="10"/>
        <v>3.0000000000000001E-3</v>
      </c>
      <c r="E55" s="1530"/>
      <c r="F55" s="1528"/>
      <c r="G55" s="2636">
        <v>3.0000000000000001E-3</v>
      </c>
      <c r="H55" s="2654">
        <f t="shared" si="11"/>
        <v>3.8E-3</v>
      </c>
      <c r="I55" s="1526">
        <v>0.1</v>
      </c>
      <c r="J55" s="2637">
        <f t="shared" si="12"/>
        <v>6.0000000000000001E-3</v>
      </c>
      <c r="K55" s="2637">
        <f t="shared" si="13"/>
        <v>3.0000000000000001E-3</v>
      </c>
      <c r="L55" s="2637">
        <v>0</v>
      </c>
      <c r="M55" s="2637">
        <f t="shared" si="14"/>
        <v>-3.0000000000000001E-3</v>
      </c>
      <c r="N55" s="2637">
        <f t="shared" si="14"/>
        <v>-6.0000000000000001E-3</v>
      </c>
      <c r="AA55" s="2410"/>
      <c r="AB55" s="2410"/>
      <c r="AC55" s="2410"/>
      <c r="AD55" s="2410"/>
      <c r="AE55" s="2410"/>
      <c r="AF55" s="2410"/>
      <c r="AG55" s="2410"/>
      <c r="AH55" s="2410"/>
      <c r="AI55" s="2410"/>
      <c r="AJ55" s="2410"/>
      <c r="AK55" s="2410"/>
    </row>
    <row r="56" spans="1:37" s="2409" customFormat="1" ht="36.75" thickBot="1">
      <c r="A56" s="1533" t="s">
        <v>2144</v>
      </c>
      <c r="B56" s="1534" t="str">
        <f>估价对象房地状况!C20</f>
        <v>区域自然环境：；人文环境；综合评价环境状况一般</v>
      </c>
      <c r="C56" s="1510" t="s">
        <v>123</v>
      </c>
      <c r="D56" s="2638">
        <f t="shared" si="10"/>
        <v>2E-3</v>
      </c>
      <c r="E56" s="1536"/>
      <c r="F56" s="1528"/>
      <c r="G56" s="2636">
        <v>2E-3</v>
      </c>
      <c r="H56" s="2654">
        <f t="shared" si="11"/>
        <v>2.2000000000000001E-3</v>
      </c>
      <c r="I56" s="1535">
        <v>0.06</v>
      </c>
      <c r="J56" s="2637">
        <f t="shared" si="12"/>
        <v>4.0000000000000001E-3</v>
      </c>
      <c r="K56" s="2637">
        <f t="shared" si="13"/>
        <v>2E-3</v>
      </c>
      <c r="L56" s="2637">
        <v>0</v>
      </c>
      <c r="M56" s="2637">
        <f t="shared" si="14"/>
        <v>-2E-3</v>
      </c>
      <c r="N56" s="2637">
        <f t="shared" si="14"/>
        <v>-4.0000000000000001E-3</v>
      </c>
      <c r="AA56" s="2410"/>
      <c r="AB56" s="2410"/>
      <c r="AC56" s="2410"/>
      <c r="AD56" s="2410"/>
      <c r="AE56" s="2410"/>
      <c r="AF56" s="2410"/>
      <c r="AG56" s="2410"/>
      <c r="AH56" s="2410"/>
      <c r="AI56" s="2410"/>
      <c r="AJ56" s="2410"/>
      <c r="AK56" s="2410"/>
    </row>
    <row r="57" spans="1:37" s="2409" customFormat="1" ht="15" hidden="1">
      <c r="A57" s="1514" t="s">
        <v>1518</v>
      </c>
      <c r="B57" s="1515">
        <f>1+E59</f>
        <v>1</v>
      </c>
      <c r="C57" s="1537"/>
      <c r="D57" s="1517"/>
      <c r="E57" s="1518"/>
      <c r="F57" s="2159"/>
      <c r="G57" s="298"/>
      <c r="H57" s="298"/>
      <c r="I57" s="298"/>
      <c r="J57" s="1513"/>
      <c r="K57" s="1513"/>
      <c r="L57" s="1513"/>
      <c r="M57" s="1513"/>
      <c r="N57" s="1513"/>
      <c r="AA57" s="2410"/>
      <c r="AB57" s="2410"/>
      <c r="AC57" s="2410"/>
      <c r="AD57" s="2410"/>
      <c r="AE57" s="2410"/>
      <c r="AF57" s="2410"/>
      <c r="AG57" s="2410"/>
      <c r="AH57" s="2410"/>
      <c r="AI57" s="2410"/>
      <c r="AJ57" s="2410"/>
      <c r="AK57" s="2410"/>
    </row>
    <row r="58" spans="1:37" s="2409" customFormat="1" ht="24" hidden="1">
      <c r="A58" s="1520" t="s">
        <v>2135</v>
      </c>
      <c r="B58" s="1521"/>
      <c r="C58" s="1522" t="s">
        <v>2137</v>
      </c>
      <c r="D58" s="1523" t="s">
        <v>2210</v>
      </c>
      <c r="E58" s="1524" t="s">
        <v>2212</v>
      </c>
      <c r="F58" s="2639" t="s">
        <v>2666</v>
      </c>
      <c r="G58" s="1523" t="s">
        <v>2208</v>
      </c>
      <c r="H58" s="2640" t="s">
        <v>2892</v>
      </c>
      <c r="I58" s="1523" t="s">
        <v>2211</v>
      </c>
      <c r="J58" s="951" t="s">
        <v>604</v>
      </c>
      <c r="K58" s="951" t="s">
        <v>605</v>
      </c>
      <c r="L58" s="951" t="s">
        <v>606</v>
      </c>
      <c r="M58" s="951" t="s">
        <v>607</v>
      </c>
      <c r="N58" s="951" t="s">
        <v>608</v>
      </c>
      <c r="AA58" s="2410"/>
      <c r="AB58" s="2410"/>
      <c r="AC58" s="2410"/>
      <c r="AD58" s="2410"/>
      <c r="AE58" s="2410"/>
      <c r="AF58" s="2410"/>
      <c r="AG58" s="2410"/>
      <c r="AH58" s="2410"/>
      <c r="AI58" s="2410"/>
      <c r="AJ58" s="2410"/>
      <c r="AK58" s="2410"/>
    </row>
    <row r="59" spans="1:37" s="2409" customFormat="1" ht="36" hidden="1">
      <c r="A59" s="1520" t="s">
        <v>1392</v>
      </c>
      <c r="B59" s="1525" t="str">
        <f>估价对象房地状况!C17</f>
        <v>估价对象位于XX商圈，周边办公楼项目较多，入驻率高，办公集聚程度较好</v>
      </c>
      <c r="C59" s="1510" t="s">
        <v>124</v>
      </c>
      <c r="D59" s="2638">
        <f t="shared" ref="D59:D67" si="15">SUMIF($J$58:$N$58,C59,J59:N59)</f>
        <v>0</v>
      </c>
      <c r="E59" s="1527">
        <f>ROUND(SUM(D59:D67),4)</f>
        <v>0</v>
      </c>
      <c r="F59" s="1528" t="str">
        <f>IF(E2="办公",SUMIF(L1:L12,G2,N1:N12),"——")</f>
        <v>——</v>
      </c>
      <c r="G59" s="2636"/>
      <c r="H59" s="2654" t="str">
        <f t="shared" ref="H59:H67" si="16">IFERROR(ROUNDDOWN($F$59*I59/2,4),"——")</f>
        <v>——</v>
      </c>
      <c r="I59" s="1526">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hidden="1">
      <c r="A60" s="1520" t="s">
        <v>97</v>
      </c>
      <c r="B60" s="1529" t="str">
        <f>估价对象房地状况!C18</f>
        <v>估价对象周边道路状况、公共交通通达情况、停车便捷程度，综合评价交通便捷度较好</v>
      </c>
      <c r="C60" s="1510" t="s">
        <v>124</v>
      </c>
      <c r="D60" s="2638">
        <f t="shared" si="15"/>
        <v>0</v>
      </c>
      <c r="E60" s="1530"/>
      <c r="F60" s="1528"/>
      <c r="G60" s="2636"/>
      <c r="H60" s="2654" t="str">
        <f t="shared" si="16"/>
        <v>——</v>
      </c>
      <c r="I60" s="1526">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hidden="1">
      <c r="A61" s="1520" t="s">
        <v>128</v>
      </c>
      <c r="B61" s="1529" t="str">
        <f>估价对象房地状况!C19</f>
        <v>零星有其他用地，基本不影响本宗地</v>
      </c>
      <c r="C61" s="1510" t="s">
        <v>124</v>
      </c>
      <c r="D61" s="2638">
        <f t="shared" si="15"/>
        <v>0</v>
      </c>
      <c r="E61" s="1530"/>
      <c r="F61" s="1528"/>
      <c r="G61" s="2636"/>
      <c r="H61" s="2654" t="str">
        <f t="shared" si="16"/>
        <v>——</v>
      </c>
      <c r="I61" s="1526">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hidden="1">
      <c r="A62" s="1520" t="s">
        <v>2139</v>
      </c>
      <c r="B62" s="2630" t="s">
        <v>2888</v>
      </c>
      <c r="C62" s="1510" t="s">
        <v>124</v>
      </c>
      <c r="D62" s="2638">
        <f t="shared" si="15"/>
        <v>0</v>
      </c>
      <c r="E62" s="1530"/>
      <c r="F62" s="1528"/>
      <c r="G62" s="2636"/>
      <c r="H62" s="2654" t="str">
        <f t="shared" si="16"/>
        <v>——</v>
      </c>
      <c r="I62" s="1526">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hidden="1">
      <c r="A63" s="1520" t="s">
        <v>2140</v>
      </c>
      <c r="B63" s="1529" t="str">
        <f>估价对象房地状况!C24</f>
        <v>城市支路——裕民中路</v>
      </c>
      <c r="C63" s="1510" t="s">
        <v>124</v>
      </c>
      <c r="D63" s="2638">
        <f t="shared" si="15"/>
        <v>0</v>
      </c>
      <c r="E63" s="1530"/>
      <c r="F63" s="1528"/>
      <c r="G63" s="2636"/>
      <c r="H63" s="2654" t="str">
        <f t="shared" si="16"/>
        <v>——</v>
      </c>
      <c r="I63" s="1526">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hidden="1">
      <c r="A64" s="1520" t="s">
        <v>2141</v>
      </c>
      <c r="B64" s="2631" t="s">
        <v>2889</v>
      </c>
      <c r="C64" s="1510" t="s">
        <v>124</v>
      </c>
      <c r="D64" s="2638">
        <f t="shared" si="15"/>
        <v>0</v>
      </c>
      <c r="E64" s="1530"/>
      <c r="F64" s="1528"/>
      <c r="G64" s="2636"/>
      <c r="H64" s="2654" t="str">
        <f t="shared" si="16"/>
        <v>——</v>
      </c>
      <c r="I64" s="1526">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hidden="1">
      <c r="A65" s="1520" t="s">
        <v>2142</v>
      </c>
      <c r="B65" s="2632" t="str">
        <f>估价对象房地状况!C21</f>
        <v>估价对象所在区域公共配套设施齐备情况</v>
      </c>
      <c r="C65" s="1510" t="s">
        <v>124</v>
      </c>
      <c r="D65" s="2638">
        <f t="shared" si="15"/>
        <v>0</v>
      </c>
      <c r="E65" s="1530"/>
      <c r="F65" s="1528"/>
      <c r="G65" s="2636"/>
      <c r="H65" s="2654" t="str">
        <f t="shared" si="16"/>
        <v>——</v>
      </c>
      <c r="I65" s="1526">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hidden="1">
      <c r="A66" s="1520" t="s">
        <v>2143</v>
      </c>
      <c r="B66" s="2632" t="str">
        <f>估价对象房地状况!C22</f>
        <v>估价对象所在区域基础设施水平</v>
      </c>
      <c r="C66" s="1510" t="s">
        <v>124</v>
      </c>
      <c r="D66" s="2638">
        <f t="shared" si="15"/>
        <v>0</v>
      </c>
      <c r="E66" s="1530"/>
      <c r="F66" s="1528"/>
      <c r="G66" s="2636"/>
      <c r="H66" s="2654" t="str">
        <f t="shared" si="16"/>
        <v>——</v>
      </c>
      <c r="I66" s="1526">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hidden="1" thickBot="1">
      <c r="A67" s="1533" t="s">
        <v>2144</v>
      </c>
      <c r="B67" s="1538" t="str">
        <f>估价对象房地状况!C20</f>
        <v>区域自然环境：；人文环境；综合评价环境状况一般</v>
      </c>
      <c r="C67" s="1510" t="s">
        <v>124</v>
      </c>
      <c r="D67" s="2638">
        <f t="shared" si="15"/>
        <v>0</v>
      </c>
      <c r="E67" s="1536"/>
      <c r="F67" s="1528"/>
      <c r="G67" s="2636"/>
      <c r="H67" s="2654" t="str">
        <f t="shared" si="16"/>
        <v>——</v>
      </c>
      <c r="I67" s="1535">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hidden="1">
      <c r="A68" s="1514" t="s">
        <v>1221</v>
      </c>
      <c r="B68" s="1515">
        <f>1+E70</f>
        <v>1</v>
      </c>
      <c r="C68" s="1537"/>
      <c r="D68" s="1517"/>
      <c r="E68" s="1518"/>
      <c r="F68" s="2159"/>
      <c r="G68" s="298"/>
      <c r="H68" s="298"/>
      <c r="I68" s="298"/>
      <c r="J68" s="1513"/>
      <c r="K68" s="1513"/>
      <c r="L68" s="1513"/>
      <c r="M68" s="1513"/>
      <c r="N68" s="1513"/>
      <c r="AA68" s="2410"/>
      <c r="AB68" s="2410"/>
      <c r="AC68" s="2410"/>
      <c r="AD68" s="2410"/>
      <c r="AE68" s="2410"/>
      <c r="AF68" s="2410"/>
      <c r="AG68" s="2410"/>
      <c r="AH68" s="2410"/>
      <c r="AI68" s="2410"/>
      <c r="AJ68" s="2410"/>
      <c r="AK68" s="2410"/>
    </row>
    <row r="69" spans="1:37" s="2409" customFormat="1" ht="24" hidden="1">
      <c r="A69" s="1520" t="s">
        <v>2135</v>
      </c>
      <c r="B69" s="1521"/>
      <c r="C69" s="1522" t="s">
        <v>2137</v>
      </c>
      <c r="D69" s="1523" t="s">
        <v>2210</v>
      </c>
      <c r="E69" s="1524" t="s">
        <v>2212</v>
      </c>
      <c r="F69" s="2639" t="s">
        <v>2666</v>
      </c>
      <c r="G69" s="1523" t="s">
        <v>2208</v>
      </c>
      <c r="H69" s="2640" t="s">
        <v>2892</v>
      </c>
      <c r="I69" s="1523" t="s">
        <v>2211</v>
      </c>
      <c r="J69" s="951" t="s">
        <v>604</v>
      </c>
      <c r="K69" s="951" t="s">
        <v>605</v>
      </c>
      <c r="L69" s="951" t="s">
        <v>606</v>
      </c>
      <c r="M69" s="951" t="s">
        <v>607</v>
      </c>
      <c r="N69" s="951" t="s">
        <v>608</v>
      </c>
      <c r="AA69" s="2410"/>
      <c r="AB69" s="2410"/>
      <c r="AC69" s="2410"/>
      <c r="AD69" s="2410"/>
      <c r="AE69" s="2410"/>
      <c r="AF69" s="2410"/>
      <c r="AG69" s="2410"/>
      <c r="AH69" s="2410"/>
      <c r="AI69" s="2410"/>
      <c r="AJ69" s="2410"/>
      <c r="AK69" s="2410"/>
    </row>
    <row r="70" spans="1:37" s="2409" customFormat="1" ht="48" hidden="1">
      <c r="A70" s="1520" t="s">
        <v>138</v>
      </c>
      <c r="B70" s="1525" t="str">
        <f>估价对象房地状况!C15</f>
        <v>估价对象周边居住用地比例、居住小区规模和社区发展完善程度，综合评价居住社区成熟度一般</v>
      </c>
      <c r="C70" s="1510" t="s">
        <v>122</v>
      </c>
      <c r="D70" s="2638">
        <f t="shared" ref="D70:D78" si="20">SUMIF($J$69:$N$69,C70,J70:N70)</f>
        <v>0</v>
      </c>
      <c r="E70" s="1527">
        <f>ROUND(SUM(D70:D78),4)</f>
        <v>0</v>
      </c>
      <c r="F70" s="1528" t="str">
        <f>IF(E2="住宅",SUMIF(L1:L12,G2,N1:N12),"——")</f>
        <v>——</v>
      </c>
      <c r="G70" s="2636"/>
      <c r="H70" s="2654" t="str">
        <f t="shared" ref="H70:H78" si="21">IFERROR(ROUNDDOWN($F$70*I70/2,4),"——")</f>
        <v>——</v>
      </c>
      <c r="I70" s="1526">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hidden="1">
      <c r="A71" s="1520" t="s">
        <v>97</v>
      </c>
      <c r="B71" s="1529" t="str">
        <f>估价对象房地状况!C18</f>
        <v>估价对象周边道路状况、公共交通通达情况、停车便捷程度，综合评价交通便捷度较好</v>
      </c>
      <c r="C71" s="1510" t="s">
        <v>122</v>
      </c>
      <c r="D71" s="2638">
        <f t="shared" si="20"/>
        <v>0</v>
      </c>
      <c r="E71" s="1539"/>
      <c r="F71" s="1528"/>
      <c r="G71" s="2636"/>
      <c r="H71" s="2654" t="str">
        <f t="shared" si="21"/>
        <v>——</v>
      </c>
      <c r="I71" s="1526">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hidden="1">
      <c r="A72" s="1520" t="s">
        <v>128</v>
      </c>
      <c r="B72" s="1529" t="str">
        <f>估价对象房地状况!C19</f>
        <v>零星有其他用地，基本不影响本宗地</v>
      </c>
      <c r="C72" s="1510" t="s">
        <v>122</v>
      </c>
      <c r="D72" s="2638">
        <f t="shared" si="20"/>
        <v>0</v>
      </c>
      <c r="E72" s="1539"/>
      <c r="F72" s="1528"/>
      <c r="G72" s="2636"/>
      <c r="H72" s="2654" t="str">
        <f t="shared" si="21"/>
        <v>——</v>
      </c>
      <c r="I72" s="1526">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hidden="1">
      <c r="A73" s="1520" t="s">
        <v>2145</v>
      </c>
      <c r="B73" s="1529" t="str">
        <f>估价对象房地状况!C24</f>
        <v>城市支路——裕民中路</v>
      </c>
      <c r="C73" s="1510" t="s">
        <v>122</v>
      </c>
      <c r="D73" s="2638">
        <f t="shared" si="20"/>
        <v>0</v>
      </c>
      <c r="E73" s="1539"/>
      <c r="F73" s="1528"/>
      <c r="G73" s="2636"/>
      <c r="H73" s="2654" t="str">
        <f t="shared" si="21"/>
        <v>——</v>
      </c>
      <c r="I73" s="1526">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hidden="1">
      <c r="A74" s="1520" t="s">
        <v>2142</v>
      </c>
      <c r="B74" s="2632" t="str">
        <f>估价对象房地状况!C21</f>
        <v>估价对象所在区域公共配套设施齐备情况</v>
      </c>
      <c r="C74" s="1510" t="s">
        <v>122</v>
      </c>
      <c r="D74" s="2638">
        <f t="shared" si="20"/>
        <v>0</v>
      </c>
      <c r="E74" s="1539"/>
      <c r="F74" s="1528"/>
      <c r="G74" s="2636"/>
      <c r="H74" s="2654" t="str">
        <f t="shared" si="21"/>
        <v>——</v>
      </c>
      <c r="I74" s="1526">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hidden="1">
      <c r="A75" s="1520" t="s">
        <v>2143</v>
      </c>
      <c r="B75" s="2632" t="str">
        <f>估价对象房地状况!C22</f>
        <v>估价对象所在区域基础设施水平</v>
      </c>
      <c r="C75" s="1510" t="s">
        <v>122</v>
      </c>
      <c r="D75" s="2638">
        <f t="shared" si="20"/>
        <v>0</v>
      </c>
      <c r="E75" s="1539"/>
      <c r="F75" s="1528"/>
      <c r="G75" s="2636"/>
      <c r="H75" s="2654" t="str">
        <f t="shared" si="21"/>
        <v>——</v>
      </c>
      <c r="I75" s="1526">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hidden="1">
      <c r="A76" s="1520" t="s">
        <v>2141</v>
      </c>
      <c r="B76" s="2631" t="s">
        <v>2889</v>
      </c>
      <c r="C76" s="1510" t="s">
        <v>122</v>
      </c>
      <c r="D76" s="2638">
        <f t="shared" si="20"/>
        <v>0</v>
      </c>
      <c r="E76" s="1539"/>
      <c r="F76" s="1528"/>
      <c r="G76" s="2636"/>
      <c r="H76" s="2654" t="str">
        <f t="shared" si="21"/>
        <v>——</v>
      </c>
      <c r="I76" s="1526">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hidden="1">
      <c r="A77" s="1520" t="s">
        <v>2144</v>
      </c>
      <c r="B77" s="1525" t="str">
        <f>估价对象房地状况!C20</f>
        <v>区域自然环境：；人文环境；综合评价环境状况一般</v>
      </c>
      <c r="C77" s="1510" t="s">
        <v>122</v>
      </c>
      <c r="D77" s="2638">
        <f t="shared" si="20"/>
        <v>0</v>
      </c>
      <c r="E77" s="1539"/>
      <c r="F77" s="1528"/>
      <c r="G77" s="2636"/>
      <c r="H77" s="2654" t="str">
        <f t="shared" si="21"/>
        <v>——</v>
      </c>
      <c r="I77" s="1526">
        <v>0.15</v>
      </c>
      <c r="J77" s="2637">
        <f t="shared" si="22"/>
        <v>0</v>
      </c>
      <c r="K77" s="2637">
        <f t="shared" si="23"/>
        <v>0</v>
      </c>
      <c r="L77" s="2637">
        <v>0</v>
      </c>
      <c r="M77" s="2637">
        <f t="shared" si="24"/>
        <v>0</v>
      </c>
      <c r="N77" s="2637">
        <f t="shared" si="24"/>
        <v>0</v>
      </c>
      <c r="Z77" s="1650"/>
      <c r="AA77" s="1649"/>
      <c r="AG77" s="1648"/>
      <c r="AK77" s="1649"/>
    </row>
    <row r="78" spans="1:37" ht="24.75" hidden="1" thickBot="1">
      <c r="A78" s="1533" t="s">
        <v>2146</v>
      </c>
      <c r="B78" s="2634" t="s">
        <v>2890</v>
      </c>
      <c r="C78" s="1510" t="s">
        <v>122</v>
      </c>
      <c r="D78" s="2638">
        <f t="shared" si="20"/>
        <v>0</v>
      </c>
      <c r="E78" s="1540"/>
      <c r="F78" s="1528"/>
      <c r="G78" s="2636"/>
      <c r="H78" s="2654" t="str">
        <f t="shared" si="21"/>
        <v>——</v>
      </c>
      <c r="I78" s="1535">
        <v>0.04</v>
      </c>
      <c r="J78" s="2637">
        <f t="shared" si="22"/>
        <v>0</v>
      </c>
      <c r="K78" s="2637">
        <f t="shared" si="23"/>
        <v>0</v>
      </c>
      <c r="L78" s="2637">
        <v>0</v>
      </c>
      <c r="M78" s="2637">
        <f t="shared" si="24"/>
        <v>0</v>
      </c>
      <c r="N78" s="2637">
        <f t="shared" si="24"/>
        <v>0</v>
      </c>
      <c r="Z78" s="1650"/>
      <c r="AA78" s="1649"/>
      <c r="AG78" s="1648"/>
      <c r="AK78" s="1649"/>
    </row>
    <row r="79" spans="1:37" ht="15" hidden="1">
      <c r="A79" s="1514" t="s">
        <v>1428</v>
      </c>
      <c r="B79" s="1515">
        <f>1+E81</f>
        <v>1</v>
      </c>
      <c r="C79" s="1537"/>
      <c r="D79" s="1517"/>
      <c r="E79" s="1518"/>
      <c r="F79" s="2159"/>
      <c r="G79" s="298"/>
      <c r="H79" s="298"/>
      <c r="I79" s="298"/>
      <c r="J79" s="1513"/>
      <c r="K79" s="1513"/>
      <c r="L79" s="1513"/>
      <c r="M79" s="1513"/>
      <c r="N79" s="1513"/>
      <c r="Z79" s="1650"/>
      <c r="AA79" s="1649"/>
      <c r="AG79" s="1648"/>
      <c r="AK79" s="1649"/>
    </row>
    <row r="80" spans="1:37" ht="24" hidden="1">
      <c r="A80" s="1520" t="s">
        <v>2135</v>
      </c>
      <c r="B80" s="1521"/>
      <c r="C80" s="1522" t="s">
        <v>2137</v>
      </c>
      <c r="D80" s="1523" t="s">
        <v>2210</v>
      </c>
      <c r="E80" s="1524" t="s">
        <v>2212</v>
      </c>
      <c r="F80" s="2639" t="s">
        <v>2666</v>
      </c>
      <c r="G80" s="1523" t="s">
        <v>2208</v>
      </c>
      <c r="H80" s="2640" t="s">
        <v>2892</v>
      </c>
      <c r="I80" s="1523" t="s">
        <v>2211</v>
      </c>
      <c r="J80" s="951" t="s">
        <v>604</v>
      </c>
      <c r="K80" s="951" t="s">
        <v>605</v>
      </c>
      <c r="L80" s="951" t="s">
        <v>606</v>
      </c>
      <c r="M80" s="951" t="s">
        <v>607</v>
      </c>
      <c r="N80" s="951" t="s">
        <v>608</v>
      </c>
      <c r="Z80" s="1650"/>
      <c r="AA80" s="1649"/>
      <c r="AG80" s="1648"/>
      <c r="AK80" s="1649"/>
    </row>
    <row r="81" spans="1:37" ht="36" hidden="1">
      <c r="A81" s="1520" t="s">
        <v>267</v>
      </c>
      <c r="B81" s="1529" t="str">
        <f>估价对象房地状况!G15</f>
        <v>估价对象位于北京经济技术开发区，园区建设成熟，产业集聚程度较好</v>
      </c>
      <c r="C81" s="1510" t="s">
        <v>124</v>
      </c>
      <c r="D81" s="2638">
        <f t="shared" ref="D81:D88" si="25">SUMIF($J$80:$N$80,C81,J81:N81)</f>
        <v>0</v>
      </c>
      <c r="E81" s="1527">
        <f>ROUND(SUM(D81:D88),4)</f>
        <v>0</v>
      </c>
      <c r="F81" s="1528" t="str">
        <f>IF(E2="工业",SUMIF(L1:L12,G2,N1:N12),"——")</f>
        <v>——</v>
      </c>
      <c r="G81" s="2636"/>
      <c r="H81" s="2654" t="str">
        <f t="shared" ref="H81:H88" si="26">IFERROR(ROUNDDOWN($F$81*I81/2,4),"——")</f>
        <v>——</v>
      </c>
      <c r="I81" s="1526">
        <v>0.26</v>
      </c>
      <c r="J81" s="2637">
        <f t="shared" ref="J81:J88" si="27">K81+$G81</f>
        <v>0</v>
      </c>
      <c r="K81" s="2637">
        <f t="shared" ref="K81:K88" si="28">$L81+$G81</f>
        <v>0</v>
      </c>
      <c r="L81" s="2637">
        <v>0</v>
      </c>
      <c r="M81" s="2637">
        <f t="shared" ref="M81:N88" si="29">L81-$G81</f>
        <v>0</v>
      </c>
      <c r="N81" s="2637">
        <f t="shared" si="29"/>
        <v>0</v>
      </c>
      <c r="Z81" s="1650"/>
      <c r="AA81" s="1649"/>
      <c r="AG81" s="1648"/>
      <c r="AK81" s="1649"/>
    </row>
    <row r="82" spans="1:37" ht="48" hidden="1">
      <c r="A82" s="1520" t="s">
        <v>97</v>
      </c>
      <c r="B82" s="1529" t="str">
        <f>估价对象房地状况!G16</f>
        <v>估价对象周边道路状况、公共交通通达情况、停车便捷程度，综合评价交通便捷度较好</v>
      </c>
      <c r="C82" s="1510" t="s">
        <v>124</v>
      </c>
      <c r="D82" s="2638">
        <f t="shared" si="25"/>
        <v>0</v>
      </c>
      <c r="E82" s="1539"/>
      <c r="F82" s="1528"/>
      <c r="G82" s="2636"/>
      <c r="H82" s="2654" t="str">
        <f t="shared" si="26"/>
        <v>——</v>
      </c>
      <c r="I82" s="1526">
        <v>0.33</v>
      </c>
      <c r="J82" s="2637">
        <f t="shared" si="27"/>
        <v>0</v>
      </c>
      <c r="K82" s="2637">
        <f t="shared" si="28"/>
        <v>0</v>
      </c>
      <c r="L82" s="2637">
        <v>0</v>
      </c>
      <c r="M82" s="2637">
        <f t="shared" si="29"/>
        <v>0</v>
      </c>
      <c r="N82" s="2637">
        <f t="shared" si="29"/>
        <v>0</v>
      </c>
      <c r="Z82" s="1650"/>
      <c r="AA82" s="1649"/>
      <c r="AG82" s="1648"/>
      <c r="AK82" s="1649"/>
    </row>
    <row r="83" spans="1:37" ht="24" hidden="1">
      <c r="A83" s="1520" t="s">
        <v>128</v>
      </c>
      <c r="B83" s="1529" t="str">
        <f>估价对象房地状况!G17</f>
        <v>零星有其他用地，基本不影响本宗地</v>
      </c>
      <c r="C83" s="1510" t="s">
        <v>124</v>
      </c>
      <c r="D83" s="2638">
        <f t="shared" si="25"/>
        <v>0</v>
      </c>
      <c r="E83" s="1539"/>
      <c r="F83" s="1528"/>
      <c r="G83" s="2636"/>
      <c r="H83" s="2654" t="str">
        <f t="shared" si="26"/>
        <v>——</v>
      </c>
      <c r="I83" s="1526">
        <v>0.05</v>
      </c>
      <c r="J83" s="2637">
        <f t="shared" si="27"/>
        <v>0</v>
      </c>
      <c r="K83" s="2637">
        <f t="shared" si="28"/>
        <v>0</v>
      </c>
      <c r="L83" s="2637">
        <v>0</v>
      </c>
      <c r="M83" s="2637">
        <f t="shared" si="29"/>
        <v>0</v>
      </c>
      <c r="N83" s="2637">
        <f t="shared" si="29"/>
        <v>0</v>
      </c>
      <c r="Z83" s="1650"/>
      <c r="AA83" s="1649"/>
      <c r="AG83" s="1648"/>
      <c r="AK83" s="1649"/>
    </row>
    <row r="84" spans="1:37" ht="14.25" hidden="1">
      <c r="A84" s="1520" t="s">
        <v>2145</v>
      </c>
      <c r="B84" s="1529" t="str">
        <f>估价对象房地状况!G22</f>
        <v>城市支路——裕民中路</v>
      </c>
      <c r="C84" s="1510" t="s">
        <v>124</v>
      </c>
      <c r="D84" s="2638">
        <f t="shared" si="25"/>
        <v>0</v>
      </c>
      <c r="E84" s="1539"/>
      <c r="F84" s="1528"/>
      <c r="G84" s="2636"/>
      <c r="H84" s="2654" t="str">
        <f t="shared" si="26"/>
        <v>——</v>
      </c>
      <c r="I84" s="1526">
        <v>0.04</v>
      </c>
      <c r="J84" s="2637">
        <f t="shared" si="27"/>
        <v>0</v>
      </c>
      <c r="K84" s="2637">
        <f t="shared" si="28"/>
        <v>0</v>
      </c>
      <c r="L84" s="2637">
        <v>0</v>
      </c>
      <c r="M84" s="2637">
        <f t="shared" si="29"/>
        <v>0</v>
      </c>
      <c r="N84" s="2637">
        <f t="shared" si="29"/>
        <v>0</v>
      </c>
      <c r="Z84" s="1650"/>
      <c r="AA84" s="1649"/>
      <c r="AG84" s="1648"/>
      <c r="AK84" s="1649"/>
    </row>
    <row r="85" spans="1:37" ht="24" hidden="1">
      <c r="A85" s="1520" t="s">
        <v>2142</v>
      </c>
      <c r="B85" s="2632" t="str">
        <f>估价对象房地状况!G19</f>
        <v>估价对象所在区域公共配套设施齐备情况</v>
      </c>
      <c r="C85" s="1510" t="s">
        <v>124</v>
      </c>
      <c r="D85" s="2638">
        <f t="shared" si="25"/>
        <v>0</v>
      </c>
      <c r="E85" s="1539"/>
      <c r="F85" s="1528"/>
      <c r="G85" s="2636"/>
      <c r="H85" s="2654" t="str">
        <f t="shared" si="26"/>
        <v>——</v>
      </c>
      <c r="I85" s="1526">
        <v>0.06</v>
      </c>
      <c r="J85" s="2637">
        <f t="shared" si="27"/>
        <v>0</v>
      </c>
      <c r="K85" s="2637">
        <f t="shared" si="28"/>
        <v>0</v>
      </c>
      <c r="L85" s="2637">
        <v>0</v>
      </c>
      <c r="M85" s="2637">
        <f t="shared" si="29"/>
        <v>0</v>
      </c>
      <c r="N85" s="2637">
        <f t="shared" si="29"/>
        <v>0</v>
      </c>
      <c r="Z85" s="1650"/>
      <c r="AA85" s="1649"/>
      <c r="AG85" s="1648"/>
      <c r="AK85" s="1649"/>
    </row>
    <row r="86" spans="1:37" ht="24" hidden="1">
      <c r="A86" s="1520" t="s">
        <v>2143</v>
      </c>
      <c r="B86" s="2632" t="str">
        <f>估价对象房地状况!G20</f>
        <v>估价对象所在区域基础设施水平</v>
      </c>
      <c r="C86" s="1510" t="s">
        <v>124</v>
      </c>
      <c r="D86" s="2638">
        <f t="shared" si="25"/>
        <v>0</v>
      </c>
      <c r="E86" s="1539"/>
      <c r="F86" s="1528"/>
      <c r="G86" s="2636"/>
      <c r="H86" s="2654" t="str">
        <f t="shared" si="26"/>
        <v>——</v>
      </c>
      <c r="I86" s="1526">
        <v>0.15</v>
      </c>
      <c r="J86" s="2637">
        <f t="shared" si="27"/>
        <v>0</v>
      </c>
      <c r="K86" s="2637">
        <f t="shared" si="28"/>
        <v>0</v>
      </c>
      <c r="L86" s="2637">
        <v>0</v>
      </c>
      <c r="M86" s="2637">
        <f t="shared" si="29"/>
        <v>0</v>
      </c>
      <c r="N86" s="2637">
        <f t="shared" si="29"/>
        <v>0</v>
      </c>
      <c r="Z86" s="1650"/>
      <c r="AA86" s="1649"/>
      <c r="AG86" s="1648"/>
      <c r="AK86" s="1649"/>
    </row>
    <row r="87" spans="1:37" ht="24" hidden="1">
      <c r="A87" s="1520" t="s">
        <v>2141</v>
      </c>
      <c r="B87" s="2631" t="s">
        <v>2889</v>
      </c>
      <c r="C87" s="1510" t="s">
        <v>124</v>
      </c>
      <c r="D87" s="2638">
        <f t="shared" si="25"/>
        <v>0</v>
      </c>
      <c r="E87" s="1539"/>
      <c r="F87" s="1528"/>
      <c r="G87" s="2636"/>
      <c r="H87" s="2654" t="str">
        <f t="shared" si="26"/>
        <v>——</v>
      </c>
      <c r="I87" s="1526">
        <v>0.05</v>
      </c>
      <c r="J87" s="2637">
        <f t="shared" si="27"/>
        <v>0</v>
      </c>
      <c r="K87" s="2637">
        <f t="shared" si="28"/>
        <v>0</v>
      </c>
      <c r="L87" s="2637">
        <v>0</v>
      </c>
      <c r="M87" s="2637">
        <f t="shared" si="29"/>
        <v>0</v>
      </c>
      <c r="N87" s="2637">
        <f t="shared" si="29"/>
        <v>0</v>
      </c>
      <c r="Z87" s="1650"/>
      <c r="AA87" s="1649"/>
      <c r="AG87" s="1648"/>
      <c r="AK87" s="1649"/>
    </row>
    <row r="88" spans="1:37" ht="36.75" hidden="1" thickBot="1">
      <c r="A88" s="1533" t="s">
        <v>2147</v>
      </c>
      <c r="B88" s="2633" t="str">
        <f>估价对象房地状况!G18</f>
        <v>该园区内无污染型企业，绿化较好，卫生条件良好，整体环境状况较好</v>
      </c>
      <c r="C88" s="1510" t="s">
        <v>124</v>
      </c>
      <c r="D88" s="2638">
        <f t="shared" si="25"/>
        <v>0</v>
      </c>
      <c r="E88" s="1540"/>
      <c r="F88" s="1528"/>
      <c r="G88" s="2636"/>
      <c r="H88" s="2654" t="str">
        <f t="shared" si="26"/>
        <v>——</v>
      </c>
      <c r="I88" s="1535">
        <v>0.06</v>
      </c>
      <c r="J88" s="2637">
        <f t="shared" si="27"/>
        <v>0</v>
      </c>
      <c r="K88" s="2637">
        <f t="shared" si="28"/>
        <v>0</v>
      </c>
      <c r="L88" s="2637">
        <v>0</v>
      </c>
      <c r="M88" s="2637">
        <f t="shared" si="29"/>
        <v>0</v>
      </c>
      <c r="N88" s="2637">
        <f t="shared" si="29"/>
        <v>0</v>
      </c>
      <c r="Z88" s="1650"/>
      <c r="AA88" s="1649"/>
      <c r="AG88" s="1648"/>
      <c r="AK88" s="1649"/>
    </row>
    <row r="90" spans="1:37">
      <c r="A90" s="3595" t="s">
        <v>2116</v>
      </c>
      <c r="B90" s="3595"/>
      <c r="C90" s="3595"/>
      <c r="D90" s="3595"/>
      <c r="E90" s="3595"/>
      <c r="F90" s="3595"/>
      <c r="G90" s="3595"/>
      <c r="H90" s="3595"/>
      <c r="I90" s="3595"/>
      <c r="J90" s="3595"/>
      <c r="K90" s="2643"/>
      <c r="L90" s="2643"/>
      <c r="M90" s="2643"/>
      <c r="N90" s="2643"/>
    </row>
    <row r="91" spans="1:37">
      <c r="A91" s="3597" t="s">
        <v>73</v>
      </c>
      <c r="B91" s="3597" t="s">
        <v>2117</v>
      </c>
      <c r="C91" s="1609" t="s">
        <v>2118</v>
      </c>
      <c r="D91" s="1610"/>
      <c r="E91" s="1610"/>
      <c r="F91" s="1610"/>
      <c r="G91" s="1610"/>
      <c r="H91" s="1610"/>
      <c r="I91" s="1610"/>
      <c r="J91" s="1611"/>
      <c r="K91" s="1599"/>
      <c r="L91" s="1599"/>
      <c r="M91" s="1599"/>
      <c r="N91" s="1599"/>
    </row>
    <row r="92" spans="1:37">
      <c r="A92" s="3597"/>
      <c r="B92" s="3597"/>
      <c r="C92" s="2642" t="s">
        <v>331</v>
      </c>
      <c r="D92" s="2642" t="s">
        <v>332</v>
      </c>
      <c r="E92" s="2642" t="s">
        <v>327</v>
      </c>
      <c r="F92" s="2642" t="s">
        <v>328</v>
      </c>
      <c r="G92" s="2642" t="s">
        <v>329</v>
      </c>
      <c r="H92" s="2642" t="s">
        <v>330</v>
      </c>
      <c r="I92" s="2642" t="s">
        <v>1533</v>
      </c>
      <c r="J92" s="2642" t="s">
        <v>1534</v>
      </c>
      <c r="K92" s="2642" t="s">
        <v>1535</v>
      </c>
      <c r="L92" s="2642" t="s">
        <v>1536</v>
      </c>
      <c r="M92" s="2642" t="s">
        <v>1537</v>
      </c>
      <c r="N92" s="2642" t="s">
        <v>1538</v>
      </c>
    </row>
    <row r="93" spans="1:37">
      <c r="A93" s="3598" t="s">
        <v>2119</v>
      </c>
      <c r="B93" s="1612">
        <v>1</v>
      </c>
      <c r="C93" s="1613">
        <v>1.9361999999999999</v>
      </c>
      <c r="D93" s="1613">
        <v>1.9361999999999999</v>
      </c>
      <c r="E93" s="1613">
        <v>1.8629</v>
      </c>
      <c r="F93" s="1613">
        <v>1.8629</v>
      </c>
      <c r="G93" s="1613">
        <v>1.8629</v>
      </c>
      <c r="H93" s="1613">
        <v>1.8629</v>
      </c>
      <c r="I93" s="1613">
        <v>1.8629</v>
      </c>
      <c r="J93" s="1613">
        <v>1.9419999999999999</v>
      </c>
      <c r="K93" s="1613">
        <v>1.9419999999999999</v>
      </c>
      <c r="L93" s="1613">
        <v>1.9419999999999999</v>
      </c>
      <c r="M93" s="1613">
        <v>1.9419999999999999</v>
      </c>
      <c r="N93" s="1613">
        <v>1.9419999999999999</v>
      </c>
    </row>
    <row r="94" spans="1:37">
      <c r="A94" s="3599"/>
      <c r="B94" s="1612">
        <v>2</v>
      </c>
      <c r="C94" s="1613">
        <v>1.4198</v>
      </c>
      <c r="D94" s="1613">
        <v>1.4198</v>
      </c>
      <c r="E94" s="1613">
        <v>1.3371999999999999</v>
      </c>
      <c r="F94" s="1613">
        <v>1.3371999999999999</v>
      </c>
      <c r="G94" s="1613">
        <v>1.3371999999999999</v>
      </c>
      <c r="H94" s="1613">
        <v>1.3371999999999999</v>
      </c>
      <c r="I94" s="1613">
        <v>1.3371999999999999</v>
      </c>
      <c r="J94" s="1613">
        <v>1.2799</v>
      </c>
      <c r="K94" s="1613">
        <v>1.2799</v>
      </c>
      <c r="L94" s="1613">
        <v>1.2799</v>
      </c>
      <c r="M94" s="1613">
        <v>1.2799</v>
      </c>
      <c r="N94" s="1613">
        <v>1.2799</v>
      </c>
    </row>
    <row r="95" spans="1:37">
      <c r="A95" s="3599"/>
      <c r="B95" s="1612">
        <v>3</v>
      </c>
      <c r="C95" s="1613">
        <v>1.1594</v>
      </c>
      <c r="D95" s="1613">
        <v>1.1594</v>
      </c>
      <c r="E95" s="1613">
        <v>1.0788</v>
      </c>
      <c r="F95" s="1613">
        <v>1.0788</v>
      </c>
      <c r="G95" s="1613">
        <v>1.0788</v>
      </c>
      <c r="H95" s="1613">
        <v>1.0788</v>
      </c>
      <c r="I95" s="1613">
        <v>1.0788</v>
      </c>
      <c r="J95" s="1613">
        <v>1.0072000000000001</v>
      </c>
      <c r="K95" s="1613">
        <v>1.0072000000000001</v>
      </c>
      <c r="L95" s="1613">
        <v>1.0072000000000001</v>
      </c>
      <c r="M95" s="1613">
        <v>1.0072000000000001</v>
      </c>
      <c r="N95" s="1613">
        <v>1.0072000000000001</v>
      </c>
    </row>
    <row r="96" spans="1:37">
      <c r="A96" s="3599"/>
      <c r="B96" s="1612">
        <v>4</v>
      </c>
      <c r="C96" s="1613">
        <v>0.96220000000000006</v>
      </c>
      <c r="D96" s="1613">
        <v>0.96220000000000006</v>
      </c>
      <c r="E96" s="1613">
        <v>0.86560000000000004</v>
      </c>
      <c r="F96" s="1613">
        <v>0.86560000000000004</v>
      </c>
      <c r="G96" s="1613">
        <v>0.86560000000000004</v>
      </c>
      <c r="H96" s="1613">
        <v>0.86560000000000004</v>
      </c>
      <c r="I96" s="1613">
        <v>0.86560000000000004</v>
      </c>
      <c r="J96" s="1613">
        <v>0.75249999999999995</v>
      </c>
      <c r="K96" s="1613">
        <v>0.75249999999999995</v>
      </c>
      <c r="L96" s="1613">
        <v>0.75249999999999995</v>
      </c>
      <c r="M96" s="1613">
        <v>0.75249999999999995</v>
      </c>
      <c r="N96" s="1613">
        <v>0.75249999999999995</v>
      </c>
    </row>
    <row r="97" spans="1:14">
      <c r="A97" s="3599"/>
      <c r="B97" s="1612">
        <v>5</v>
      </c>
      <c r="C97" s="1613">
        <v>0.8417</v>
      </c>
      <c r="D97" s="1613">
        <v>0.8417</v>
      </c>
      <c r="E97" s="1613">
        <v>0.73709999999999998</v>
      </c>
      <c r="F97" s="1613">
        <v>0.73709999999999998</v>
      </c>
      <c r="G97" s="1613">
        <v>0.73709999999999998</v>
      </c>
      <c r="H97" s="1613">
        <v>0.73709999999999998</v>
      </c>
      <c r="I97" s="1613">
        <v>0.73709999999999998</v>
      </c>
      <c r="J97" s="1613">
        <v>0.56589999999999996</v>
      </c>
      <c r="K97" s="1613">
        <v>0.56589999999999996</v>
      </c>
      <c r="L97" s="1613">
        <v>0.56589999999999996</v>
      </c>
      <c r="M97" s="1613">
        <v>0.56589999999999996</v>
      </c>
      <c r="N97" s="1613">
        <v>0.56589999999999996</v>
      </c>
    </row>
    <row r="98" spans="1:14">
      <c r="A98" s="3599"/>
      <c r="B98" s="1612">
        <v>6</v>
      </c>
      <c r="C98" s="1613">
        <v>0.76080000000000003</v>
      </c>
      <c r="D98" s="1613">
        <v>0.76080000000000003</v>
      </c>
      <c r="E98" s="1613">
        <v>0.6482</v>
      </c>
      <c r="F98" s="1613">
        <v>0.6482</v>
      </c>
      <c r="G98" s="1613">
        <v>0.6482</v>
      </c>
      <c r="H98" s="1613">
        <v>0.6482</v>
      </c>
      <c r="I98" s="1613">
        <v>0.6482</v>
      </c>
      <c r="J98" s="1613">
        <v>0.45250000000000001</v>
      </c>
      <c r="K98" s="1613">
        <v>0.45250000000000001</v>
      </c>
      <c r="L98" s="1613">
        <v>0.45250000000000001</v>
      </c>
      <c r="M98" s="1613">
        <v>0.45250000000000001</v>
      </c>
      <c r="N98" s="1613">
        <v>0.45250000000000001</v>
      </c>
    </row>
    <row r="99" spans="1:14">
      <c r="A99" s="3599"/>
      <c r="B99" s="1612" t="s">
        <v>2120</v>
      </c>
      <c r="C99" s="1614">
        <f>$I$3</f>
        <v>4</v>
      </c>
      <c r="D99" s="1614">
        <f t="shared" ref="D99:M99" si="30">$I$3</f>
        <v>4</v>
      </c>
      <c r="E99" s="1614">
        <f t="shared" si="30"/>
        <v>4</v>
      </c>
      <c r="F99" s="1614">
        <f t="shared" si="30"/>
        <v>4</v>
      </c>
      <c r="G99" s="1614">
        <f t="shared" si="30"/>
        <v>4</v>
      </c>
      <c r="H99" s="1614">
        <f t="shared" si="30"/>
        <v>4</v>
      </c>
      <c r="I99" s="1614">
        <f t="shared" si="30"/>
        <v>4</v>
      </c>
      <c r="J99" s="1614">
        <f t="shared" si="30"/>
        <v>4</v>
      </c>
      <c r="K99" s="1614">
        <f t="shared" si="30"/>
        <v>4</v>
      </c>
      <c r="L99" s="1614">
        <f t="shared" si="30"/>
        <v>4</v>
      </c>
      <c r="M99" s="1614">
        <f t="shared" si="30"/>
        <v>4</v>
      </c>
      <c r="N99" s="1614">
        <f>$I$3</f>
        <v>4</v>
      </c>
    </row>
    <row r="100" spans="1:14">
      <c r="A100" s="3600"/>
      <c r="B100" s="1612">
        <v>7</v>
      </c>
      <c r="C100" s="1615">
        <f>(-0.163*(C99^2)-0.59*C99+7617)*(10^(-4))</f>
        <v>0.76120320000000008</v>
      </c>
      <c r="D100" s="1615">
        <f>(-0.163*(D99^2)-0.59*D99+7617)*(10^(-4))</f>
        <v>0.76120320000000008</v>
      </c>
      <c r="E100" s="1615">
        <f>(-0.161*(E99^2)-7.509*E99+6533)*(10^(-4))</f>
        <v>0.65003880000000003</v>
      </c>
      <c r="F100" s="1615">
        <f>(-0.161*(F99^2)-7.509*F99+6533)*(10^(-4))</f>
        <v>0.65003880000000003</v>
      </c>
      <c r="G100" s="1615">
        <f>(-0.161*(G99^2)-7.509*G99+6533)*(10^(-4))</f>
        <v>0.65003880000000003</v>
      </c>
      <c r="H100" s="1615">
        <f>(-0.161*(H99^2)-7.509*H99+6533)*(10^(-4))</f>
        <v>0.65003880000000003</v>
      </c>
      <c r="I100" s="1615">
        <f>(-0.161*(I99^2)-7.509*I99+6533)*(10^(-4))</f>
        <v>0.65003880000000003</v>
      </c>
      <c r="J100" s="1615">
        <f>(-0.214*(J99^2)-21.991*J99+4665)*(10^(-4))</f>
        <v>0.45736120000000002</v>
      </c>
      <c r="K100" s="1615">
        <f>(-0.214*(K99^2)-21.991*K99+4665)*(10^(-4))</f>
        <v>0.45736120000000002</v>
      </c>
      <c r="L100" s="1615">
        <f>(-0.214*(L99^2)-21.991*L99+4665)*(10^(-4))</f>
        <v>0.45736120000000002</v>
      </c>
      <c r="M100" s="1615">
        <f>(-0.214*(M99^2)-21.991*M99+4665)*(10^(-4))</f>
        <v>0.45736120000000002</v>
      </c>
      <c r="N100" s="1615">
        <f>(-0.214*(N99^2)-21.991*N99+4665)*(10^(-4))</f>
        <v>0.45736120000000002</v>
      </c>
    </row>
    <row r="101" spans="1:14">
      <c r="A101" s="3598" t="s">
        <v>2121</v>
      </c>
      <c r="B101" s="1616" t="s">
        <v>98</v>
      </c>
      <c r="C101" s="1617">
        <f>$G$3</f>
        <v>3.8</v>
      </c>
      <c r="D101" s="1617">
        <f t="shared" ref="D101:N101" si="31">$G$3</f>
        <v>3.8</v>
      </c>
      <c r="E101" s="1617">
        <f t="shared" si="31"/>
        <v>3.8</v>
      </c>
      <c r="F101" s="1617">
        <f t="shared" si="31"/>
        <v>3.8</v>
      </c>
      <c r="G101" s="1617">
        <f t="shared" si="31"/>
        <v>3.8</v>
      </c>
      <c r="H101" s="1617">
        <f t="shared" si="31"/>
        <v>3.8</v>
      </c>
      <c r="I101" s="1617">
        <f t="shared" si="31"/>
        <v>3.8</v>
      </c>
      <c r="J101" s="1617">
        <f t="shared" si="31"/>
        <v>3.8</v>
      </c>
      <c r="K101" s="1617">
        <f t="shared" si="31"/>
        <v>3.8</v>
      </c>
      <c r="L101" s="1617">
        <f t="shared" si="31"/>
        <v>3.8</v>
      </c>
      <c r="M101" s="1617">
        <f t="shared" si="31"/>
        <v>3.8</v>
      </c>
      <c r="N101" s="1617">
        <f t="shared" si="31"/>
        <v>3.8</v>
      </c>
    </row>
    <row r="102" spans="1:14">
      <c r="A102" s="3599"/>
      <c r="B102" s="1612">
        <v>1</v>
      </c>
      <c r="C102" s="1613">
        <f>1.9362/C101</f>
        <v>0.50952631578947372</v>
      </c>
      <c r="D102" s="1613">
        <f>1.9362/D101</f>
        <v>0.50952631578947372</v>
      </c>
      <c r="E102" s="1613">
        <f>1.8629/E101</f>
        <v>0.49023684210526319</v>
      </c>
      <c r="F102" s="1613">
        <f>1.8629/F101</f>
        <v>0.49023684210526319</v>
      </c>
      <c r="G102" s="1613">
        <f>1.8629/G101</f>
        <v>0.49023684210526319</v>
      </c>
      <c r="H102" s="1613">
        <f>1.8629/H101</f>
        <v>0.49023684210526319</v>
      </c>
      <c r="I102" s="1613">
        <f>1.8629/I101</f>
        <v>0.49023684210526319</v>
      </c>
      <c r="J102" s="1613">
        <f>1.942/J101</f>
        <v>0.51105263157894742</v>
      </c>
      <c r="K102" s="1613">
        <f>1.942/K101</f>
        <v>0.51105263157894742</v>
      </c>
      <c r="L102" s="1613">
        <f>1.942/L101</f>
        <v>0.51105263157894742</v>
      </c>
      <c r="M102" s="1613">
        <f>1.942/M101</f>
        <v>0.51105263157894742</v>
      </c>
      <c r="N102" s="1613">
        <f>1.942/N101</f>
        <v>0.51105263157894742</v>
      </c>
    </row>
    <row r="103" spans="1:14">
      <c r="A103" s="3599"/>
      <c r="B103" s="1612">
        <v>2</v>
      </c>
      <c r="C103" s="1613">
        <f>1.4198/C101</f>
        <v>0.37363157894736843</v>
      </c>
      <c r="D103" s="1613">
        <f>1.4198/D101</f>
        <v>0.37363157894736843</v>
      </c>
      <c r="E103" s="1613">
        <f>1.3372/E101</f>
        <v>0.35189473684210526</v>
      </c>
      <c r="F103" s="1613">
        <f>1.3372/F101</f>
        <v>0.35189473684210526</v>
      </c>
      <c r="G103" s="1613">
        <f>1.3372/G101</f>
        <v>0.35189473684210526</v>
      </c>
      <c r="H103" s="1613">
        <f>1.3372/H101</f>
        <v>0.35189473684210526</v>
      </c>
      <c r="I103" s="1613">
        <f>1.3372/I101</f>
        <v>0.35189473684210526</v>
      </c>
      <c r="J103" s="1613">
        <f>1.2799/J101</f>
        <v>0.33681578947368424</v>
      </c>
      <c r="K103" s="1613">
        <f>1.2799/K101</f>
        <v>0.33681578947368424</v>
      </c>
      <c r="L103" s="1613">
        <f>1.2799/L101</f>
        <v>0.33681578947368424</v>
      </c>
      <c r="M103" s="1613">
        <f>1.2799/M101</f>
        <v>0.33681578947368424</v>
      </c>
      <c r="N103" s="1613">
        <f>1.2799/N101</f>
        <v>0.33681578947368424</v>
      </c>
    </row>
    <row r="104" spans="1:14">
      <c r="A104" s="3599"/>
      <c r="B104" s="1612">
        <v>3</v>
      </c>
      <c r="C104" s="1613">
        <f>1.1594/C101</f>
        <v>0.30510526315789477</v>
      </c>
      <c r="D104" s="1613">
        <f>1.1594/D101</f>
        <v>0.30510526315789477</v>
      </c>
      <c r="E104" s="1613">
        <f>1.0788/E101</f>
        <v>0.28389473684210526</v>
      </c>
      <c r="F104" s="1613">
        <f>1.0788/F101</f>
        <v>0.28389473684210526</v>
      </c>
      <c r="G104" s="1613">
        <f>1.0788/G101</f>
        <v>0.28389473684210526</v>
      </c>
      <c r="H104" s="1613">
        <f>1.0788/H101</f>
        <v>0.28389473684210526</v>
      </c>
      <c r="I104" s="1613">
        <f>1.0788/I101</f>
        <v>0.28389473684210526</v>
      </c>
      <c r="J104" s="1613">
        <f>1.0072/J101</f>
        <v>0.26505263157894743</v>
      </c>
      <c r="K104" s="1613">
        <f>1.0072/K101</f>
        <v>0.26505263157894743</v>
      </c>
      <c r="L104" s="1613">
        <f>1.0072/L101</f>
        <v>0.26505263157894743</v>
      </c>
      <c r="M104" s="1613">
        <f>1.0072/M101</f>
        <v>0.26505263157894743</v>
      </c>
      <c r="N104" s="1613">
        <f>1.0072/N101</f>
        <v>0.26505263157894743</v>
      </c>
    </row>
    <row r="105" spans="1:14">
      <c r="A105" s="3599"/>
      <c r="B105" s="1612">
        <v>4</v>
      </c>
      <c r="C105" s="1613">
        <f>0.9622/C101</f>
        <v>0.2532105263157895</v>
      </c>
      <c r="D105" s="1613">
        <f>0.9622/D101</f>
        <v>0.2532105263157895</v>
      </c>
      <c r="E105" s="1613">
        <f>0.8656/E101</f>
        <v>0.22778947368421054</v>
      </c>
      <c r="F105" s="1613">
        <f>0.8656/F101</f>
        <v>0.22778947368421054</v>
      </c>
      <c r="G105" s="1613">
        <f>0.8656/G101</f>
        <v>0.22778947368421054</v>
      </c>
      <c r="H105" s="1613">
        <f>0.8656/H101</f>
        <v>0.22778947368421054</v>
      </c>
      <c r="I105" s="1613">
        <f>0.8656/I101</f>
        <v>0.22778947368421054</v>
      </c>
      <c r="J105" s="1613">
        <f>0.7525/J101</f>
        <v>0.19802631578947369</v>
      </c>
      <c r="K105" s="1613">
        <f>0.7525/K101</f>
        <v>0.19802631578947369</v>
      </c>
      <c r="L105" s="1613">
        <f>0.7525/L101</f>
        <v>0.19802631578947369</v>
      </c>
      <c r="M105" s="1613">
        <f>0.7525/M101</f>
        <v>0.19802631578947369</v>
      </c>
      <c r="N105" s="1613">
        <f>0.7525/N101</f>
        <v>0.19802631578947369</v>
      </c>
    </row>
    <row r="106" spans="1:14">
      <c r="A106" s="3599"/>
      <c r="B106" s="1612">
        <v>5</v>
      </c>
      <c r="C106" s="1613">
        <f>0.8417/C101</f>
        <v>0.2215</v>
      </c>
      <c r="D106" s="1613">
        <f>0.8417/D101</f>
        <v>0.2215</v>
      </c>
      <c r="E106" s="1613">
        <f>0.7371/E101</f>
        <v>0.19397368421052633</v>
      </c>
      <c r="F106" s="1613">
        <f>0.7371/F101</f>
        <v>0.19397368421052633</v>
      </c>
      <c r="G106" s="1613">
        <f>0.7371/G101</f>
        <v>0.19397368421052633</v>
      </c>
      <c r="H106" s="1613">
        <f>0.7371/H101</f>
        <v>0.19397368421052633</v>
      </c>
      <c r="I106" s="1613">
        <f>0.7371/I101</f>
        <v>0.19397368421052633</v>
      </c>
      <c r="J106" s="1613">
        <f>0.5659/J101</f>
        <v>0.14892105263157895</v>
      </c>
      <c r="K106" s="1613">
        <f>0.5659/K101</f>
        <v>0.14892105263157895</v>
      </c>
      <c r="L106" s="1613">
        <f>0.5659/L101</f>
        <v>0.14892105263157895</v>
      </c>
      <c r="M106" s="1613">
        <f>0.5659/M101</f>
        <v>0.14892105263157895</v>
      </c>
      <c r="N106" s="1613">
        <f>0.5659/N101</f>
        <v>0.14892105263157895</v>
      </c>
    </row>
    <row r="107" spans="1:14">
      <c r="A107" s="3599"/>
      <c r="B107" s="1612">
        <v>6</v>
      </c>
      <c r="C107" s="1613">
        <f>0.7608/C101</f>
        <v>0.20021052631578948</v>
      </c>
      <c r="D107" s="1613">
        <f>0.7608/D101</f>
        <v>0.20021052631578948</v>
      </c>
      <c r="E107" s="1613">
        <f>0.6482/E101</f>
        <v>0.17057894736842105</v>
      </c>
      <c r="F107" s="1613">
        <f>0.6482/F101</f>
        <v>0.17057894736842105</v>
      </c>
      <c r="G107" s="1613">
        <f>0.6482/G101</f>
        <v>0.17057894736842105</v>
      </c>
      <c r="H107" s="1613">
        <f>0.6482/H101</f>
        <v>0.17057894736842105</v>
      </c>
      <c r="I107" s="1613">
        <f>0.6482/I101</f>
        <v>0.17057894736842105</v>
      </c>
      <c r="J107" s="1613">
        <f>0.4525/J101</f>
        <v>0.11907894736842106</v>
      </c>
      <c r="K107" s="1613">
        <f>0.4525/K101</f>
        <v>0.11907894736842106</v>
      </c>
      <c r="L107" s="1613">
        <f>0.4525/L101</f>
        <v>0.11907894736842106</v>
      </c>
      <c r="M107" s="1613">
        <f>0.4525/M101</f>
        <v>0.11907894736842106</v>
      </c>
      <c r="N107" s="1613">
        <f>0.4525/N101</f>
        <v>0.11907894736842106</v>
      </c>
    </row>
    <row r="108" spans="1:14">
      <c r="A108" s="3599"/>
      <c r="B108" s="3601" t="s">
        <v>2123</v>
      </c>
      <c r="C108" s="1614">
        <f>C99</f>
        <v>4</v>
      </c>
      <c r="D108" s="1614">
        <f t="shared" ref="D108:N108" si="32">D99</f>
        <v>4</v>
      </c>
      <c r="E108" s="1614">
        <f t="shared" si="32"/>
        <v>4</v>
      </c>
      <c r="F108" s="1614">
        <f t="shared" si="32"/>
        <v>4</v>
      </c>
      <c r="G108" s="1614">
        <f t="shared" si="32"/>
        <v>4</v>
      </c>
      <c r="H108" s="1614">
        <f t="shared" si="32"/>
        <v>4</v>
      </c>
      <c r="I108" s="1614">
        <f t="shared" si="32"/>
        <v>4</v>
      </c>
      <c r="J108" s="1614">
        <f t="shared" si="32"/>
        <v>4</v>
      </c>
      <c r="K108" s="1614">
        <f t="shared" si="32"/>
        <v>4</v>
      </c>
      <c r="L108" s="1614">
        <f t="shared" si="32"/>
        <v>4</v>
      </c>
      <c r="M108" s="1614">
        <f t="shared" si="32"/>
        <v>4</v>
      </c>
      <c r="N108" s="1614">
        <f t="shared" si="32"/>
        <v>4</v>
      </c>
    </row>
    <row r="109" spans="1:14">
      <c r="A109" s="3600"/>
      <c r="B109" s="3602"/>
      <c r="C109" s="1615">
        <f>(-0.163*(C108^2)-0.59*C108+7617)*(10^(-4))/C101</f>
        <v>0.20031663157894739</v>
      </c>
      <c r="D109" s="1615">
        <f>(-0.163*(D108^2)-0.59*D108+7617)*(10^(-4))/D101</f>
        <v>0.20031663157894739</v>
      </c>
      <c r="E109" s="1615">
        <f>(-0.161*(E108^2)-7.509*E108+6533)*(10^(-4))/E101</f>
        <v>0.17106284210526318</v>
      </c>
      <c r="F109" s="1615">
        <f>(-0.161*(F108^2)-7.509*F108+6533)*(10^(-4))/F101</f>
        <v>0.17106284210526318</v>
      </c>
      <c r="G109" s="1615">
        <f>(-0.161*(G108^2)-7.509*G108+6533)*(10^(-4))/G101</f>
        <v>0.17106284210526318</v>
      </c>
      <c r="H109" s="1615">
        <f>(-0.161*(H108^2)-7.509*H108+6533)*(10^(-4))/H101</f>
        <v>0.17106284210526318</v>
      </c>
      <c r="I109" s="1615">
        <f>(-0.161*(I108^2)-7.509*I108+6533)*(10^(-4))/I101</f>
        <v>0.17106284210526318</v>
      </c>
      <c r="J109" s="1615">
        <f>(-0.214*(J108^2)-21.991*J108+4665)*(10^(-4))/J101</f>
        <v>0.1203582105263158</v>
      </c>
      <c r="K109" s="1615">
        <f>(-0.214*(K108^2)-21.991*K108+4665)*(10^(-4))/K101</f>
        <v>0.1203582105263158</v>
      </c>
      <c r="L109" s="1615">
        <f>(-0.214*(L108^2)-21.991*L108+4665)*(10^(-4))/L101</f>
        <v>0.1203582105263158</v>
      </c>
      <c r="M109" s="1615">
        <f>(-0.214*(M108^2)-21.991*M108+4665)*(10^(-4))/M101</f>
        <v>0.1203582105263158</v>
      </c>
      <c r="N109" s="1615">
        <f>(-0.214*(N108^2)-21.991*N108+4665)*(10^(-4))/N101</f>
        <v>0.1203582105263158</v>
      </c>
    </row>
    <row r="110" spans="1:14">
      <c r="A110" s="3596" t="s">
        <v>2124</v>
      </c>
      <c r="B110" s="3596"/>
      <c r="C110" s="3596"/>
      <c r="D110" s="3596"/>
      <c r="E110" s="3596"/>
      <c r="F110" s="3596"/>
      <c r="G110" s="3596"/>
      <c r="H110" s="3596"/>
      <c r="I110" s="3596"/>
      <c r="J110" s="3596"/>
      <c r="K110" s="2641"/>
      <c r="L110" s="2641"/>
      <c r="M110" s="2641"/>
      <c r="N110" s="2641"/>
    </row>
    <row r="112" spans="1:14" ht="12.75" thickBot="1"/>
    <row r="113" spans="1:13" ht="25.5" thickBot="1">
      <c r="A113" s="1625" t="s">
        <v>2126</v>
      </c>
      <c r="B113" s="2644">
        <f>G3</f>
        <v>3.8</v>
      </c>
      <c r="C113" s="1626" t="s">
        <v>2127</v>
      </c>
      <c r="D113" s="1627">
        <f>SUMPRODUCT((A115:A118=F113)*(B114:M114=H113)*B115:M118)</f>
        <v>0.79169999999999996</v>
      </c>
      <c r="E113" s="1628" t="s">
        <v>73</v>
      </c>
      <c r="F113" s="1629" t="str">
        <f>E2</f>
        <v>商业</v>
      </c>
      <c r="G113" s="1628" t="s">
        <v>1916</v>
      </c>
      <c r="H113" s="1629" t="str">
        <f>G2</f>
        <v>四级</v>
      </c>
      <c r="I113" s="1628"/>
      <c r="J113" s="1620"/>
      <c r="K113" s="1620"/>
      <c r="L113" s="1620"/>
      <c r="M113" s="1620"/>
    </row>
    <row r="114" spans="1:13" ht="12.75">
      <c r="A114" s="1632"/>
      <c r="B114" s="1633" t="s">
        <v>331</v>
      </c>
      <c r="C114" s="1633" t="s">
        <v>332</v>
      </c>
      <c r="D114" s="1633" t="s">
        <v>327</v>
      </c>
      <c r="E114" s="1634" t="s">
        <v>328</v>
      </c>
      <c r="F114" s="1634" t="s">
        <v>329</v>
      </c>
      <c r="G114" s="1634" t="s">
        <v>330</v>
      </c>
      <c r="H114" s="1635" t="s">
        <v>1533</v>
      </c>
      <c r="I114" s="1635" t="s">
        <v>1534</v>
      </c>
      <c r="J114" s="1636" t="s">
        <v>1535</v>
      </c>
      <c r="K114" s="1636" t="s">
        <v>1536</v>
      </c>
      <c r="L114" s="1636" t="s">
        <v>1537</v>
      </c>
      <c r="M114" s="1637" t="s">
        <v>1538</v>
      </c>
    </row>
    <row r="115" spans="1:13" ht="12.75">
      <c r="A115" s="1638" t="s">
        <v>2128</v>
      </c>
      <c r="B115" s="1639">
        <f>ROUND(0.9335-0.0094*B113,4)</f>
        <v>0.89780000000000004</v>
      </c>
      <c r="C115" s="1639">
        <f>B115</f>
        <v>0.89780000000000004</v>
      </c>
      <c r="D115" s="1639">
        <f>ROUND(0.8331-0.0109*B113,4)</f>
        <v>0.79169999999999996</v>
      </c>
      <c r="E115" s="1639">
        <f>D115</f>
        <v>0.79169999999999996</v>
      </c>
      <c r="F115" s="1639">
        <f>E115</f>
        <v>0.79169999999999996</v>
      </c>
      <c r="G115" s="1639">
        <f>F115</f>
        <v>0.79169999999999996</v>
      </c>
      <c r="H115" s="1639">
        <f>G115</f>
        <v>0.79169999999999996</v>
      </c>
      <c r="I115" s="1639">
        <f>ROUND(0.689-0.0155*B113,4)</f>
        <v>0.63009999999999999</v>
      </c>
      <c r="J115" s="1639">
        <f t="shared" ref="J115:M118" si="33">I115</f>
        <v>0.63009999999999999</v>
      </c>
      <c r="K115" s="1639">
        <f t="shared" si="33"/>
        <v>0.63009999999999999</v>
      </c>
      <c r="L115" s="1639">
        <f t="shared" si="33"/>
        <v>0.63009999999999999</v>
      </c>
      <c r="M115" s="1640">
        <f t="shared" si="33"/>
        <v>0.63009999999999999</v>
      </c>
    </row>
    <row r="116" spans="1:13" ht="12.75">
      <c r="A116" s="1638" t="s">
        <v>2129</v>
      </c>
      <c r="B116" s="1639">
        <f>ROUND(0.949-0.012*B113,4)</f>
        <v>0.90339999999999998</v>
      </c>
      <c r="C116" s="1639">
        <f>B116</f>
        <v>0.90339999999999998</v>
      </c>
      <c r="D116" s="1639">
        <f>ROUND(0.8567-0.013*B113,4)</f>
        <v>0.80730000000000002</v>
      </c>
      <c r="E116" s="1639">
        <f t="shared" ref="E116:H117" si="34">D116</f>
        <v>0.80730000000000002</v>
      </c>
      <c r="F116" s="1639">
        <f t="shared" si="34"/>
        <v>0.80730000000000002</v>
      </c>
      <c r="G116" s="1639">
        <f t="shared" si="34"/>
        <v>0.80730000000000002</v>
      </c>
      <c r="H116" s="1639">
        <f t="shared" si="34"/>
        <v>0.80730000000000002</v>
      </c>
      <c r="I116" s="1639">
        <f>ROUND(0.7694-0.014*B113,4)</f>
        <v>0.71619999999999995</v>
      </c>
      <c r="J116" s="1639">
        <f t="shared" si="33"/>
        <v>0.71619999999999995</v>
      </c>
      <c r="K116" s="1639">
        <f t="shared" si="33"/>
        <v>0.71619999999999995</v>
      </c>
      <c r="L116" s="1639">
        <f t="shared" si="33"/>
        <v>0.71619999999999995</v>
      </c>
      <c r="M116" s="1640">
        <f t="shared" si="33"/>
        <v>0.71619999999999995</v>
      </c>
    </row>
    <row r="117" spans="1:13" ht="12.75">
      <c r="A117" s="1641" t="s">
        <v>1221</v>
      </c>
      <c r="B117" s="1639">
        <f>ROUND(0.8808-0.006*B113,4)</f>
        <v>0.85799999999999998</v>
      </c>
      <c r="C117" s="1639">
        <f>B117</f>
        <v>0.85799999999999998</v>
      </c>
      <c r="D117" s="1639">
        <f>ROUND(0.8748-0.008*B113,4)</f>
        <v>0.84440000000000004</v>
      </c>
      <c r="E117" s="1639">
        <f t="shared" si="34"/>
        <v>0.84440000000000004</v>
      </c>
      <c r="F117" s="1639">
        <f t="shared" si="34"/>
        <v>0.84440000000000004</v>
      </c>
      <c r="G117" s="1639">
        <f t="shared" si="34"/>
        <v>0.84440000000000004</v>
      </c>
      <c r="H117" s="1639">
        <f t="shared" si="34"/>
        <v>0.84440000000000004</v>
      </c>
      <c r="I117" s="1639">
        <f>ROUND(0.7412-0.0095*B113,4)</f>
        <v>0.70509999999999995</v>
      </c>
      <c r="J117" s="1639">
        <f t="shared" si="33"/>
        <v>0.70509999999999995</v>
      </c>
      <c r="K117" s="1639">
        <f t="shared" si="33"/>
        <v>0.70509999999999995</v>
      </c>
      <c r="L117" s="1639">
        <f t="shared" si="33"/>
        <v>0.70509999999999995</v>
      </c>
      <c r="M117" s="1640">
        <f t="shared" si="33"/>
        <v>0.70509999999999995</v>
      </c>
    </row>
    <row r="118" spans="1:13" ht="13.5" thickBot="1">
      <c r="A118" s="1129" t="s">
        <v>2130</v>
      </c>
      <c r="B118" s="1642">
        <f>ROUND(0.7275-0.01*B113,4)</f>
        <v>0.6895</v>
      </c>
      <c r="C118" s="1642">
        <f>B118</f>
        <v>0.6895</v>
      </c>
      <c r="D118" s="1642">
        <f>ROUND(0.7043-0.012*B113,4)</f>
        <v>0.65869999999999995</v>
      </c>
      <c r="E118" s="1642">
        <f>D118</f>
        <v>0.65869999999999995</v>
      </c>
      <c r="F118" s="1642">
        <f>E118</f>
        <v>0.65869999999999995</v>
      </c>
      <c r="G118" s="1642">
        <f>ROUND(0.6299-0.0122*B113,4)</f>
        <v>0.58350000000000002</v>
      </c>
      <c r="H118" s="1642">
        <f>G118</f>
        <v>0.58350000000000002</v>
      </c>
      <c r="I118" s="1642">
        <f>ROUND(0.5667-0.0136*B113,4)</f>
        <v>0.51500000000000001</v>
      </c>
      <c r="J118" s="1642">
        <f t="shared" si="33"/>
        <v>0.51500000000000001</v>
      </c>
      <c r="K118" s="1642">
        <f t="shared" si="33"/>
        <v>0.51500000000000001</v>
      </c>
      <c r="L118" s="1642">
        <f t="shared" si="33"/>
        <v>0.51500000000000001</v>
      </c>
      <c r="M118" s="1643">
        <f t="shared" si="33"/>
        <v>0.51500000000000001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sheetPr>
    <tabColor rgb="FF00B0F0"/>
  </sheetPr>
  <dimension ref="A1:E13"/>
  <sheetViews>
    <sheetView workbookViewId="0">
      <selection activeCell="E13" sqref="A1:E13"/>
    </sheetView>
  </sheetViews>
  <sheetFormatPr defaultRowHeight="13.5"/>
  <cols>
    <col min="1" max="1" width="23.625" customWidth="1"/>
    <col min="2" max="2" width="12" customWidth="1"/>
    <col min="4" max="4" width="14.125" customWidth="1"/>
  </cols>
  <sheetData>
    <row r="1" spans="1:5" ht="20.25">
      <c r="A1" s="2819" t="s">
        <v>3080</v>
      </c>
      <c r="B1" s="2820"/>
      <c r="C1" s="2820"/>
      <c r="D1" s="2820"/>
      <c r="E1" s="2821"/>
    </row>
    <row r="2" spans="1:5" ht="14.25">
      <c r="A2" s="2822" t="s">
        <v>3081</v>
      </c>
      <c r="B2" s="2816">
        <f ca="1">SUMIF(B6:B13,"&lt;&gt;#ref!",B6:B13)</f>
        <v>56468</v>
      </c>
      <c r="C2" s="2817" t="s">
        <v>3078</v>
      </c>
      <c r="D2" s="2818" t="s">
        <v>3083</v>
      </c>
      <c r="E2" s="2826">
        <f>SUM(E6:E13)</f>
        <v>11376.31</v>
      </c>
    </row>
    <row r="3" spans="1:5" ht="14.25">
      <c r="A3" s="2822" t="s">
        <v>3082</v>
      </c>
      <c r="B3" s="2816">
        <f ca="1">ROUND(B2*10000/E2,0)</f>
        <v>49636</v>
      </c>
      <c r="C3" s="2817" t="s">
        <v>3079</v>
      </c>
      <c r="D3" s="2823"/>
      <c r="E3" s="2827"/>
    </row>
    <row r="4" spans="1:5" ht="14.25">
      <c r="A4" s="2830"/>
      <c r="B4" s="2823"/>
      <c r="C4" s="2823"/>
      <c r="D4" s="2823"/>
      <c r="E4" s="2827"/>
    </row>
    <row r="5" spans="1:5">
      <c r="A5" s="2834" t="s">
        <v>3085</v>
      </c>
      <c r="B5" s="3603" t="s">
        <v>3087</v>
      </c>
      <c r="C5" s="3603"/>
      <c r="D5" s="2833"/>
      <c r="E5" s="2835" t="s">
        <v>3086</v>
      </c>
    </row>
    <row r="6" spans="1:5">
      <c r="A6" s="2831" t="str">
        <f>'数据-取费表'!AN6</f>
        <v>收益法 (办公)</v>
      </c>
      <c r="B6" s="2825">
        <f ca="1">'数据-取费表'!AO6</f>
        <v>15285</v>
      </c>
      <c r="C6" s="2817" t="s">
        <v>3078</v>
      </c>
      <c r="D6" s="2823"/>
      <c r="E6" s="2826">
        <f>IF(A6=0,0,'数据-取费表'!K6+'数据-取费表'!S6)</f>
        <v>3097.6099999999997</v>
      </c>
    </row>
    <row r="7" spans="1:5">
      <c r="A7" s="2831" t="str">
        <f>'数据-取费表'!AN7</f>
        <v>收益法（商业）</v>
      </c>
      <c r="B7" s="2825">
        <f ca="1">'数据-取费表'!AO7</f>
        <v>18246</v>
      </c>
      <c r="C7" s="2817" t="s">
        <v>3078</v>
      </c>
      <c r="D7" s="2823"/>
      <c r="E7" s="2826">
        <f>IF(A7=0,0,'数据-取费表'!K7+'数据-取费表'!S7)</f>
        <v>3185.37</v>
      </c>
    </row>
    <row r="8" spans="1:5">
      <c r="A8" s="2831" t="str">
        <f>'数据-取费表'!AN8</f>
        <v>收益法 (酒店)</v>
      </c>
      <c r="B8" s="2825">
        <f ca="1">'数据-取费表'!AO8</f>
        <v>22937</v>
      </c>
      <c r="C8" s="2817" t="s">
        <v>3078</v>
      </c>
      <c r="D8" s="2823"/>
      <c r="E8" s="2826">
        <f>IF(A8=0,0,'数据-取费表'!K8+'数据-取费表'!S8)</f>
        <v>5093.33</v>
      </c>
    </row>
    <row r="9" spans="1:5">
      <c r="A9" s="2831" t="str">
        <f>'数据-取费表'!AN9</f>
        <v>估价方法</v>
      </c>
      <c r="B9" s="2825" t="e">
        <f ca="1">'数据-取费表'!AO9</f>
        <v>#REF!</v>
      </c>
      <c r="C9" s="2817" t="s">
        <v>3078</v>
      </c>
      <c r="D9" s="2823"/>
      <c r="E9" s="2826">
        <f>IF(A9=0,0,'数据-取费表'!K9+'数据-取费表'!S9)</f>
        <v>0</v>
      </c>
    </row>
    <row r="10" spans="1:5">
      <c r="A10" s="2831">
        <f>'数据-取费表'!AN10</f>
        <v>0</v>
      </c>
      <c r="B10" s="2825" t="e">
        <f ca="1">'数据-取费表'!AO10</f>
        <v>#REF!</v>
      </c>
      <c r="C10" s="2817" t="s">
        <v>3078</v>
      </c>
      <c r="D10" s="2823"/>
      <c r="E10" s="2826">
        <f>IF(A10=0,0,'数据-取费表'!K10+'数据-取费表'!S10)</f>
        <v>0</v>
      </c>
    </row>
    <row r="11" spans="1:5">
      <c r="A11" s="2831">
        <f>'数据-取费表'!AN11</f>
        <v>0</v>
      </c>
      <c r="B11" s="2825" t="e">
        <f ca="1">'数据-取费表'!AO11</f>
        <v>#REF!</v>
      </c>
      <c r="C11" s="2817" t="s">
        <v>3078</v>
      </c>
      <c r="D11" s="2823"/>
      <c r="E11" s="2826">
        <f>IF(A11=0,0,'数据-取费表'!K11+'数据-取费表'!S11)</f>
        <v>0</v>
      </c>
    </row>
    <row r="12" spans="1:5">
      <c r="A12" s="2831">
        <f>'数据-取费表'!AN12</f>
        <v>0</v>
      </c>
      <c r="B12" s="2825" t="e">
        <f ca="1">'数据-取费表'!AO12</f>
        <v>#REF!</v>
      </c>
      <c r="C12" s="2817" t="s">
        <v>3078</v>
      </c>
      <c r="D12" s="2823"/>
      <c r="E12" s="2826">
        <f>IF(A12=0,0,'数据-取费表'!K12+'数据-取费表'!S12)</f>
        <v>0</v>
      </c>
    </row>
    <row r="13" spans="1:5" ht="14.25" thickBot="1">
      <c r="A13" s="2832">
        <f>'数据-取费表'!AN13</f>
        <v>0</v>
      </c>
      <c r="B13" s="2828" t="e">
        <f ca="1">'数据-取费表'!AO13</f>
        <v>#REF!</v>
      </c>
      <c r="C13" s="2836" t="s">
        <v>3078</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210</v>
      </c>
      <c r="D1" s="1280"/>
      <c r="E1" s="2616" t="s">
        <v>767</v>
      </c>
      <c r="F1" s="2617">
        <f ca="1">J53</f>
        <v>30.18</v>
      </c>
      <c r="G1" s="677">
        <f>MATCH(C1,'数据-取费表'!A6:A16,0)+5</f>
        <v>6</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15285</v>
      </c>
      <c r="C2" s="1306" t="s">
        <v>1424</v>
      </c>
      <c r="D2" s="1282"/>
      <c r="E2" s="2606"/>
      <c r="F2" s="1283"/>
      <c r="G2" s="2314"/>
      <c r="H2" s="1281"/>
      <c r="I2" s="1281"/>
      <c r="J2" s="1281"/>
      <c r="K2" s="1305"/>
      <c r="L2" s="1281"/>
      <c r="M2" s="1281"/>
    </row>
    <row r="3" spans="1:37" ht="18" customHeight="1" thickBot="1">
      <c r="A3" s="680" t="s">
        <v>515</v>
      </c>
      <c r="B3" s="1414">
        <f ca="1">IF(ISERROR(B2*10000/F43),0,ROUND(B2*10000/F43,0))</f>
        <v>49344</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905</v>
      </c>
      <c r="D5" s="2671" t="s">
        <v>2942</v>
      </c>
      <c r="E5" s="2662"/>
      <c r="F5" s="2663"/>
      <c r="G5" s="2315"/>
      <c r="H5" s="686">
        <v>1</v>
      </c>
      <c r="I5" s="687" t="s">
        <v>2707</v>
      </c>
      <c r="J5" s="2661">
        <f ca="1">J6+J10+J12</f>
        <v>1182</v>
      </c>
      <c r="K5" s="2664" t="s">
        <v>2942</v>
      </c>
      <c r="L5" s="2662"/>
      <c r="M5" s="2663"/>
    </row>
    <row r="6" spans="1:37" ht="18" customHeight="1">
      <c r="A6" s="2657" t="s">
        <v>2748</v>
      </c>
      <c r="B6" s="3604" t="s">
        <v>2941</v>
      </c>
      <c r="C6" s="2666">
        <f ca="1">ROUND(F6*F8*F7*(1-F9)/10000,0)</f>
        <v>905</v>
      </c>
      <c r="D6" s="2660" t="s">
        <v>2943</v>
      </c>
      <c r="E6" s="689" t="s">
        <v>1157</v>
      </c>
      <c r="F6" s="690">
        <f ca="1">INDIRECT("'数据-取费表'!u"&amp;$G$1)</f>
        <v>8</v>
      </c>
      <c r="G6" s="2315"/>
      <c r="H6" s="2657" t="s">
        <v>2748</v>
      </c>
      <c r="I6" s="3604" t="s">
        <v>2941</v>
      </c>
      <c r="J6" s="688">
        <f ca="1">ROUND(M6*M8*M7*(1-M9)/10000,0)</f>
        <v>1182</v>
      </c>
      <c r="K6" s="2660" t="s">
        <v>2943</v>
      </c>
      <c r="L6" s="689" t="s">
        <v>1157</v>
      </c>
      <c r="M6" s="690">
        <f ca="1">INDIRECT("'数据-取费表'!z"&amp;$G$1)</f>
        <v>11</v>
      </c>
    </row>
    <row r="7" spans="1:37" ht="18" customHeight="1">
      <c r="A7" s="2665"/>
      <c r="B7" s="3605"/>
      <c r="C7" s="2667"/>
      <c r="D7" s="2084"/>
      <c r="E7" s="2668" t="s">
        <v>1158</v>
      </c>
      <c r="F7" s="690">
        <f ca="1">IF(INDIRECT("'数据-取费表'!ah"&amp;$G$1)="",INDIRECT("'数据-取费表'!k"&amp;$G$1),INDIRECT("'数据-取费表'!ah"&amp;$G$1))</f>
        <v>3097.6099999999997</v>
      </c>
      <c r="G7" s="2315"/>
      <c r="H7" s="691"/>
      <c r="I7" s="3605"/>
      <c r="J7" s="693"/>
      <c r="K7" s="694"/>
      <c r="L7" s="689" t="s">
        <v>1158</v>
      </c>
      <c r="M7" s="690">
        <f ca="1">F7</f>
        <v>3097.6099999999997</v>
      </c>
    </row>
    <row r="8" spans="1:37" ht="18" customHeight="1">
      <c r="A8" s="691"/>
      <c r="B8" s="3605"/>
      <c r="C8" s="693"/>
      <c r="D8" s="694"/>
      <c r="E8" s="689" t="s">
        <v>1159</v>
      </c>
      <c r="F8" s="690">
        <f ca="1">INDIRECT("'数据-取费表'!ai"&amp;$G$1)</f>
        <v>365</v>
      </c>
      <c r="G8" s="2315"/>
      <c r="H8" s="691"/>
      <c r="I8" s="3605"/>
      <c r="J8" s="693"/>
      <c r="K8" s="694"/>
      <c r="L8" s="689" t="s">
        <v>1159</v>
      </c>
      <c r="M8" s="690">
        <f ca="1">INDIRECT("'数据-取费表'!ai"&amp;$G$1)</f>
        <v>365</v>
      </c>
    </row>
    <row r="9" spans="1:37" ht="18" customHeight="1">
      <c r="A9" s="691"/>
      <c r="B9" s="3606"/>
      <c r="C9" s="693"/>
      <c r="D9" s="694"/>
      <c r="E9" s="689" t="s">
        <v>1160</v>
      </c>
      <c r="F9" s="699">
        <f ca="1">INDIRECT("'数据-取费表'!w"&amp;$G$1)</f>
        <v>0</v>
      </c>
      <c r="G9" s="2315"/>
      <c r="H9" s="691"/>
      <c r="I9" s="3606"/>
      <c r="J9" s="693"/>
      <c r="K9" s="694"/>
      <c r="L9" s="700" t="s">
        <v>1160</v>
      </c>
      <c r="M9" s="701">
        <f ca="1">INDIRECT("'数据-取费表'!ab"&amp;$G$1)</f>
        <v>0.05</v>
      </c>
    </row>
    <row r="10" spans="1:37" ht="18" customHeight="1">
      <c r="A10" s="2657" t="s">
        <v>2755</v>
      </c>
      <c r="B10" s="2658" t="s">
        <v>2936</v>
      </c>
      <c r="C10" s="703">
        <f ca="1">ROUND(IF(F10="押一",F6*F8*F7/12*F11,IF(F10="押二",F6*F8*F7/12*2*F11,IF(F10="押三",F6*F8*F7/12*3*F11,C11*F11)))/10000,0)</f>
        <v>0</v>
      </c>
      <c r="D10" s="2669" t="s">
        <v>2944</v>
      </c>
      <c r="E10" s="2120" t="s">
        <v>2938</v>
      </c>
      <c r="F10" s="3341" t="s">
        <v>3101</v>
      </c>
      <c r="G10" s="2315"/>
      <c r="H10" s="2657" t="s">
        <v>2755</v>
      </c>
      <c r="I10" s="2658" t="s">
        <v>2936</v>
      </c>
      <c r="J10" s="688">
        <f ca="1">ROUND(IF(M10="押一",M6*M8*M7/12*M11,IF(M10="押二",M6*M8*M7/12*2*M11,IF(M10="押三",M6*M8*M7/12*3*M11,J11*M11)))/10000,0)</f>
        <v>0</v>
      </c>
      <c r="K10" s="2669" t="s">
        <v>2944</v>
      </c>
      <c r="L10" s="2120" t="s">
        <v>2938</v>
      </c>
      <c r="M10" s="3340"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f ca="1">ROUND(C29*F13,0)</f>
        <v>1411</v>
      </c>
      <c r="D13" s="2704" t="s">
        <v>1162</v>
      </c>
      <c r="E13" s="2704" t="s">
        <v>1163</v>
      </c>
      <c r="F13" s="2705">
        <f ca="1">INDIRECT("'数据-取费表'!y"&amp;$G$1)</f>
        <v>0.88</v>
      </c>
      <c r="G13" s="2315"/>
      <c r="H13" s="2702">
        <v>2</v>
      </c>
      <c r="I13" s="2703" t="s">
        <v>1161</v>
      </c>
      <c r="J13" s="2656">
        <f ca="1">ROUND(J14*J15,0)</f>
        <v>1154</v>
      </c>
      <c r="K13" s="2712" t="s">
        <v>1162</v>
      </c>
      <c r="L13" s="2723"/>
      <c r="M13" s="2724"/>
    </row>
    <row r="14" spans="1:37" ht="18" customHeight="1">
      <c r="A14" s="2465" t="s">
        <v>2745</v>
      </c>
      <c r="B14" s="689" t="s">
        <v>528</v>
      </c>
      <c r="C14" s="707">
        <f ca="1">INDIRECT("'数据-取费表'!m"&amp;$G$1)+INDIRECT("'数据-取费表'!t"&amp;$G$1)</f>
        <v>1084</v>
      </c>
      <c r="D14" s="3296" t="s">
        <v>1164</v>
      </c>
      <c r="E14" s="3294"/>
      <c r="F14" s="708"/>
      <c r="G14" s="2315"/>
      <c r="H14" s="2465" t="s">
        <v>2748</v>
      </c>
      <c r="I14" s="689" t="s">
        <v>1165</v>
      </c>
      <c r="J14" s="319">
        <f ca="1">C29</f>
        <v>1603</v>
      </c>
      <c r="K14" s="309"/>
      <c r="L14" s="705"/>
      <c r="M14" s="706"/>
    </row>
    <row r="15" spans="1:37" s="711" customFormat="1" ht="18" customHeight="1" thickBot="1">
      <c r="A15" s="2465" t="s">
        <v>3013</v>
      </c>
      <c r="B15" s="689" t="s">
        <v>529</v>
      </c>
      <c r="C15" s="319">
        <f ca="1">ROUND(C14*F15,0)</f>
        <v>33</v>
      </c>
      <c r="D15" s="709" t="s">
        <v>1166</v>
      </c>
      <c r="E15" s="709" t="s">
        <v>534</v>
      </c>
      <c r="F15" s="710">
        <f>'数据-取费表'!B33</f>
        <v>0.03</v>
      </c>
      <c r="G15" s="2316"/>
      <c r="H15" s="2714" t="s">
        <v>2755</v>
      </c>
      <c r="I15" s="2715" t="s">
        <v>1163</v>
      </c>
      <c r="J15" s="2726">
        <f ca="1">INDIRECT("'数据-取费表'!ad"&amp;$G$1)</f>
        <v>0.72</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141</v>
      </c>
      <c r="K16" s="2712" t="s">
        <v>1169</v>
      </c>
      <c r="L16" s="2713"/>
      <c r="M16" s="2663"/>
    </row>
    <row r="17" spans="1:37" s="711" customFormat="1" ht="18" customHeight="1">
      <c r="A17" s="2465" t="s">
        <v>3015</v>
      </c>
      <c r="B17" s="689" t="s">
        <v>531</v>
      </c>
      <c r="C17" s="319">
        <f ca="1">ROUND(F17*(F43+INDIRECT("'数据-取费表'!S"&amp;$G$1))/10000,0)</f>
        <v>62</v>
      </c>
      <c r="D17" s="689" t="s">
        <v>1170</v>
      </c>
      <c r="E17" s="689" t="s">
        <v>1171</v>
      </c>
      <c r="F17" s="321">
        <f>'数据-取费表'!B35</f>
        <v>200</v>
      </c>
      <c r="G17" s="2316"/>
      <c r="H17" s="2465" t="s">
        <v>2748</v>
      </c>
      <c r="I17" s="689" t="s">
        <v>532</v>
      </c>
      <c r="J17" s="319">
        <f ca="1">ROUND(IF(项目基本情况!B11="自然人",J5*M17,J18+J19+J20),1)</f>
        <v>77.5</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16</v>
      </c>
      <c r="D18" s="689" t="s">
        <v>1166</v>
      </c>
      <c r="E18" s="689" t="s">
        <v>534</v>
      </c>
      <c r="F18" s="712">
        <f>'数据-取费表'!B36</f>
        <v>1.4999999999999999E-2</v>
      </c>
      <c r="G18" s="2316"/>
      <c r="H18" s="2465" t="s">
        <v>2745</v>
      </c>
      <c r="I18" s="689" t="s">
        <v>1174</v>
      </c>
      <c r="J18" s="319">
        <f ca="1">ROUND(J5*M18/(1+'数据-取费表'!B42),2)</f>
        <v>63.04</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1195</v>
      </c>
      <c r="D19" s="476" t="s">
        <v>1176</v>
      </c>
      <c r="E19" s="3299"/>
      <c r="F19" s="321"/>
      <c r="G19" s="2315"/>
      <c r="H19" s="2465" t="s">
        <v>3013</v>
      </c>
      <c r="I19" s="689" t="s">
        <v>1177</v>
      </c>
      <c r="J19" s="319">
        <f ca="1">IF(K19="按租金收入计税",ROUND(J5*M19,2),ROUND(C29*M19*0.7,2))</f>
        <v>13.47</v>
      </c>
      <c r="K19" s="1307" t="s">
        <v>2796</v>
      </c>
      <c r="L19" s="689" t="s">
        <v>534</v>
      </c>
      <c r="M19" s="712">
        <f>IF(K19="按租金收入计税",'数据-取费表'!B51,'数据-取费表'!B50)</f>
        <v>1.2E-2</v>
      </c>
    </row>
    <row r="20" spans="1:37" s="711" customFormat="1" ht="18" customHeight="1">
      <c r="A20" s="2465" t="s">
        <v>3017</v>
      </c>
      <c r="B20" s="689" t="s">
        <v>536</v>
      </c>
      <c r="C20" s="319">
        <f ca="1">ROUND(C19*F20,0)</f>
        <v>24</v>
      </c>
      <c r="D20" s="714" t="s">
        <v>1178</v>
      </c>
      <c r="E20" s="689" t="s">
        <v>534</v>
      </c>
      <c r="F20" s="712">
        <f>'数据-取费表'!B37</f>
        <v>0.02</v>
      </c>
      <c r="G20" s="2316"/>
      <c r="H20" s="2465" t="s">
        <v>3014</v>
      </c>
      <c r="I20" s="501" t="s">
        <v>1179</v>
      </c>
      <c r="J20" s="320">
        <f ca="1">ROUND(M20*M21/10000,2)</f>
        <v>0.98</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0.03</v>
      </c>
      <c r="G21" s="2316"/>
      <c r="H21" s="717"/>
      <c r="I21" s="698"/>
      <c r="J21" s="324"/>
      <c r="K21" s="718"/>
      <c r="L21" s="689" t="s">
        <v>1185</v>
      </c>
      <c r="M21" s="690">
        <f ca="1">INDIRECT("'数据-取费表'!r"&amp;$G$1)</f>
        <v>814.78</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24</v>
      </c>
      <c r="K22" s="3295" t="s">
        <v>1188</v>
      </c>
      <c r="L22" s="689" t="s">
        <v>534</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58</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3.5</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1.4E-3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35.5</v>
      </c>
      <c r="K24" s="2717" t="s">
        <v>540</v>
      </c>
      <c r="L24" s="2715" t="s">
        <v>534</v>
      </c>
      <c r="M24" s="2711">
        <f ca="1">INDIRECT("'数据-取费表'!Am"&amp;$G$1)</f>
        <v>0.03</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1041</v>
      </c>
      <c r="K25" s="2720" t="s">
        <v>547</v>
      </c>
      <c r="L25" s="2721"/>
      <c r="M25" s="2722"/>
    </row>
    <row r="26" spans="1:37" ht="18" customHeight="1">
      <c r="A26" s="2465" t="s">
        <v>2745</v>
      </c>
      <c r="B26" s="689" t="s">
        <v>2934</v>
      </c>
      <c r="C26" s="319">
        <f ca="1">ROUND((C19+C20)*F26,0)</f>
        <v>183</v>
      </c>
      <c r="D26" s="714" t="s">
        <v>1197</v>
      </c>
      <c r="E26" s="700" t="s">
        <v>1198</v>
      </c>
      <c r="F26" s="699">
        <f ca="1">INDIRECT("'数据-取费表'!q"&amp;$G$1)</f>
        <v>0.15</v>
      </c>
      <c r="G26" s="2315"/>
      <c r="H26" s="686" t="s">
        <v>2731</v>
      </c>
      <c r="I26" s="687" t="s">
        <v>1199</v>
      </c>
      <c r="J26" s="688">
        <f ca="1">IF(J5&lt;&gt;0,ROUND(J25*(1-((1+M28)/(1+M26))^M27)/(M26-M28),0),0)</f>
        <v>12955</v>
      </c>
      <c r="K26" s="715" t="s">
        <v>542</v>
      </c>
      <c r="L26" s="689" t="s">
        <v>543</v>
      </c>
      <c r="M26" s="699">
        <f ca="1">INDIRECT("'数据-取费表'!I"&amp;$G$1)</f>
        <v>5.5E-2</v>
      </c>
    </row>
    <row r="27" spans="1:37" ht="18" customHeight="1">
      <c r="A27" s="2465" t="s">
        <v>2751</v>
      </c>
      <c r="B27" s="689" t="s">
        <v>544</v>
      </c>
      <c r="C27" s="319">
        <f ca="1">ROUND(F21*F26,4)</f>
        <v>4.4999999999999997E-3</v>
      </c>
      <c r="D27" s="714" t="s">
        <v>1201</v>
      </c>
      <c r="E27" s="709"/>
      <c r="F27" s="710"/>
      <c r="G27" s="2315"/>
      <c r="H27" s="691"/>
      <c r="I27" s="692"/>
      <c r="J27" s="693"/>
      <c r="K27" s="723" t="s">
        <v>1202</v>
      </c>
      <c r="L27" s="689" t="s">
        <v>550</v>
      </c>
      <c r="M27" s="724">
        <f ca="1">INDIRECT("'数据-取费表'!ag"&amp;$G$1)</f>
        <v>15.54</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1603</v>
      </c>
      <c r="D29" s="2717"/>
      <c r="E29" s="2715"/>
      <c r="F29" s="2718"/>
      <c r="G29" s="2316"/>
      <c r="H29" s="725" t="s">
        <v>2738</v>
      </c>
      <c r="I29" s="726" t="s">
        <v>1203</v>
      </c>
      <c r="J29" s="727">
        <f ca="1">ROUND(J26/(1+F40)^F41,0)</f>
        <v>5916</v>
      </c>
      <c r="K29" s="728" t="s">
        <v>1204</v>
      </c>
      <c r="L29" s="729"/>
      <c r="M29" s="730">
        <f ca="1">INDIRECT("'数据-取费表'!k"&amp;$G$1)</f>
        <v>3097.6099999999997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118</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62.7</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48.27</v>
      </c>
      <c r="D32" s="3295"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13.47</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f ca="1">IF(项目基本情况!B11="自然人","——",ROUND(F34*F35/10000,2))</f>
        <v>0.98</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814.78</v>
      </c>
      <c r="G35" s="2315"/>
      <c r="H35" s="1284"/>
      <c r="I35" s="2920"/>
      <c r="J35" s="2921"/>
      <c r="K35" s="1297"/>
      <c r="L35" s="1296"/>
      <c r="M35" s="1296"/>
    </row>
    <row r="36" spans="1:18" ht="18" customHeight="1">
      <c r="A36" s="2731" t="s">
        <v>2755</v>
      </c>
      <c r="B36" s="689" t="s">
        <v>1187</v>
      </c>
      <c r="C36" s="319">
        <f ca="1">ROUND(C29*F36,1)</f>
        <v>24</v>
      </c>
      <c r="D36" s="3295" t="s">
        <v>1217</v>
      </c>
      <c r="E36" s="689" t="s">
        <v>534</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4.2</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27.2</v>
      </c>
      <c r="D38" s="2717" t="s">
        <v>540</v>
      </c>
      <c r="E38" s="2715" t="s">
        <v>534</v>
      </c>
      <c r="F38" s="2711">
        <f ca="1">INDIRECT("'数据-取费表'!Am"&amp;$G$1)</f>
        <v>0.03</v>
      </c>
      <c r="G38" s="2315"/>
      <c r="H38" s="1296"/>
      <c r="I38" s="2920"/>
      <c r="J38" s="2921"/>
      <c r="K38" s="1301"/>
      <c r="L38" s="1296"/>
      <c r="M38" s="1296"/>
    </row>
    <row r="39" spans="1:18" ht="24.6" customHeight="1" thickTop="1">
      <c r="A39" s="2702" t="s">
        <v>2728</v>
      </c>
      <c r="B39" s="2719" t="s">
        <v>546</v>
      </c>
      <c r="C39" s="697">
        <f ca="1">C5-C30</f>
        <v>787</v>
      </c>
      <c r="D39" s="2720" t="s">
        <v>547</v>
      </c>
      <c r="E39" s="2721"/>
      <c r="F39" s="2722"/>
      <c r="G39" s="2315"/>
      <c r="H39" s="1296"/>
      <c r="I39" s="2920"/>
      <c r="J39" s="2921"/>
      <c r="K39" s="1301"/>
      <c r="L39" s="1296"/>
      <c r="M39" s="1296"/>
    </row>
    <row r="40" spans="1:18" ht="18" customHeight="1">
      <c r="A40" s="686" t="s">
        <v>2731</v>
      </c>
      <c r="B40" s="687" t="s">
        <v>548</v>
      </c>
      <c r="C40" s="688">
        <f ca="1">ROUND(C39*(1-((1+F42)/(1+F40))^F41)/(F40-F42),0)</f>
        <v>9321</v>
      </c>
      <c r="D40" s="715" t="s">
        <v>542</v>
      </c>
      <c r="E40" s="689" t="s">
        <v>543</v>
      </c>
      <c r="F40" s="699">
        <f ca="1">INDIRECT("'数据-取费表'!I"&amp;$G$1)</f>
        <v>5.5E-2</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14.64</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30091</v>
      </c>
      <c r="D43" s="728" t="s">
        <v>553</v>
      </c>
      <c r="E43" s="729" t="s">
        <v>554</v>
      </c>
      <c r="F43" s="730">
        <f ca="1">INDIRECT("'数据-取费表'!k"&amp;$G$1)</f>
        <v>3097.6099999999997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1596826</v>
      </c>
      <c r="D46" s="2762" t="str">
        <f>C2</f>
        <v>万元</v>
      </c>
      <c r="E46" s="1439"/>
      <c r="F46" s="1439"/>
      <c r="I46" s="2609" t="s">
        <v>2814</v>
      </c>
      <c r="J46" s="2610"/>
      <c r="K46" s="2611"/>
      <c r="L46" s="2613">
        <f ca="1">IF(M47="住宅",0,IF(L48&gt;J51,L60,J60))</f>
        <v>48</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15237</v>
      </c>
      <c r="R47" s="2619" t="s">
        <v>2863</v>
      </c>
    </row>
    <row r="48" spans="1:18" s="1482" customFormat="1" ht="47.25" thickBot="1">
      <c r="A48" s="2747" t="s">
        <v>3024</v>
      </c>
      <c r="B48" s="687" t="s">
        <v>2707</v>
      </c>
      <c r="C48" s="3298">
        <f ca="1">C49+C53+C55</f>
        <v>152635</v>
      </c>
      <c r="D48" s="2751"/>
      <c r="E48" s="2752"/>
      <c r="F48" s="2445"/>
      <c r="G48" s="1484"/>
      <c r="H48" s="1485"/>
      <c r="I48" s="2574" t="s">
        <v>2808</v>
      </c>
      <c r="J48" s="2586" t="s">
        <v>2809</v>
      </c>
      <c r="K48" s="2596" t="s">
        <v>912</v>
      </c>
      <c r="L48" s="2191">
        <f ca="1">INDIRECT("'数据-取费表'!f"&amp;$G$1)</f>
        <v>30.18</v>
      </c>
      <c r="O48" s="2618" t="s">
        <v>2844</v>
      </c>
      <c r="P48" s="2628" t="s">
        <v>2864</v>
      </c>
      <c r="Q48" s="2619">
        <f ca="1">J60</f>
        <v>48</v>
      </c>
      <c r="R48" s="2619" t="s">
        <v>2872</v>
      </c>
    </row>
    <row r="49" spans="1:18" s="1482" customFormat="1" ht="16.5" thickBot="1">
      <c r="A49" s="2458" t="s">
        <v>3025</v>
      </c>
      <c r="B49" s="2750" t="s">
        <v>3027</v>
      </c>
      <c r="C49" s="2759">
        <f ca="1">ROUND(F49*F51*F50*(1-F52)/10000,0)</f>
        <v>152635</v>
      </c>
      <c r="D49" s="2561" t="s">
        <v>2708</v>
      </c>
      <c r="E49" s="2564" t="s">
        <v>2701</v>
      </c>
      <c r="F49" s="2567">
        <v>1500</v>
      </c>
      <c r="G49" s="1486"/>
      <c r="H49" s="1485"/>
      <c r="I49" s="2574" t="s">
        <v>2828</v>
      </c>
      <c r="J49" s="3312">
        <v>2010</v>
      </c>
      <c r="K49" s="2597" t="s">
        <v>2833</v>
      </c>
      <c r="L49" s="2598">
        <v>5000</v>
      </c>
      <c r="O49" s="2620" t="s">
        <v>2845</v>
      </c>
      <c r="P49" s="2628" t="s">
        <v>2865</v>
      </c>
      <c r="Q49" s="2619">
        <f ca="1">C29</f>
        <v>1603</v>
      </c>
      <c r="R49" s="2619" t="s">
        <v>2863</v>
      </c>
    </row>
    <row r="50" spans="1:18" s="1482" customFormat="1" ht="15.75" thickBot="1">
      <c r="A50" s="2459"/>
      <c r="B50" s="2462"/>
      <c r="C50" s="2767"/>
      <c r="D50" s="2432"/>
      <c r="E50" s="2562" t="s">
        <v>1158</v>
      </c>
      <c r="F50" s="2563">
        <f ca="1">F7</f>
        <v>3097.6099999999997</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1159</v>
      </c>
      <c r="F51" s="690">
        <f ca="1">F8</f>
        <v>365</v>
      </c>
      <c r="I51" s="2589" t="s">
        <v>2815</v>
      </c>
      <c r="J51" s="2590">
        <f>IF(J49="",J50,J49+J50-YEAR('数据-取费表'!B2))</f>
        <v>53</v>
      </c>
      <c r="K51" s="2599" t="s">
        <v>2835</v>
      </c>
      <c r="L51" s="2612">
        <f ca="1">ROUND(-PV(INDIRECT("'数据-取费表'!h"&amp;$G$1),L48,(C39-C13*C76),0),0)</f>
        <v>9827</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8"/>
      <c r="O53" s="2618" t="s">
        <v>2849</v>
      </c>
      <c r="P53" s="2628" t="s">
        <v>2868</v>
      </c>
      <c r="Q53" s="2619">
        <f ca="1">Q47+Q48</f>
        <v>15285</v>
      </c>
      <c r="R53" s="2619" t="s">
        <v>2850</v>
      </c>
    </row>
    <row r="54" spans="1:18" s="1482" customFormat="1" ht="16.5" thickBot="1">
      <c r="A54" s="2866"/>
      <c r="B54" s="2659" t="s">
        <v>3104</v>
      </c>
      <c r="C54" s="2442"/>
      <c r="D54" s="2669"/>
      <c r="E54" s="3297"/>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297"/>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f ca="1">C13</f>
        <v>1411</v>
      </c>
      <c r="D56" s="2734"/>
      <c r="E56" s="2438"/>
      <c r="F56" s="2568"/>
      <c r="I56" s="2573" t="s">
        <v>2818</v>
      </c>
      <c r="J56" s="2603" t="s">
        <v>44</v>
      </c>
      <c r="K56" s="2574" t="s">
        <v>2822</v>
      </c>
      <c r="L56" s="2191" t="str">
        <f ca="1">IF(L48&lt;J51,"——",L48-J51)</f>
        <v>——</v>
      </c>
      <c r="O56" s="2618" t="s">
        <v>2843</v>
      </c>
      <c r="P56" s="2628" t="s">
        <v>2862</v>
      </c>
      <c r="Q56" s="2619">
        <f ca="1">C40+J29</f>
        <v>15237</v>
      </c>
      <c r="R56" s="2619" t="s">
        <v>2863</v>
      </c>
    </row>
    <row r="57" spans="1:18" s="1482" customFormat="1" ht="29.25" thickBot="1">
      <c r="A57" s="2569"/>
      <c r="B57" s="2429" t="s">
        <v>1210</v>
      </c>
      <c r="C57" s="619">
        <f ca="1">C29</f>
        <v>1603</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1168</v>
      </c>
      <c r="C58" s="703">
        <f ca="1">ROUND(C59+C64+C65+C66,0)</f>
        <v>12762</v>
      </c>
      <c r="D58" s="2443" t="s">
        <v>1169</v>
      </c>
      <c r="E58" s="2444"/>
      <c r="F58" s="2445"/>
      <c r="I58" s="2575" t="s">
        <v>2819</v>
      </c>
      <c r="J58" s="3314">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8155</v>
      </c>
      <c r="D59" s="2446" t="s">
        <v>1172</v>
      </c>
      <c r="E59" s="2447" t="s">
        <v>1173</v>
      </c>
      <c r="F59" s="713" t="str">
        <f ca="1">IF(项目基本情况!B11="企业","",IF(INDIRECT("'数据-取费表'!c"&amp;$G$1)="住宅",4.5%,IF(F49*F50*F51/12&gt;20000,11%,6%)))</f>
        <v/>
      </c>
      <c r="I59" s="2575" t="s">
        <v>2820</v>
      </c>
      <c r="J59" s="2579">
        <f ca="1">IF(OR(M47="住宅",J51&lt;L48,J56="是"),"——",ROUND(C29*J58,0))</f>
        <v>641</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1174</v>
      </c>
      <c r="C60" s="319">
        <f ca="1">IF(项目基本情况!B11="自然人","——",ROUND(C48*F60/(1+'数据-取费表'!B42),2))</f>
        <v>8140.53</v>
      </c>
      <c r="D60" s="2447" t="s">
        <v>1175</v>
      </c>
      <c r="E60" s="2429" t="s">
        <v>534</v>
      </c>
      <c r="F60" s="722">
        <f t="shared" ref="F60:F66" si="0">F32</f>
        <v>5.6000000000000001E-2</v>
      </c>
      <c r="I60" s="2576" t="s">
        <v>2821</v>
      </c>
      <c r="J60" s="2581">
        <f ca="1">IF(OR(M47="住宅",J51&lt;L48,J56="是"),"0",ROUND(J59/(1+J52)^J53,0))</f>
        <v>48</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1177</v>
      </c>
      <c r="C61" s="319">
        <f ca="1">IF(项目基本情况!B11="自然人","——",IF(D61="按租金收入计税",ROUND(C48*F61,2),IF(D61="按房产原值计税",ROUND(C57*F61*0.7,2),INDIRECT("'数据-取费表'!Aj"&amp;$G$1))))</f>
        <v>13.47</v>
      </c>
      <c r="D61" s="1307" t="s">
        <v>2796</v>
      </c>
      <c r="E61" s="2429" t="s">
        <v>534</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1179</v>
      </c>
      <c r="C62" s="320">
        <f ca="1">IF(项目基本情况!B11="自然人","——",ROUND(F62*F63/10000,2))</f>
        <v>0.98</v>
      </c>
      <c r="D62" s="2448" t="s">
        <v>1180</v>
      </c>
      <c r="E62" s="2429" t="s">
        <v>1181</v>
      </c>
      <c r="F62" s="716">
        <f t="shared" si="0"/>
        <v>12</v>
      </c>
      <c r="I62" s="2577" t="s">
        <v>2811</v>
      </c>
      <c r="J62" s="2578" t="s">
        <v>2812</v>
      </c>
      <c r="K62" s="2578" t="s">
        <v>2813</v>
      </c>
      <c r="L62" s="2578" t="s">
        <v>2809</v>
      </c>
      <c r="O62" s="2618" t="s">
        <v>2849</v>
      </c>
      <c r="P62" s="2628" t="s">
        <v>2868</v>
      </c>
      <c r="Q62" s="2619">
        <f ca="1">Q56+Q57</f>
        <v>15237</v>
      </c>
      <c r="R62" s="2619" t="s">
        <v>2850</v>
      </c>
    </row>
    <row r="63" spans="1:18" s="1482" customFormat="1" ht="16.5" thickBot="1">
      <c r="A63" s="717"/>
      <c r="B63" s="2435"/>
      <c r="C63" s="324"/>
      <c r="D63" s="2449"/>
      <c r="E63" s="2429" t="s">
        <v>1185</v>
      </c>
      <c r="F63" s="690">
        <f t="shared" ca="1" si="0"/>
        <v>814.78</v>
      </c>
      <c r="I63" s="2577" t="s">
        <v>2825</v>
      </c>
      <c r="J63" s="2578">
        <v>70</v>
      </c>
      <c r="K63" s="2578">
        <v>50</v>
      </c>
      <c r="L63" s="2578">
        <v>80</v>
      </c>
      <c r="O63" s="2622" t="s">
        <v>2882</v>
      </c>
      <c r="P63" s="1302"/>
      <c r="Q63" s="1302"/>
      <c r="R63" s="1302"/>
    </row>
    <row r="64" spans="1:18" s="1482" customFormat="1" ht="15.75" thickBot="1">
      <c r="A64" s="2465" t="s">
        <v>2755</v>
      </c>
      <c r="B64" s="2429" t="s">
        <v>1187</v>
      </c>
      <c r="C64" s="319">
        <f ca="1">ROUND(C57*F64,1)</f>
        <v>24</v>
      </c>
      <c r="D64" s="2447" t="s">
        <v>1217</v>
      </c>
      <c r="E64" s="2429" t="s">
        <v>534</v>
      </c>
      <c r="F64" s="719">
        <f t="shared" ca="1" si="0"/>
        <v>1.4999999999999999E-2</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4.2</v>
      </c>
      <c r="D65" s="2447" t="s">
        <v>538</v>
      </c>
      <c r="E65" s="2429" t="s">
        <v>534</v>
      </c>
      <c r="F65" s="721">
        <f t="shared" ca="1" si="0"/>
        <v>3.0000000000000001E-3</v>
      </c>
      <c r="I65" s="2577" t="s">
        <v>2827</v>
      </c>
      <c r="J65" s="2578">
        <v>40</v>
      </c>
      <c r="K65" s="2578">
        <v>30</v>
      </c>
      <c r="L65" s="2578">
        <v>50</v>
      </c>
      <c r="O65" s="2618" t="s">
        <v>2843</v>
      </c>
      <c r="P65" s="2628" t="s">
        <v>2862</v>
      </c>
      <c r="Q65" s="2619">
        <f ca="1">C40+J29</f>
        <v>15237</v>
      </c>
      <c r="R65" s="2619" t="s">
        <v>2863</v>
      </c>
    </row>
    <row r="66" spans="1:18" s="1482" customFormat="1" ht="20.25" thickBot="1">
      <c r="A66" s="2465" t="s">
        <v>2750</v>
      </c>
      <c r="B66" s="2429" t="s">
        <v>536</v>
      </c>
      <c r="C66" s="319">
        <f ca="1">ROUND(C48*F66,1)</f>
        <v>4579.1000000000004</v>
      </c>
      <c r="D66" s="2447" t="s">
        <v>540</v>
      </c>
      <c r="E66" s="2429" t="s">
        <v>534</v>
      </c>
      <c r="F66" s="699">
        <f t="shared" ca="1" si="0"/>
        <v>0.03</v>
      </c>
      <c r="O66" s="2618" t="s">
        <v>2844</v>
      </c>
      <c r="P66" s="2628" t="s">
        <v>2869</v>
      </c>
      <c r="Q66" s="2619">
        <f ca="1">L60</f>
        <v>0</v>
      </c>
      <c r="R66" s="2619" t="s">
        <v>2851</v>
      </c>
    </row>
    <row r="67" spans="1:18" s="1482" customFormat="1" ht="24.75" thickBot="1">
      <c r="A67" s="2436" t="s">
        <v>2728</v>
      </c>
      <c r="B67" s="2450" t="s">
        <v>546</v>
      </c>
      <c r="C67" s="703">
        <f ca="1">C48-C58</f>
        <v>139873</v>
      </c>
      <c r="D67" s="2446" t="s">
        <v>547</v>
      </c>
      <c r="E67" s="2451"/>
      <c r="F67" s="2452"/>
      <c r="O67" s="2620" t="s">
        <v>2845</v>
      </c>
      <c r="P67" s="2628" t="s">
        <v>2876</v>
      </c>
      <c r="Q67" s="2623">
        <f ca="1">L51</f>
        <v>9827</v>
      </c>
      <c r="R67" s="2624" t="s">
        <v>2886</v>
      </c>
    </row>
    <row r="68" spans="1:18" s="1482" customFormat="1" ht="20.25" thickBot="1">
      <c r="A68" s="2426" t="s">
        <v>2731</v>
      </c>
      <c r="B68" s="2427" t="s">
        <v>548</v>
      </c>
      <c r="C68" s="688">
        <f ca="1">ROUND(C67*(1-((1+F70)/(1+F68))^F69)/(F68-F70),0)</f>
        <v>1606147</v>
      </c>
      <c r="D68" s="2448" t="s">
        <v>542</v>
      </c>
      <c r="E68" s="2429" t="s">
        <v>543</v>
      </c>
      <c r="F68" s="699">
        <f ca="1">F40</f>
        <v>5.5E-2</v>
      </c>
      <c r="O68" s="2620" t="s">
        <v>2846</v>
      </c>
      <c r="P68" s="2629" t="s">
        <v>2880</v>
      </c>
      <c r="Q68" s="2619">
        <f ca="1">ROUND(Q69-Q70*Q71,0)</f>
        <v>667</v>
      </c>
      <c r="R68" s="2619" t="s">
        <v>2885</v>
      </c>
    </row>
    <row r="69" spans="1:18" s="1482" customFormat="1" ht="15.75" thickBot="1">
      <c r="A69" s="2430"/>
      <c r="B69" s="2431"/>
      <c r="C69" s="693"/>
      <c r="D69" s="2453" t="s">
        <v>1202</v>
      </c>
      <c r="E69" s="2429" t="s">
        <v>550</v>
      </c>
      <c r="F69" s="724">
        <f ca="1">F41</f>
        <v>14.64</v>
      </c>
      <c r="O69" s="2620" t="s">
        <v>2854</v>
      </c>
      <c r="P69" s="2629" t="s">
        <v>2870</v>
      </c>
      <c r="Q69" s="2619">
        <f ca="1">C39</f>
        <v>787</v>
      </c>
      <c r="R69" s="2619" t="s">
        <v>2863</v>
      </c>
    </row>
    <row r="70" spans="1:18" s="1482" customFormat="1" ht="15.75" thickBot="1">
      <c r="A70" s="2433"/>
      <c r="B70" s="2434"/>
      <c r="C70" s="697"/>
      <c r="D70" s="2449"/>
      <c r="E70" s="2429" t="s">
        <v>551</v>
      </c>
      <c r="F70" s="2560">
        <v>2.5000000000000001E-2</v>
      </c>
      <c r="O70" s="2620" t="s">
        <v>2855</v>
      </c>
      <c r="P70" s="2629" t="s">
        <v>2871</v>
      </c>
      <c r="Q70" s="2619">
        <f ca="1">C13</f>
        <v>1411</v>
      </c>
      <c r="R70" s="2619" t="s">
        <v>2863</v>
      </c>
    </row>
    <row r="71" spans="1:18" s="1482" customFormat="1" ht="15.75" thickBot="1">
      <c r="A71" s="2454" t="s">
        <v>2738</v>
      </c>
      <c r="B71" s="2455" t="s">
        <v>552</v>
      </c>
      <c r="C71" s="727">
        <f ca="1">ROUND(C68*10000/F71,0)</f>
        <v>5185117</v>
      </c>
      <c r="D71" s="2456" t="s">
        <v>553</v>
      </c>
      <c r="E71" s="2457" t="s">
        <v>554</v>
      </c>
      <c r="F71" s="730">
        <f ca="1">F43</f>
        <v>3097.6099999999997</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120</v>
      </c>
      <c r="D75" s="1482"/>
      <c r="E75" s="1482"/>
      <c r="F75" s="1482"/>
      <c r="K75" s="1483"/>
      <c r="L75" s="1482"/>
      <c r="O75" s="2618" t="s">
        <v>2849</v>
      </c>
      <c r="P75" s="2628" t="s">
        <v>2868</v>
      </c>
      <c r="Q75" s="2619">
        <f ca="1">Q65+Q66</f>
        <v>15237</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f ca="1">1-C80</f>
        <v>0.84799999999999998</v>
      </c>
    </row>
    <row r="80" spans="1:18">
      <c r="B80" s="2912" t="s">
        <v>3110</v>
      </c>
      <c r="C80" s="655">
        <f ca="1">ROUND(C75/C39,3)</f>
        <v>0.152</v>
      </c>
    </row>
    <row r="81" spans="2:3">
      <c r="B81" s="651" t="s">
        <v>556</v>
      </c>
      <c r="C81" s="652"/>
    </row>
    <row r="82" spans="2:3">
      <c r="B82" s="2911" t="s">
        <v>3109</v>
      </c>
      <c r="C82" s="656">
        <f ca="1">1-C83</f>
        <v>0.84899999999999998</v>
      </c>
    </row>
    <row r="83" spans="2:3">
      <c r="B83" s="2911" t="s">
        <v>3108</v>
      </c>
      <c r="C83" s="655">
        <f ca="1">ROUND(C13/C40,3)</f>
        <v>0.151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43</v>
      </c>
      <c r="D1" s="1280"/>
      <c r="E1" s="2616" t="s">
        <v>2837</v>
      </c>
      <c r="F1" s="2617">
        <f ca="1">J53</f>
        <v>30.18</v>
      </c>
      <c r="G1" s="677">
        <f>MATCH(C1,'数据-取费表'!A6:A16,0)+5</f>
        <v>7</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1060</v>
      </c>
      <c r="B2" s="1413">
        <f ca="1">C40+J29+L46</f>
        <v>18246</v>
      </c>
      <c r="C2" s="1306" t="s">
        <v>1424</v>
      </c>
      <c r="D2" s="1282"/>
      <c r="E2" s="2606"/>
      <c r="F2" s="1283"/>
      <c r="G2" s="2314"/>
      <c r="H2" s="1281"/>
      <c r="I2" s="1281"/>
      <c r="J2" s="1281"/>
      <c r="K2" s="1305"/>
      <c r="L2" s="1281"/>
      <c r="M2" s="1281"/>
    </row>
    <row r="3" spans="1:37" ht="18" customHeight="1" thickBot="1">
      <c r="A3" s="680" t="s">
        <v>1061</v>
      </c>
      <c r="B3" s="1414">
        <f ca="1">IF(ISERROR(B2*10000/F43),0,ROUND(B2*10000/F43,0))</f>
        <v>57281</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2940</v>
      </c>
      <c r="C5" s="2661">
        <f ca="1">C6+C10+C12</f>
        <v>1023</v>
      </c>
      <c r="D5" s="2671" t="s">
        <v>2942</v>
      </c>
      <c r="E5" s="2662"/>
      <c r="F5" s="2663"/>
      <c r="G5" s="2315"/>
      <c r="H5" s="686">
        <v>1</v>
      </c>
      <c r="I5" s="687" t="s">
        <v>2940</v>
      </c>
      <c r="J5" s="2661">
        <f ca="1">J6+J10+J12</f>
        <v>1325</v>
      </c>
      <c r="K5" s="2664" t="s">
        <v>2942</v>
      </c>
      <c r="L5" s="2662"/>
      <c r="M5" s="2663"/>
    </row>
    <row r="6" spans="1:37" ht="18" customHeight="1">
      <c r="A6" s="2657" t="s">
        <v>2947</v>
      </c>
      <c r="B6" s="3604" t="s">
        <v>2941</v>
      </c>
      <c r="C6" s="2666">
        <f ca="1">ROUND(F6*F8*F7*(1-F9)/10000,0)</f>
        <v>1023</v>
      </c>
      <c r="D6" s="2660" t="s">
        <v>2943</v>
      </c>
      <c r="E6" s="689" t="s">
        <v>1157</v>
      </c>
      <c r="F6" s="690">
        <f ca="1">INDIRECT("'数据-取费表'!u"&amp;$G$1)</f>
        <v>8.8000000000000007</v>
      </c>
      <c r="G6" s="2315"/>
      <c r="H6" s="2657" t="s">
        <v>2950</v>
      </c>
      <c r="I6" s="3604" t="s">
        <v>2941</v>
      </c>
      <c r="J6" s="688">
        <f ca="1">ROUND(M6*M8*M7*(1-M9)/10000,0)</f>
        <v>1325</v>
      </c>
      <c r="K6" s="2660" t="s">
        <v>2943</v>
      </c>
      <c r="L6" s="689" t="s">
        <v>1157</v>
      </c>
      <c r="M6" s="690">
        <f ca="1">INDIRECT("'数据-取费表'!z"&amp;$G$1)</f>
        <v>12</v>
      </c>
    </row>
    <row r="7" spans="1:37" ht="18" customHeight="1">
      <c r="A7" s="2665"/>
      <c r="B7" s="3605"/>
      <c r="C7" s="2667"/>
      <c r="D7" s="2084"/>
      <c r="E7" s="2668" t="s">
        <v>1158</v>
      </c>
      <c r="F7" s="690">
        <f ca="1">IF(INDIRECT("'数据-取费表'!ah"&amp;$G$1)="",INDIRECT("'数据-取费表'!k"&amp;$G$1),INDIRECT("'数据-取费表'!ah"&amp;$G$1))</f>
        <v>3185.37</v>
      </c>
      <c r="G7" s="2315"/>
      <c r="H7" s="691"/>
      <c r="I7" s="3605"/>
      <c r="J7" s="693"/>
      <c r="K7" s="694"/>
      <c r="L7" s="689" t="s">
        <v>1158</v>
      </c>
      <c r="M7" s="690">
        <f ca="1">F7</f>
        <v>3185.37</v>
      </c>
    </row>
    <row r="8" spans="1:37" ht="18" customHeight="1">
      <c r="A8" s="691"/>
      <c r="B8" s="3605"/>
      <c r="C8" s="693"/>
      <c r="D8" s="694"/>
      <c r="E8" s="689" t="s">
        <v>1159</v>
      </c>
      <c r="F8" s="690">
        <f ca="1">INDIRECT("'数据-取费表'!ai"&amp;$G$1)</f>
        <v>365</v>
      </c>
      <c r="G8" s="2315"/>
      <c r="H8" s="691"/>
      <c r="I8" s="3605"/>
      <c r="J8" s="693"/>
      <c r="K8" s="694"/>
      <c r="L8" s="689" t="s">
        <v>1159</v>
      </c>
      <c r="M8" s="690">
        <f ca="1">INDIRECT("'数据-取费表'!ai"&amp;$G$1)</f>
        <v>365</v>
      </c>
    </row>
    <row r="9" spans="1:37" ht="18" customHeight="1">
      <c r="A9" s="691"/>
      <c r="B9" s="3606"/>
      <c r="C9" s="693"/>
      <c r="D9" s="694"/>
      <c r="E9" s="689" t="s">
        <v>1160</v>
      </c>
      <c r="F9" s="699">
        <f ca="1">INDIRECT("'数据-取费表'!w"&amp;$G$1)</f>
        <v>0</v>
      </c>
      <c r="G9" s="2315"/>
      <c r="H9" s="691"/>
      <c r="I9" s="3606"/>
      <c r="J9" s="693"/>
      <c r="K9" s="694"/>
      <c r="L9" s="700" t="s">
        <v>1160</v>
      </c>
      <c r="M9" s="701">
        <f ca="1">INDIRECT("'数据-取费表'!ab"&amp;$G$1)</f>
        <v>0.05</v>
      </c>
    </row>
    <row r="10" spans="1:37" ht="18" customHeight="1">
      <c r="A10" s="2657" t="s">
        <v>2948</v>
      </c>
      <c r="B10" s="2658" t="s">
        <v>2936</v>
      </c>
      <c r="C10" s="703">
        <f ca="1">ROUND(IF(F10="押一",F6*F8*F7/12*F11,IF(F10="押二",F6*F8*F7/12*2*F11,IF(F10="押三",F6*F8*F7/12*3*F11,C11*F11)))/10000,0)</f>
        <v>0</v>
      </c>
      <c r="D10" s="2669" t="s">
        <v>2944</v>
      </c>
      <c r="E10" s="2120" t="s">
        <v>2938</v>
      </c>
      <c r="F10" s="3313" t="s">
        <v>3101</v>
      </c>
      <c r="G10" s="2315"/>
      <c r="H10" s="2657" t="s">
        <v>2951</v>
      </c>
      <c r="I10" s="2658" t="s">
        <v>2936</v>
      </c>
      <c r="J10" s="688">
        <f ca="1">ROUND(IF(M10="押一",M6*M8*M7/12*M11,IF(M10="押二",M6*M8*M7/12*2*M11,IF(M10="押三",M6*M8*M7/12*3*M11,J11*M11)))/10000,0)</f>
        <v>0</v>
      </c>
      <c r="K10" s="2669" t="s">
        <v>2944</v>
      </c>
      <c r="L10" s="2120" t="s">
        <v>2938</v>
      </c>
      <c r="M10" s="3340"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2952</v>
      </c>
      <c r="I12" s="2707" t="s">
        <v>2937</v>
      </c>
      <c r="J12" s="2708"/>
      <c r="K12" s="2725"/>
      <c r="L12" s="2710"/>
      <c r="M12" s="2726"/>
    </row>
    <row r="13" spans="1:37" ht="18" customHeight="1" thickTop="1">
      <c r="A13" s="2702">
        <v>2</v>
      </c>
      <c r="B13" s="2703" t="s">
        <v>1161</v>
      </c>
      <c r="C13" s="697">
        <f ca="1">ROUND(C29*F13,0)</f>
        <v>1514</v>
      </c>
      <c r="D13" s="2704" t="s">
        <v>1162</v>
      </c>
      <c r="E13" s="2704" t="s">
        <v>1163</v>
      </c>
      <c r="F13" s="2705">
        <f ca="1">INDIRECT("'数据-取费表'!y"&amp;$G$1)</f>
        <v>0.88</v>
      </c>
      <c r="G13" s="2315"/>
      <c r="H13" s="2702">
        <v>2</v>
      </c>
      <c r="I13" s="2703" t="s">
        <v>1161</v>
      </c>
      <c r="J13" s="2656">
        <f ca="1">ROUND(J14*J15,0)</f>
        <v>1256</v>
      </c>
      <c r="K13" s="2712" t="s">
        <v>1162</v>
      </c>
      <c r="L13" s="2723"/>
      <c r="M13" s="2724"/>
    </row>
    <row r="14" spans="1:37" ht="18" customHeight="1">
      <c r="A14" s="2465" t="s">
        <v>2745</v>
      </c>
      <c r="B14" s="689" t="s">
        <v>528</v>
      </c>
      <c r="C14" s="707">
        <f ca="1">INDIRECT("'数据-取费表'!m"&amp;$G$1)+INDIRECT("'数据-取费表'!t"&amp;$G$1)</f>
        <v>1115</v>
      </c>
      <c r="D14" s="2239" t="s">
        <v>1164</v>
      </c>
      <c r="E14" s="2238"/>
      <c r="F14" s="708"/>
      <c r="G14" s="2315"/>
      <c r="H14" s="2465" t="s">
        <v>2748</v>
      </c>
      <c r="I14" s="689" t="s">
        <v>1165</v>
      </c>
      <c r="J14" s="319">
        <f ca="1">C29</f>
        <v>1720</v>
      </c>
      <c r="K14" s="309"/>
      <c r="L14" s="705"/>
      <c r="M14" s="706"/>
    </row>
    <row r="15" spans="1:37" s="711" customFormat="1" ht="18" customHeight="1" thickBot="1">
      <c r="A15" s="2465" t="s">
        <v>3013</v>
      </c>
      <c r="B15" s="689" t="s">
        <v>529</v>
      </c>
      <c r="C15" s="319">
        <f ca="1">ROUND(C14*F15,0)</f>
        <v>33</v>
      </c>
      <c r="D15" s="709" t="s">
        <v>1166</v>
      </c>
      <c r="E15" s="709" t="s">
        <v>1167</v>
      </c>
      <c r="F15" s="710">
        <f>'数据-取费表'!B33</f>
        <v>0.03</v>
      </c>
      <c r="G15" s="2316"/>
      <c r="H15" s="2714" t="s">
        <v>2755</v>
      </c>
      <c r="I15" s="2715" t="s">
        <v>1163</v>
      </c>
      <c r="J15" s="2726">
        <f ca="1">INDIRECT("'数据-取费表'!ad"&amp;$G$1)</f>
        <v>0.73</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1167</v>
      </c>
      <c r="F16" s="712">
        <f ca="1">IF(INDIRECT("'数据-取费表'!c"&amp;$G$1)="住宅",'数据-取费表'!B34,0)</f>
        <v>0</v>
      </c>
      <c r="G16" s="2315"/>
      <c r="H16" s="2702" t="s">
        <v>2713</v>
      </c>
      <c r="I16" s="2703" t="s">
        <v>1168</v>
      </c>
      <c r="J16" s="697">
        <f ca="1">ROUND(J17+J22+J23+J24,0)</f>
        <v>156</v>
      </c>
      <c r="K16" s="2712" t="s">
        <v>1169</v>
      </c>
      <c r="L16" s="2713"/>
      <c r="M16" s="2663"/>
    </row>
    <row r="17" spans="1:37" s="711" customFormat="1" ht="18" customHeight="1">
      <c r="A17" s="2465" t="s">
        <v>3015</v>
      </c>
      <c r="B17" s="689" t="s">
        <v>531</v>
      </c>
      <c r="C17" s="319">
        <f ca="1">ROUND(F17*(F43+INDIRECT("'数据-取费表'!S"&amp;$G$1))/10000,0)</f>
        <v>64</v>
      </c>
      <c r="D17" s="689" t="s">
        <v>1170</v>
      </c>
      <c r="E17" s="689" t="s">
        <v>1171</v>
      </c>
      <c r="F17" s="321">
        <f>'数据-取费表'!B35</f>
        <v>200</v>
      </c>
      <c r="G17" s="2316"/>
      <c r="H17" s="2465" t="s">
        <v>2748</v>
      </c>
      <c r="I17" s="689" t="s">
        <v>532</v>
      </c>
      <c r="J17" s="319">
        <f ca="1">ROUND(IF(项目基本情况!B11="自然人",J5*M17,J18+J19+J20),1)</f>
        <v>86.1</v>
      </c>
      <c r="K17" s="2239" t="s">
        <v>1172</v>
      </c>
      <c r="L17" s="2237"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17</v>
      </c>
      <c r="D18" s="689" t="s">
        <v>1166</v>
      </c>
      <c r="E18" s="689" t="s">
        <v>1167</v>
      </c>
      <c r="F18" s="712">
        <f>'数据-取费表'!B36</f>
        <v>1.4999999999999999E-2</v>
      </c>
      <c r="G18" s="2316"/>
      <c r="H18" s="2465" t="s">
        <v>2745</v>
      </c>
      <c r="I18" s="689" t="s">
        <v>1174</v>
      </c>
      <c r="J18" s="319">
        <f ca="1">ROUND(J5*M18/(1+'数据-取费表'!B42),2)</f>
        <v>70.67</v>
      </c>
      <c r="K18" s="2237" t="s">
        <v>1175</v>
      </c>
      <c r="L18" s="689" t="s">
        <v>1167</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2947</v>
      </c>
      <c r="B19" s="689" t="s">
        <v>535</v>
      </c>
      <c r="C19" s="319">
        <f ca="1">SUM(C14:C18)</f>
        <v>1229</v>
      </c>
      <c r="D19" s="476" t="s">
        <v>1176</v>
      </c>
      <c r="E19" s="2250"/>
      <c r="F19" s="321"/>
      <c r="G19" s="2315"/>
      <c r="H19" s="2465" t="s">
        <v>3013</v>
      </c>
      <c r="I19" s="689" t="s">
        <v>1177</v>
      </c>
      <c r="J19" s="319">
        <f ca="1">IF(K19="按租金收入计税",ROUND(J5*M19,2),ROUND(C29*M19*0.7,2))</f>
        <v>14.45</v>
      </c>
      <c r="K19" s="1307" t="s">
        <v>2796</v>
      </c>
      <c r="L19" s="689" t="s">
        <v>1167</v>
      </c>
      <c r="M19" s="712">
        <f>IF(K19="按租金收入计税",'数据-取费表'!B51,'数据-取费表'!B50)</f>
        <v>1.2E-2</v>
      </c>
    </row>
    <row r="20" spans="1:37" s="711" customFormat="1" ht="18" customHeight="1">
      <c r="A20" s="2465" t="s">
        <v>3017</v>
      </c>
      <c r="B20" s="689" t="s">
        <v>536</v>
      </c>
      <c r="C20" s="319">
        <f ca="1">ROUND(C19*F20,0)</f>
        <v>25</v>
      </c>
      <c r="D20" s="714" t="s">
        <v>1178</v>
      </c>
      <c r="E20" s="689" t="s">
        <v>1167</v>
      </c>
      <c r="F20" s="712">
        <f>'数据-取费表'!B37</f>
        <v>0.02</v>
      </c>
      <c r="G20" s="2316"/>
      <c r="H20" s="2465" t="s">
        <v>3014</v>
      </c>
      <c r="I20" s="501" t="s">
        <v>1179</v>
      </c>
      <c r="J20" s="320">
        <f ca="1">ROUND(M20*M21/10000,2)</f>
        <v>1.01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76</v>
      </c>
      <c r="D21" s="714" t="s">
        <v>1183</v>
      </c>
      <c r="E21" s="689" t="s">
        <v>1184</v>
      </c>
      <c r="F21" s="712">
        <f>'数据-取费表'!B38</f>
        <v>0.03</v>
      </c>
      <c r="G21" s="2316"/>
      <c r="H21" s="717"/>
      <c r="I21" s="698"/>
      <c r="J21" s="324"/>
      <c r="K21" s="718"/>
      <c r="L21" s="689" t="s">
        <v>1185</v>
      </c>
      <c r="M21" s="690">
        <f ca="1">INDIRECT("'数据-取费表'!r"&amp;$G$1)</f>
        <v>837.86</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2250"/>
      <c r="F22" s="321"/>
      <c r="G22" s="2315"/>
      <c r="H22" s="2465" t="s">
        <v>2755</v>
      </c>
      <c r="I22" s="689" t="s">
        <v>1187</v>
      </c>
      <c r="J22" s="319">
        <f ca="1">ROUND(J14*M22,1)</f>
        <v>25.8</v>
      </c>
      <c r="K22" s="2237" t="s">
        <v>1188</v>
      </c>
      <c r="L22" s="689" t="s">
        <v>1167</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59</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3.8</v>
      </c>
      <c r="K23" s="2237" t="s">
        <v>1190</v>
      </c>
      <c r="L23" s="689" t="s">
        <v>1167</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1.4E-3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39.799999999999997</v>
      </c>
      <c r="K24" s="2717" t="s">
        <v>1193</v>
      </c>
      <c r="L24" s="2715" t="s">
        <v>1167</v>
      </c>
      <c r="M24" s="2711">
        <f ca="1">INDIRECT("'数据-取费表'!Am"&amp;$G$1)</f>
        <v>0.03</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250"/>
      <c r="F25" s="321"/>
      <c r="G25" s="2315"/>
      <c r="H25" s="2702" t="s">
        <v>2728</v>
      </c>
      <c r="I25" s="2719" t="s">
        <v>1195</v>
      </c>
      <c r="J25" s="697">
        <f ca="1">J5-J16</f>
        <v>1169</v>
      </c>
      <c r="K25" s="2720" t="s">
        <v>1196</v>
      </c>
      <c r="L25" s="2721"/>
      <c r="M25" s="2722"/>
    </row>
    <row r="26" spans="1:37" ht="18" customHeight="1">
      <c r="A26" s="2465" t="s">
        <v>2745</v>
      </c>
      <c r="B26" s="689" t="s">
        <v>2934</v>
      </c>
      <c r="C26" s="319">
        <f ca="1">ROUND((C19+C20)*F26,0)</f>
        <v>251</v>
      </c>
      <c r="D26" s="714" t="s">
        <v>1197</v>
      </c>
      <c r="E26" s="700" t="s">
        <v>1198</v>
      </c>
      <c r="F26" s="699">
        <f ca="1">INDIRECT("'数据-取费表'!q"&amp;$G$1)</f>
        <v>0.2</v>
      </c>
      <c r="G26" s="2315"/>
      <c r="H26" s="686" t="s">
        <v>2731</v>
      </c>
      <c r="I26" s="687" t="s">
        <v>1199</v>
      </c>
      <c r="J26" s="688">
        <f ca="1">IF(J5&lt;&gt;0,ROUND(J25*(1-((1+M28)/(1+M26))^M27)/(M26-M28),0),0)</f>
        <v>18133</v>
      </c>
      <c r="K26" s="715" t="s">
        <v>1200</v>
      </c>
      <c r="L26" s="689" t="s">
        <v>1206</v>
      </c>
      <c r="M26" s="699">
        <f ca="1">INDIRECT("'数据-取费表'!I"&amp;$G$1)</f>
        <v>5.5E-2</v>
      </c>
    </row>
    <row r="27" spans="1:37" ht="18" customHeight="1">
      <c r="A27" s="2465" t="s">
        <v>2751</v>
      </c>
      <c r="B27" s="689" t="s">
        <v>544</v>
      </c>
      <c r="C27" s="319">
        <f ca="1">ROUND(F21*F26,4)</f>
        <v>6.0000000000000001E-3</v>
      </c>
      <c r="D27" s="714" t="s">
        <v>1201</v>
      </c>
      <c r="E27" s="709"/>
      <c r="F27" s="710"/>
      <c r="G27" s="2315"/>
      <c r="H27" s="691"/>
      <c r="I27" s="692"/>
      <c r="J27" s="693"/>
      <c r="K27" s="723" t="s">
        <v>1202</v>
      </c>
      <c r="L27" s="689" t="s">
        <v>1207</v>
      </c>
      <c r="M27" s="724">
        <f ca="1">INDIRECT("'数据-取费表'!ag"&amp;$G$1)</f>
        <v>20.46</v>
      </c>
    </row>
    <row r="28" spans="1:37" s="711" customFormat="1" ht="18" customHeight="1">
      <c r="A28" s="2465" t="s">
        <v>2753</v>
      </c>
      <c r="B28" s="689" t="s">
        <v>545</v>
      </c>
      <c r="C28" s="319">
        <f>ROUND(F28/(1+'数据-取费表'!B42),4)</f>
        <v>5.33E-2</v>
      </c>
      <c r="D28" s="714" t="s">
        <v>1208</v>
      </c>
      <c r="E28" s="689" t="s">
        <v>1167</v>
      </c>
      <c r="F28" s="712">
        <f>'数据-取费表'!B41</f>
        <v>5.6000000000000001E-2</v>
      </c>
      <c r="G28" s="2316"/>
      <c r="H28" s="695"/>
      <c r="I28" s="696"/>
      <c r="J28" s="697"/>
      <c r="K28" s="718"/>
      <c r="L28" s="689" t="s">
        <v>1209</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1720</v>
      </c>
      <c r="D29" s="2717"/>
      <c r="E29" s="2715"/>
      <c r="F29" s="2718"/>
      <c r="G29" s="2316"/>
      <c r="H29" s="725" t="s">
        <v>2738</v>
      </c>
      <c r="I29" s="726" t="s">
        <v>1203</v>
      </c>
      <c r="J29" s="727">
        <f ca="1">ROUND(J26/(1+F40)^F41,0)</f>
        <v>10776</v>
      </c>
      <c r="K29" s="728" t="s">
        <v>1204</v>
      </c>
      <c r="L29" s="729"/>
      <c r="M29" s="730">
        <f ca="1">INDIRECT("'数据-取费表'!k"&amp;$G$1)</f>
        <v>3185.37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131</v>
      </c>
      <c r="D30" s="2712" t="s">
        <v>1169</v>
      </c>
      <c r="E30" s="2713"/>
      <c r="F30" s="2663"/>
      <c r="G30" s="2315"/>
      <c r="H30" s="1284"/>
      <c r="I30" s="1285"/>
      <c r="J30" s="1286"/>
      <c r="K30" s="1287"/>
      <c r="L30" s="1288"/>
      <c r="M30" s="1289"/>
    </row>
    <row r="31" spans="1:37" ht="18" customHeight="1">
      <c r="A31" s="2465" t="s">
        <v>2947</v>
      </c>
      <c r="B31" s="689" t="s">
        <v>532</v>
      </c>
      <c r="C31" s="319">
        <f ca="1">ROUND(IF(项目基本情况!B11="自然人",C5*F31,C32+C33+C34),1)</f>
        <v>70</v>
      </c>
      <c r="D31" s="2239" t="s">
        <v>1172</v>
      </c>
      <c r="E31" s="2237" t="s">
        <v>1211</v>
      </c>
      <c r="F31" s="713" t="str">
        <f ca="1">IF(项目基本情况!B11="企业","",IF(INDIRECT("'数据-取费表'!c"&amp;$G$1)="住宅",4.5%,IF(F6*F7*F8/12&gt;20000,11%,6%)))</f>
        <v/>
      </c>
      <c r="G31" s="2315"/>
      <c r="H31" s="1284"/>
      <c r="I31" s="1285"/>
      <c r="J31" s="1286"/>
      <c r="K31" s="1287"/>
      <c r="L31" s="1288"/>
      <c r="M31" s="1289"/>
    </row>
    <row r="32" spans="1:37" ht="18" customHeight="1">
      <c r="A32" s="2465" t="s">
        <v>3012</v>
      </c>
      <c r="B32" s="689" t="s">
        <v>1174</v>
      </c>
      <c r="C32" s="319">
        <f ca="1">IF(项目基本情况!B11="自然人","——",ROUND(C5*F32/(1+'数据-取费表'!B42),2))</f>
        <v>54.56</v>
      </c>
      <c r="D32" s="2237" t="s">
        <v>1175</v>
      </c>
      <c r="E32" s="689" t="s">
        <v>1167</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14.45</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1212</v>
      </c>
      <c r="C34" s="320">
        <f ca="1">IF(项目基本情况!B11="自然人","——",ROUND(F34*F35/10000,2))</f>
        <v>1.01</v>
      </c>
      <c r="D34" s="715" t="s">
        <v>1213</v>
      </c>
      <c r="E34" s="689" t="s">
        <v>1214</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837.86</v>
      </c>
      <c r="G35" s="2315"/>
      <c r="H35" s="1284"/>
      <c r="I35" s="2920"/>
      <c r="J35" s="2921"/>
      <c r="K35" s="1297"/>
      <c r="L35" s="1296"/>
      <c r="M35" s="1296"/>
    </row>
    <row r="36" spans="1:18" ht="18" customHeight="1">
      <c r="A36" s="2731" t="s">
        <v>2755</v>
      </c>
      <c r="B36" s="689" t="s">
        <v>1187</v>
      </c>
      <c r="C36" s="319">
        <f ca="1">ROUND(C29*F36,1)</f>
        <v>25.8</v>
      </c>
      <c r="D36" s="2237" t="s">
        <v>1217</v>
      </c>
      <c r="E36" s="689" t="s">
        <v>1218</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4.5</v>
      </c>
      <c r="D37" s="2237" t="s">
        <v>538</v>
      </c>
      <c r="E37" s="689" t="s">
        <v>539</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30.7</v>
      </c>
      <c r="D38" s="2717" t="s">
        <v>540</v>
      </c>
      <c r="E38" s="2715" t="s">
        <v>539</v>
      </c>
      <c r="F38" s="2711">
        <f ca="1">INDIRECT("'数据-取费表'!Am"&amp;$G$1)</f>
        <v>0.03</v>
      </c>
      <c r="G38" s="2315"/>
      <c r="H38" s="1296"/>
      <c r="I38" s="2920"/>
      <c r="J38" s="2921"/>
      <c r="K38" s="1301"/>
      <c r="L38" s="1296"/>
      <c r="M38" s="1296"/>
    </row>
    <row r="39" spans="1:18" ht="24.6" customHeight="1" thickTop="1">
      <c r="A39" s="2702" t="s">
        <v>2728</v>
      </c>
      <c r="B39" s="2719" t="s">
        <v>546</v>
      </c>
      <c r="C39" s="697">
        <f ca="1">C5-C30</f>
        <v>892</v>
      </c>
      <c r="D39" s="2720" t="s">
        <v>547</v>
      </c>
      <c r="E39" s="2721"/>
      <c r="F39" s="2722"/>
      <c r="G39" s="2315"/>
      <c r="H39" s="1296"/>
      <c r="I39" s="2920"/>
      <c r="J39" s="2921"/>
      <c r="K39" s="1301"/>
      <c r="L39" s="1296"/>
      <c r="M39" s="1296"/>
    </row>
    <row r="40" spans="1:18" ht="18" customHeight="1">
      <c r="A40" s="686" t="s">
        <v>2731</v>
      </c>
      <c r="B40" s="687" t="s">
        <v>548</v>
      </c>
      <c r="C40" s="688">
        <f ca="1">ROUND(C39*(1-((1+F42)/(1+F40))^F41)/(F40-F42),0)</f>
        <v>7419</v>
      </c>
      <c r="D40" s="715" t="s">
        <v>542</v>
      </c>
      <c r="E40" s="689" t="s">
        <v>543</v>
      </c>
      <c r="F40" s="699">
        <f ca="1">INDIRECT("'数据-取费表'!I"&amp;$G$1)</f>
        <v>5.5E-2</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9.7200000000000006</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23291</v>
      </c>
      <c r="D43" s="728" t="s">
        <v>553</v>
      </c>
      <c r="E43" s="729" t="s">
        <v>554</v>
      </c>
      <c r="F43" s="730">
        <f ca="1">INDIRECT("'数据-取费表'!k"&amp;$G$1)</f>
        <v>3185.37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1164923</v>
      </c>
      <c r="D46" s="2762" t="str">
        <f>C2</f>
        <v>万元</v>
      </c>
      <c r="E46" s="1439"/>
      <c r="F46" s="1439"/>
      <c r="I46" s="2609" t="s">
        <v>2814</v>
      </c>
      <c r="J46" s="2610"/>
      <c r="K46" s="2611"/>
      <c r="L46" s="2613">
        <f ca="1">IF(M47="住宅",0,IF(L48&gt;J51,L60,J60))</f>
        <v>51</v>
      </c>
      <c r="O46" s="2625" t="s">
        <v>2859</v>
      </c>
      <c r="P46" s="2626" t="s">
        <v>2860</v>
      </c>
      <c r="Q46" s="2627" t="s">
        <v>2858</v>
      </c>
      <c r="R46" s="2627" t="s">
        <v>2861</v>
      </c>
    </row>
    <row r="47" spans="1:18" s="1482" customFormat="1" ht="15.75" thickBot="1">
      <c r="A47" s="2425" t="s">
        <v>2702</v>
      </c>
      <c r="B47" s="2461" t="s">
        <v>2703</v>
      </c>
      <c r="C47" s="2766" t="s">
        <v>2704</v>
      </c>
      <c r="D47" s="2461" t="s">
        <v>2705</v>
      </c>
      <c r="E47" s="2565" t="s">
        <v>2706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18195</v>
      </c>
      <c r="R47" s="2619" t="s">
        <v>2863</v>
      </c>
    </row>
    <row r="48" spans="1:18" s="1482" customFormat="1" ht="47.25" thickBot="1">
      <c r="A48" s="2747" t="s">
        <v>3024</v>
      </c>
      <c r="B48" s="687" t="s">
        <v>2707</v>
      </c>
      <c r="C48" s="2757">
        <f ca="1">C49+C53+C55</f>
        <v>156959</v>
      </c>
      <c r="D48" s="2751"/>
      <c r="E48" s="2752"/>
      <c r="F48" s="2445"/>
      <c r="G48" s="1484"/>
      <c r="H48" s="1485"/>
      <c r="I48" s="2574" t="s">
        <v>2808</v>
      </c>
      <c r="J48" s="2586" t="s">
        <v>2809</v>
      </c>
      <c r="K48" s="2596" t="s">
        <v>2831</v>
      </c>
      <c r="L48" s="2191">
        <f ca="1">INDIRECT("'数据-取费表'!f"&amp;$G$1)</f>
        <v>30.18</v>
      </c>
      <c r="O48" s="2618" t="s">
        <v>2844</v>
      </c>
      <c r="P48" s="2628" t="s">
        <v>2864</v>
      </c>
      <c r="Q48" s="2619">
        <f ca="1">J60</f>
        <v>51</v>
      </c>
      <c r="R48" s="2619" t="s">
        <v>2872</v>
      </c>
    </row>
    <row r="49" spans="1:18" s="1482" customFormat="1" ht="16.5" thickBot="1">
      <c r="A49" s="2458" t="s">
        <v>3025</v>
      </c>
      <c r="B49" s="2750" t="s">
        <v>3027</v>
      </c>
      <c r="C49" s="2759">
        <f ca="1">ROUND(F49*F51*F50*(1-F52)/10000,0)</f>
        <v>156959</v>
      </c>
      <c r="D49" s="2561" t="s">
        <v>2708</v>
      </c>
      <c r="E49" s="2564" t="s">
        <v>2701</v>
      </c>
      <c r="F49" s="2567">
        <v>1500</v>
      </c>
      <c r="G49" s="1486"/>
      <c r="H49" s="1485"/>
      <c r="I49" s="2574" t="s">
        <v>2828</v>
      </c>
      <c r="J49" s="3312">
        <v>2010</v>
      </c>
      <c r="K49" s="2597" t="s">
        <v>2833</v>
      </c>
      <c r="L49" s="2598">
        <v>5000</v>
      </c>
      <c r="O49" s="2620" t="s">
        <v>2845</v>
      </c>
      <c r="P49" s="2628" t="s">
        <v>2865</v>
      </c>
      <c r="Q49" s="2619">
        <f ca="1">C29</f>
        <v>1720</v>
      </c>
      <c r="R49" s="2619" t="s">
        <v>2863</v>
      </c>
    </row>
    <row r="50" spans="1:18" s="1482" customFormat="1" ht="15.75" thickBot="1">
      <c r="A50" s="2459"/>
      <c r="B50" s="2462"/>
      <c r="C50" s="2767"/>
      <c r="D50" s="2432"/>
      <c r="E50" s="2562" t="s">
        <v>2709</v>
      </c>
      <c r="F50" s="2563">
        <f ca="1">F7</f>
        <v>3185.37</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2710</v>
      </c>
      <c r="F51" s="690">
        <f ca="1">F8</f>
        <v>365</v>
      </c>
      <c r="I51" s="2589" t="s">
        <v>2815</v>
      </c>
      <c r="J51" s="2590">
        <f>IF(J49="",J50,J49+J50-YEAR('数据-取费表'!B2))</f>
        <v>53</v>
      </c>
      <c r="K51" s="2599" t="s">
        <v>2835</v>
      </c>
      <c r="L51" s="2612">
        <f ca="1">ROUND(-PV(INDIRECT("'数据-取费表'!h"&amp;$G$1),L48,(C39-C13*C76),0),0)</f>
        <v>11245</v>
      </c>
      <c r="M51" s="2593"/>
      <c r="O51" s="2620" t="s">
        <v>2847</v>
      </c>
      <c r="P51" s="2628" t="s">
        <v>2874</v>
      </c>
      <c r="Q51" s="2621">
        <f>J52</f>
        <v>0.09</v>
      </c>
      <c r="R51" s="2619"/>
    </row>
    <row r="52" spans="1:18" s="1482" customFormat="1" ht="16.5" thickBot="1">
      <c r="A52" s="2460"/>
      <c r="B52" s="2462"/>
      <c r="C52" s="2463"/>
      <c r="D52" s="2432"/>
      <c r="E52" s="2464" t="s">
        <v>2711</v>
      </c>
      <c r="F52" s="2560">
        <v>0.1</v>
      </c>
      <c r="I52" s="2591" t="s">
        <v>2839</v>
      </c>
      <c r="J52" s="3311">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8"/>
      <c r="O53" s="2618" t="s">
        <v>2849</v>
      </c>
      <c r="P53" s="2628" t="s">
        <v>2868</v>
      </c>
      <c r="Q53" s="2619">
        <f ca="1">Q47+Q48</f>
        <v>18246</v>
      </c>
      <c r="R53" s="2619" t="s">
        <v>2850</v>
      </c>
    </row>
    <row r="54" spans="1:18" s="1482" customFormat="1" ht="16.5" thickBot="1">
      <c r="A54" s="2866"/>
      <c r="B54" s="2659" t="s">
        <v>3104</v>
      </c>
      <c r="C54" s="2442"/>
      <c r="D54" s="2669"/>
      <c r="E54" s="281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2746"/>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2712</v>
      </c>
      <c r="C56" s="613">
        <f ca="1">C13</f>
        <v>1514</v>
      </c>
      <c r="D56" s="2734"/>
      <c r="E56" s="2438"/>
      <c r="F56" s="2568"/>
      <c r="I56" s="2573" t="s">
        <v>2818</v>
      </c>
      <c r="J56" s="2603" t="s">
        <v>44</v>
      </c>
      <c r="K56" s="2574" t="s">
        <v>2822</v>
      </c>
      <c r="L56" s="2191" t="str">
        <f ca="1">IF(L48&lt;J51,"——",L48-J51)</f>
        <v>——</v>
      </c>
      <c r="O56" s="2618" t="s">
        <v>2843</v>
      </c>
      <c r="P56" s="2628" t="s">
        <v>2862</v>
      </c>
      <c r="Q56" s="2619">
        <f ca="1">C40+J29</f>
        <v>18195</v>
      </c>
      <c r="R56" s="2619" t="s">
        <v>2863</v>
      </c>
    </row>
    <row r="57" spans="1:18" s="1482" customFormat="1" ht="29.25" thickBot="1">
      <c r="A57" s="2569"/>
      <c r="B57" s="2429" t="s">
        <v>2742</v>
      </c>
      <c r="C57" s="619">
        <f ca="1">C29</f>
        <v>1720</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2743</v>
      </c>
      <c r="C58" s="703">
        <f ca="1">ROUND(C59+C64+C65+C66,0)</f>
        <v>13126</v>
      </c>
      <c r="D58" s="2443" t="s">
        <v>2744</v>
      </c>
      <c r="E58" s="2444"/>
      <c r="F58" s="2445"/>
      <c r="I58" s="2575" t="s">
        <v>2819</v>
      </c>
      <c r="J58" s="3310">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8386.6</v>
      </c>
      <c r="D59" s="2446" t="s">
        <v>2714</v>
      </c>
      <c r="E59" s="2447" t="s">
        <v>2715</v>
      </c>
      <c r="F59" s="713" t="str">
        <f ca="1">IF(项目基本情况!B11="企业","",IF(INDIRECT("'数据-取费表'!c"&amp;$G$1)="住宅",4.5%,IF(F49*F50*F51/12&gt;20000,11%,6%)))</f>
        <v/>
      </c>
      <c r="I59" s="2575" t="s">
        <v>2820</v>
      </c>
      <c r="J59" s="2579">
        <f ca="1">IF(OR(M47="住宅",J51&lt;L48,J56="是"),"——",ROUND(C29*J58,0))</f>
        <v>688</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2716</v>
      </c>
      <c r="C60" s="319">
        <f ca="1">IF(项目基本情况!B11="自然人","——",ROUND(C48*F60/(1+'数据-取费表'!B42),2))</f>
        <v>8371.15</v>
      </c>
      <c r="D60" s="2447" t="s">
        <v>2717</v>
      </c>
      <c r="E60" s="2429" t="s">
        <v>2718</v>
      </c>
      <c r="F60" s="722">
        <f t="shared" ref="F60:F66" si="0">F32</f>
        <v>5.6000000000000001E-2</v>
      </c>
      <c r="I60" s="2576" t="s">
        <v>2821</v>
      </c>
      <c r="J60" s="2581">
        <f ca="1">IF(OR(M47="住宅",J51&lt;L48,J56="是"),"0",ROUND(J59/(1+J52)^J53,0))</f>
        <v>51</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2719</v>
      </c>
      <c r="C61" s="319">
        <f ca="1">IF(项目基本情况!B11="自然人","——",IF(D61="按租金收入计税",ROUND(C48*F61,2),IF(D61="按房产原值计税",ROUND(C57*F61*0.7,2),INDIRECT("'数据-取费表'!Aj"&amp;$G$1))))</f>
        <v>14.45</v>
      </c>
      <c r="D61" s="1307" t="s">
        <v>2796</v>
      </c>
      <c r="E61" s="2429" t="s">
        <v>2718</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2720</v>
      </c>
      <c r="C62" s="320">
        <f ca="1">IF(项目基本情况!B11="自然人","——",ROUND(F62*F63/10000,2))</f>
        <v>1.01</v>
      </c>
      <c r="D62" s="2448" t="s">
        <v>2721</v>
      </c>
      <c r="E62" s="2429" t="s">
        <v>2722</v>
      </c>
      <c r="F62" s="716">
        <f t="shared" si="0"/>
        <v>12</v>
      </c>
      <c r="I62" s="2577" t="s">
        <v>2811</v>
      </c>
      <c r="J62" s="2578" t="s">
        <v>2812</v>
      </c>
      <c r="K62" s="2578" t="s">
        <v>2813</v>
      </c>
      <c r="L62" s="2578" t="s">
        <v>2809</v>
      </c>
      <c r="O62" s="2618" t="s">
        <v>2849</v>
      </c>
      <c r="P62" s="2628" t="s">
        <v>2868</v>
      </c>
      <c r="Q62" s="2619">
        <f ca="1">Q56+Q57</f>
        <v>18195</v>
      </c>
      <c r="R62" s="2619" t="s">
        <v>2850</v>
      </c>
    </row>
    <row r="63" spans="1:18" s="1482" customFormat="1" ht="16.5" thickBot="1">
      <c r="A63" s="717"/>
      <c r="B63" s="2435"/>
      <c r="C63" s="324"/>
      <c r="D63" s="2449"/>
      <c r="E63" s="2429" t="s">
        <v>2723</v>
      </c>
      <c r="F63" s="690">
        <f t="shared" ca="1" si="0"/>
        <v>837.86</v>
      </c>
      <c r="I63" s="2577" t="s">
        <v>2825</v>
      </c>
      <c r="J63" s="2578">
        <v>70</v>
      </c>
      <c r="K63" s="2578">
        <v>50</v>
      </c>
      <c r="L63" s="2578">
        <v>80</v>
      </c>
      <c r="O63" s="2622" t="s">
        <v>2882</v>
      </c>
      <c r="P63" s="1302"/>
      <c r="Q63" s="1302"/>
      <c r="R63" s="1302"/>
    </row>
    <row r="64" spans="1:18" s="1482" customFormat="1" ht="15.75" thickBot="1">
      <c r="A64" s="2465" t="s">
        <v>2755</v>
      </c>
      <c r="B64" s="2429" t="s">
        <v>2724</v>
      </c>
      <c r="C64" s="319">
        <f ca="1">ROUND(C57*F64,1)</f>
        <v>25.8</v>
      </c>
      <c r="D64" s="2447" t="s">
        <v>2725</v>
      </c>
      <c r="E64" s="2429" t="s">
        <v>2718</v>
      </c>
      <c r="F64" s="719">
        <f t="shared" ca="1" si="0"/>
        <v>1.4999999999999999E-2</v>
      </c>
      <c r="I64" s="2577" t="s">
        <v>2826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4.5</v>
      </c>
      <c r="D65" s="2447" t="s">
        <v>2726</v>
      </c>
      <c r="E65" s="2429" t="s">
        <v>2718</v>
      </c>
      <c r="F65" s="721">
        <f t="shared" ca="1" si="0"/>
        <v>3.0000000000000001E-3</v>
      </c>
      <c r="I65" s="2577" t="s">
        <v>2827</v>
      </c>
      <c r="J65" s="2578">
        <v>40</v>
      </c>
      <c r="K65" s="2578">
        <v>30</v>
      </c>
      <c r="L65" s="2578">
        <v>50</v>
      </c>
      <c r="O65" s="2618" t="s">
        <v>2843</v>
      </c>
      <c r="P65" s="2628" t="s">
        <v>2862</v>
      </c>
      <c r="Q65" s="2619">
        <f ca="1">C40+J29</f>
        <v>18195</v>
      </c>
      <c r="R65" s="2619" t="s">
        <v>2863</v>
      </c>
    </row>
    <row r="66" spans="1:18" s="1482" customFormat="1" ht="20.25" thickBot="1">
      <c r="A66" s="2465" t="s">
        <v>2750</v>
      </c>
      <c r="B66" s="2429" t="s">
        <v>536</v>
      </c>
      <c r="C66" s="319">
        <f ca="1">ROUND(C48*F66,1)</f>
        <v>4708.8</v>
      </c>
      <c r="D66" s="2447" t="s">
        <v>2727</v>
      </c>
      <c r="E66" s="2429" t="s">
        <v>2718</v>
      </c>
      <c r="F66" s="699">
        <f t="shared" ca="1" si="0"/>
        <v>0.03</v>
      </c>
      <c r="O66" s="2618" t="s">
        <v>2844</v>
      </c>
      <c r="P66" s="2628" t="s">
        <v>2869</v>
      </c>
      <c r="Q66" s="2619">
        <f ca="1">L60</f>
        <v>0</v>
      </c>
      <c r="R66" s="2619" t="s">
        <v>2851</v>
      </c>
    </row>
    <row r="67" spans="1:18" s="1482" customFormat="1" ht="24.75" thickBot="1">
      <c r="A67" s="2436" t="s">
        <v>2728</v>
      </c>
      <c r="B67" s="2450" t="s">
        <v>2729</v>
      </c>
      <c r="C67" s="703">
        <f ca="1">C48-C58</f>
        <v>143833</v>
      </c>
      <c r="D67" s="2446" t="s">
        <v>2730</v>
      </c>
      <c r="E67" s="2451"/>
      <c r="F67" s="2452"/>
      <c r="O67" s="2620" t="s">
        <v>2845</v>
      </c>
      <c r="P67" s="2628" t="s">
        <v>2876</v>
      </c>
      <c r="Q67" s="2623">
        <f ca="1">L51</f>
        <v>11245</v>
      </c>
      <c r="R67" s="2624" t="s">
        <v>2886</v>
      </c>
    </row>
    <row r="68" spans="1:18" s="1482" customFormat="1" ht="20.25" thickBot="1">
      <c r="A68" s="2426" t="s">
        <v>2731</v>
      </c>
      <c r="B68" s="2427" t="s">
        <v>2732</v>
      </c>
      <c r="C68" s="688">
        <f ca="1">ROUND(C67*(1-((1+F70)/(1+F68))^F69)/(F68-F70),0)</f>
        <v>1172342</v>
      </c>
      <c r="D68" s="2448" t="s">
        <v>2733</v>
      </c>
      <c r="E68" s="2429" t="s">
        <v>2734</v>
      </c>
      <c r="F68" s="699">
        <f ca="1">F40</f>
        <v>5.5E-2</v>
      </c>
      <c r="O68" s="2620" t="s">
        <v>2846</v>
      </c>
      <c r="P68" s="2629" t="s">
        <v>2880</v>
      </c>
      <c r="Q68" s="2619">
        <f ca="1">ROUND(Q69-Q70*Q71,0)</f>
        <v>763</v>
      </c>
      <c r="R68" s="2619" t="s">
        <v>2885</v>
      </c>
    </row>
    <row r="69" spans="1:18" s="1482" customFormat="1" ht="15.75" thickBot="1">
      <c r="A69" s="2430"/>
      <c r="B69" s="2431"/>
      <c r="C69" s="693"/>
      <c r="D69" s="2453" t="s">
        <v>2735</v>
      </c>
      <c r="E69" s="2429" t="s">
        <v>2736</v>
      </c>
      <c r="F69" s="724">
        <f ca="1">F41</f>
        <v>9.7200000000000006</v>
      </c>
      <c r="O69" s="2620" t="s">
        <v>2854</v>
      </c>
      <c r="P69" s="2629" t="s">
        <v>2870</v>
      </c>
      <c r="Q69" s="2619">
        <f ca="1">C39</f>
        <v>892</v>
      </c>
      <c r="R69" s="2619" t="s">
        <v>2863</v>
      </c>
    </row>
    <row r="70" spans="1:18" s="1482" customFormat="1" ht="15.75" thickBot="1">
      <c r="A70" s="2433"/>
      <c r="B70" s="2434"/>
      <c r="C70" s="697"/>
      <c r="D70" s="2449"/>
      <c r="E70" s="2429" t="s">
        <v>2737</v>
      </c>
      <c r="F70" s="2560">
        <v>2.5000000000000001E-2</v>
      </c>
      <c r="O70" s="2620" t="s">
        <v>2855</v>
      </c>
      <c r="P70" s="2629" t="s">
        <v>2871</v>
      </c>
      <c r="Q70" s="2619">
        <f ca="1">C13</f>
        <v>1514</v>
      </c>
      <c r="R70" s="2619" t="s">
        <v>2863</v>
      </c>
    </row>
    <row r="71" spans="1:18" s="1482" customFormat="1" ht="15.75" thickBot="1">
      <c r="A71" s="2454" t="s">
        <v>2738</v>
      </c>
      <c r="B71" s="2455" t="s">
        <v>2739</v>
      </c>
      <c r="C71" s="727">
        <f ca="1">ROUND(C68*10000/F71,0)</f>
        <v>3680395</v>
      </c>
      <c r="D71" s="2456" t="s">
        <v>2740</v>
      </c>
      <c r="E71" s="2457" t="s">
        <v>2741</v>
      </c>
      <c r="F71" s="730">
        <f ca="1">F43</f>
        <v>3185.37</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129</v>
      </c>
      <c r="D75" s="1482"/>
      <c r="E75" s="1482"/>
      <c r="F75" s="1482"/>
      <c r="K75" s="1483"/>
      <c r="L75" s="1482"/>
      <c r="O75" s="2618" t="s">
        <v>2849</v>
      </c>
      <c r="P75" s="2628" t="s">
        <v>2868</v>
      </c>
      <c r="Q75" s="2619">
        <f ca="1">Q65+Q66</f>
        <v>18195</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3107</v>
      </c>
      <c r="C78" s="740"/>
    </row>
    <row r="79" spans="1:18">
      <c r="B79" s="2912" t="s">
        <v>3111</v>
      </c>
      <c r="C79" s="655">
        <f ca="1">1-C80</f>
        <v>0.85499999999999998</v>
      </c>
    </row>
    <row r="80" spans="1:18">
      <c r="B80" s="2912" t="s">
        <v>3110</v>
      </c>
      <c r="C80" s="655">
        <f ca="1">ROUND(C75/C39,3)</f>
        <v>0.14499999999999999</v>
      </c>
    </row>
    <row r="81" spans="2:3">
      <c r="B81" s="651" t="s">
        <v>556</v>
      </c>
      <c r="C81" s="652"/>
    </row>
    <row r="82" spans="2:3">
      <c r="B82" s="2911" t="s">
        <v>3109</v>
      </c>
      <c r="C82" s="656">
        <f ca="1">1-C83</f>
        <v>0.79600000000000004</v>
      </c>
    </row>
    <row r="83" spans="2:3">
      <c r="B83" s="2911" t="s">
        <v>3108</v>
      </c>
      <c r="C83" s="655">
        <f ca="1">ROUND(C13/C40,3)</f>
        <v>0.20399999999999999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3427</v>
      </c>
      <c r="D1" s="1280"/>
      <c r="E1" s="2616" t="s">
        <v>767</v>
      </c>
      <c r="F1" s="2617">
        <f ca="1">J53</f>
        <v>30.18</v>
      </c>
      <c r="G1" s="677">
        <f>MATCH(C1,'数据-取费表'!A6:A16,0)+5</f>
        <v>8</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22937</v>
      </c>
      <c r="C2" s="1306" t="s">
        <v>1424</v>
      </c>
      <c r="D2" s="1282"/>
      <c r="E2" s="2606"/>
      <c r="F2" s="1283"/>
      <c r="G2" s="2314"/>
      <c r="H2" s="1281"/>
      <c r="I2" s="1281"/>
      <c r="J2" s="1281"/>
      <c r="K2" s="1305"/>
      <c r="L2" s="1281"/>
      <c r="M2" s="1281"/>
    </row>
    <row r="3" spans="1:37" ht="18" customHeight="1" thickBot="1">
      <c r="A3" s="680" t="s">
        <v>515</v>
      </c>
      <c r="B3" s="1414">
        <f ca="1">IF(ISERROR(B2*10000/F43),0,ROUND(B2*10000/F43,0))</f>
        <v>45033</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1022</v>
      </c>
      <c r="D5" s="2671" t="s">
        <v>2942</v>
      </c>
      <c r="E5" s="2662"/>
      <c r="F5" s="2663"/>
      <c r="G5" s="2315"/>
      <c r="H5" s="686">
        <v>1</v>
      </c>
      <c r="I5" s="687" t="s">
        <v>2707</v>
      </c>
      <c r="J5" s="2661">
        <f ca="1">J6+J10+J12</f>
        <v>1339</v>
      </c>
      <c r="K5" s="2664" t="s">
        <v>2942</v>
      </c>
      <c r="L5" s="2662"/>
      <c r="M5" s="2663"/>
    </row>
    <row r="6" spans="1:37" ht="18" customHeight="1">
      <c r="A6" s="2657" t="s">
        <v>2748</v>
      </c>
      <c r="B6" s="3604" t="s">
        <v>2941</v>
      </c>
      <c r="C6" s="2666">
        <f ca="1">ROUND(F6*F8*F7*(1-F9)/10000,0)</f>
        <v>1022</v>
      </c>
      <c r="D6" s="2660" t="s">
        <v>2943</v>
      </c>
      <c r="E6" s="689" t="s">
        <v>1157</v>
      </c>
      <c r="F6" s="690">
        <f ca="1">INDIRECT("'数据-取费表'!u"&amp;$G$1)</f>
        <v>5.5</v>
      </c>
      <c r="G6" s="2315"/>
      <c r="H6" s="2657" t="s">
        <v>2748</v>
      </c>
      <c r="I6" s="3604" t="s">
        <v>2941</v>
      </c>
      <c r="J6" s="688">
        <f ca="1">ROUND(M6*M8*M7*(1-M9)/10000,0)</f>
        <v>1339</v>
      </c>
      <c r="K6" s="2660" t="s">
        <v>2943</v>
      </c>
      <c r="L6" s="689" t="s">
        <v>1157</v>
      </c>
      <c r="M6" s="690">
        <f ca="1">INDIRECT("'数据-取费表'!z"&amp;$G$1)</f>
        <v>9</v>
      </c>
    </row>
    <row r="7" spans="1:37" ht="18" customHeight="1">
      <c r="A7" s="2665"/>
      <c r="B7" s="3605"/>
      <c r="C7" s="2667"/>
      <c r="D7" s="2084"/>
      <c r="E7" s="2668" t="s">
        <v>1158</v>
      </c>
      <c r="F7" s="690">
        <f ca="1">IF(INDIRECT("'数据-取费表'!ah"&amp;$G$1)="",INDIRECT("'数据-取费表'!k"&amp;$G$1),INDIRECT("'数据-取费表'!ah"&amp;$G$1))</f>
        <v>5093.33</v>
      </c>
      <c r="G7" s="2315"/>
      <c r="H7" s="691"/>
      <c r="I7" s="3605"/>
      <c r="J7" s="693"/>
      <c r="K7" s="694"/>
      <c r="L7" s="689" t="s">
        <v>1158</v>
      </c>
      <c r="M7" s="690">
        <f ca="1">F7</f>
        <v>5093.33</v>
      </c>
    </row>
    <row r="8" spans="1:37" ht="18" customHeight="1">
      <c r="A8" s="691"/>
      <c r="B8" s="3605"/>
      <c r="C8" s="693"/>
      <c r="D8" s="694"/>
      <c r="E8" s="689" t="s">
        <v>1159</v>
      </c>
      <c r="F8" s="690">
        <f ca="1">INDIRECT("'数据-取费表'!ai"&amp;$G$1)</f>
        <v>365</v>
      </c>
      <c r="G8" s="2315"/>
      <c r="H8" s="691"/>
      <c r="I8" s="3605"/>
      <c r="J8" s="693"/>
      <c r="K8" s="694"/>
      <c r="L8" s="689" t="s">
        <v>1159</v>
      </c>
      <c r="M8" s="690">
        <f ca="1">INDIRECT("'数据-取费表'!ai"&amp;$G$1)</f>
        <v>365</v>
      </c>
    </row>
    <row r="9" spans="1:37" ht="18" customHeight="1">
      <c r="A9" s="691"/>
      <c r="B9" s="3606"/>
      <c r="C9" s="693"/>
      <c r="D9" s="694"/>
      <c r="E9" s="689" t="s">
        <v>1160</v>
      </c>
      <c r="F9" s="699">
        <f ca="1">INDIRECT("'数据-取费表'!w"&amp;$G$1)</f>
        <v>0</v>
      </c>
      <c r="G9" s="2315"/>
      <c r="H9" s="691"/>
      <c r="I9" s="3606"/>
      <c r="J9" s="693"/>
      <c r="K9" s="694"/>
      <c r="L9" s="700" t="s">
        <v>1160</v>
      </c>
      <c r="M9" s="701">
        <f ca="1">INDIRECT("'数据-取费表'!ab"&amp;$G$1)</f>
        <v>0.2</v>
      </c>
    </row>
    <row r="10" spans="1:37" ht="18" customHeight="1">
      <c r="A10" s="2657" t="s">
        <v>2755</v>
      </c>
      <c r="B10" s="2658" t="s">
        <v>2936</v>
      </c>
      <c r="C10" s="703">
        <f ca="1">ROUND(IF(F10="押一",F6*F8*F7/12*F11,IF(F10="押二",F6*F8*F7/12*2*F11,IF(F10="押三",F6*F8*F7/12*3*F11,C11*F11)))/10000,0)</f>
        <v>0</v>
      </c>
      <c r="D10" s="2669" t="s">
        <v>2944</v>
      </c>
      <c r="E10" s="2120" t="s">
        <v>2938</v>
      </c>
      <c r="F10" s="2867" t="s">
        <v>3101</v>
      </c>
      <c r="G10" s="2315"/>
      <c r="H10" s="2657" t="s">
        <v>2755</v>
      </c>
      <c r="I10" s="2658" t="s">
        <v>2936</v>
      </c>
      <c r="J10" s="688">
        <f ca="1">ROUND(IF(M10="押一",M6*M8*M7/12*M11,IF(M10="押二",M6*M8*M7/12*2*M11,IF(M10="押三",M6*M8*M7/12*3*M11,J11*M11)))/10000,0)</f>
        <v>0</v>
      </c>
      <c r="K10" s="2669" t="s">
        <v>2944</v>
      </c>
      <c r="L10" s="2120" t="s">
        <v>2938</v>
      </c>
      <c r="M10" s="2765"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f ca="1">ROUND(C29*F13,0)</f>
        <v>3261</v>
      </c>
      <c r="D13" s="2704" t="s">
        <v>1162</v>
      </c>
      <c r="E13" s="2704" t="s">
        <v>1163</v>
      </c>
      <c r="F13" s="2705">
        <f ca="1">INDIRECT("'数据-取费表'!y"&amp;$G$1)</f>
        <v>0.88</v>
      </c>
      <c r="G13" s="2315"/>
      <c r="H13" s="2702">
        <v>2</v>
      </c>
      <c r="I13" s="2703" t="s">
        <v>1161</v>
      </c>
      <c r="J13" s="2656">
        <f ca="1">ROUND(J14*J15,0)</f>
        <v>3224</v>
      </c>
      <c r="K13" s="2712" t="s">
        <v>1162</v>
      </c>
      <c r="L13" s="2723"/>
      <c r="M13" s="2724"/>
    </row>
    <row r="14" spans="1:37" ht="18" customHeight="1">
      <c r="A14" s="2465" t="s">
        <v>2745</v>
      </c>
      <c r="B14" s="689" t="s">
        <v>528</v>
      </c>
      <c r="C14" s="707">
        <f ca="1">INDIRECT("'数据-取费表'!m"&amp;$G$1)+INDIRECT("'数据-取费表'!t"&amp;$G$1)</f>
        <v>2547</v>
      </c>
      <c r="D14" s="3296" t="s">
        <v>1164</v>
      </c>
      <c r="E14" s="3294"/>
      <c r="F14" s="708"/>
      <c r="G14" s="2315"/>
      <c r="H14" s="2465" t="s">
        <v>2748</v>
      </c>
      <c r="I14" s="689" t="s">
        <v>1165</v>
      </c>
      <c r="J14" s="319">
        <f ca="1">C29</f>
        <v>3706</v>
      </c>
      <c r="K14" s="309"/>
      <c r="L14" s="705"/>
      <c r="M14" s="706"/>
    </row>
    <row r="15" spans="1:37" s="711" customFormat="1" ht="18" customHeight="1" thickBot="1">
      <c r="A15" s="2465" t="s">
        <v>3013</v>
      </c>
      <c r="B15" s="689" t="s">
        <v>529</v>
      </c>
      <c r="C15" s="319">
        <f ca="1">ROUND(C14*F15,0)</f>
        <v>76</v>
      </c>
      <c r="D15" s="709" t="s">
        <v>1166</v>
      </c>
      <c r="E15" s="709" t="s">
        <v>534</v>
      </c>
      <c r="F15" s="710">
        <f>'数据-取费表'!B33</f>
        <v>0.03</v>
      </c>
      <c r="G15" s="2316"/>
      <c r="H15" s="2714" t="s">
        <v>2755</v>
      </c>
      <c r="I15" s="2715" t="s">
        <v>1163</v>
      </c>
      <c r="J15" s="2726">
        <f ca="1">INDIRECT("'数据-取费表'!ad"&amp;$G$1)</f>
        <v>0.87</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210</v>
      </c>
      <c r="K16" s="2712" t="s">
        <v>1169</v>
      </c>
      <c r="L16" s="2713"/>
      <c r="M16" s="2663"/>
    </row>
    <row r="17" spans="1:37" s="711" customFormat="1" ht="18" customHeight="1">
      <c r="A17" s="2465" t="s">
        <v>3015</v>
      </c>
      <c r="B17" s="689" t="s">
        <v>531</v>
      </c>
      <c r="C17" s="319">
        <f ca="1">ROUND(F17*(F43+INDIRECT("'数据-取费表'!S"&amp;$G$1))/10000,0)</f>
        <v>102</v>
      </c>
      <c r="D17" s="689" t="s">
        <v>1170</v>
      </c>
      <c r="E17" s="689" t="s">
        <v>1171</v>
      </c>
      <c r="F17" s="321">
        <f>'数据-取费表'!B35</f>
        <v>200</v>
      </c>
      <c r="G17" s="2316"/>
      <c r="H17" s="2465" t="s">
        <v>2748</v>
      </c>
      <c r="I17" s="689" t="s">
        <v>532</v>
      </c>
      <c r="J17" s="319">
        <f ca="1">ROUND(IF(项目基本情况!B11="自然人",J5*M17,J18+J19+J20),1)</f>
        <v>104.2</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38</v>
      </c>
      <c r="D18" s="689" t="s">
        <v>1166</v>
      </c>
      <c r="E18" s="689" t="s">
        <v>534</v>
      </c>
      <c r="F18" s="712">
        <f>'数据-取费表'!B36</f>
        <v>1.4999999999999999E-2</v>
      </c>
      <c r="G18" s="2316"/>
      <c r="H18" s="2465" t="s">
        <v>2745</v>
      </c>
      <c r="I18" s="689" t="s">
        <v>1174</v>
      </c>
      <c r="J18" s="319">
        <f ca="1">ROUND(J5*M18/(1+'数据-取费表'!B42),2)</f>
        <v>71.41</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2763</v>
      </c>
      <c r="D19" s="476" t="s">
        <v>1176</v>
      </c>
      <c r="E19" s="3299"/>
      <c r="F19" s="321"/>
      <c r="G19" s="2315"/>
      <c r="H19" s="2465" t="s">
        <v>3013</v>
      </c>
      <c r="I19" s="689" t="s">
        <v>1177</v>
      </c>
      <c r="J19" s="319">
        <f ca="1">IF(K19="按租金收入计税",ROUND(J5*M19,2),ROUND(C29*M19*0.7,2))</f>
        <v>31.13</v>
      </c>
      <c r="K19" s="1307" t="s">
        <v>2796</v>
      </c>
      <c r="L19" s="689" t="s">
        <v>534</v>
      </c>
      <c r="M19" s="712">
        <f>IF(K19="按租金收入计税",'数据-取费表'!B51,'数据-取费表'!B50)</f>
        <v>1.2E-2</v>
      </c>
    </row>
    <row r="20" spans="1:37" s="711" customFormat="1" ht="18" customHeight="1">
      <c r="A20" s="2465" t="s">
        <v>3017</v>
      </c>
      <c r="B20" s="689" t="s">
        <v>536</v>
      </c>
      <c r="C20" s="319">
        <f ca="1">ROUND(C19*F20,0)</f>
        <v>55</v>
      </c>
      <c r="D20" s="714" t="s">
        <v>1178</v>
      </c>
      <c r="E20" s="689" t="s">
        <v>534</v>
      </c>
      <c r="F20" s="712">
        <f>'数据-取费表'!B37</f>
        <v>0.02</v>
      </c>
      <c r="G20" s="2316"/>
      <c r="H20" s="2465" t="s">
        <v>3014</v>
      </c>
      <c r="I20" s="501" t="s">
        <v>1179</v>
      </c>
      <c r="J20" s="320">
        <f ca="1">ROUND(M20*M21/10000,2)</f>
        <v>1.61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0.03</v>
      </c>
      <c r="G21" s="2316"/>
      <c r="H21" s="717"/>
      <c r="I21" s="698"/>
      <c r="J21" s="324"/>
      <c r="K21" s="718"/>
      <c r="L21" s="689" t="s">
        <v>1185</v>
      </c>
      <c r="M21" s="690">
        <f ca="1">INDIRECT("'数据-取费表'!r"&amp;$G$1)</f>
        <v>1339.72</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55.6</v>
      </c>
      <c r="K22" s="3295" t="s">
        <v>1188</v>
      </c>
      <c r="L22" s="689" t="s">
        <v>534</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134</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9.6999999999999993</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1.4E-3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40.200000000000003</v>
      </c>
      <c r="K24" s="2717" t="s">
        <v>540</v>
      </c>
      <c r="L24" s="2715" t="s">
        <v>534</v>
      </c>
      <c r="M24" s="2711">
        <f ca="1">INDIRECT("'数据-取费表'!Am"&amp;$G$1)</f>
        <v>0.03</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1129</v>
      </c>
      <c r="K25" s="2720" t="s">
        <v>547</v>
      </c>
      <c r="L25" s="2721"/>
      <c r="M25" s="2722"/>
    </row>
    <row r="26" spans="1:37" ht="18" customHeight="1">
      <c r="A26" s="2465" t="s">
        <v>2745</v>
      </c>
      <c r="B26" s="689" t="s">
        <v>2934</v>
      </c>
      <c r="C26" s="319">
        <f ca="1">ROUND((C19+C20)*F26,0)</f>
        <v>423</v>
      </c>
      <c r="D26" s="714" t="s">
        <v>1197</v>
      </c>
      <c r="E26" s="700" t="s">
        <v>1198</v>
      </c>
      <c r="F26" s="699">
        <f ca="1">INDIRECT("'数据-取费表'!q"&amp;$G$1)</f>
        <v>0.15</v>
      </c>
      <c r="G26" s="2315"/>
      <c r="H26" s="686" t="s">
        <v>2731</v>
      </c>
      <c r="I26" s="687" t="s">
        <v>1199</v>
      </c>
      <c r="J26" s="688">
        <f ca="1">IF(J5&lt;&gt;0,ROUND(J25*(1-((1+M28)/(1+M26))^M27)/(M26-M28),0),0)</f>
        <v>23018</v>
      </c>
      <c r="K26" s="715" t="s">
        <v>542</v>
      </c>
      <c r="L26" s="689" t="s">
        <v>543</v>
      </c>
      <c r="M26" s="699">
        <f ca="1">INDIRECT("'数据-取费表'!I"&amp;$G$1)</f>
        <v>5.5E-2</v>
      </c>
    </row>
    <row r="27" spans="1:37" ht="18" customHeight="1">
      <c r="A27" s="2465" t="s">
        <v>2751</v>
      </c>
      <c r="B27" s="689" t="s">
        <v>544</v>
      </c>
      <c r="C27" s="319">
        <f ca="1">ROUND(F21*F26,4)</f>
        <v>4.4999999999999997E-3</v>
      </c>
      <c r="D27" s="714" t="s">
        <v>1201</v>
      </c>
      <c r="E27" s="709"/>
      <c r="F27" s="710"/>
      <c r="G27" s="2315"/>
      <c r="H27" s="691"/>
      <c r="I27" s="692"/>
      <c r="J27" s="693"/>
      <c r="K27" s="723" t="s">
        <v>1202</v>
      </c>
      <c r="L27" s="689" t="s">
        <v>550</v>
      </c>
      <c r="M27" s="724">
        <f ca="1">INDIRECT("'数据-取费表'!ag"&amp;$G$1)</f>
        <v>29.72</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3706</v>
      </c>
      <c r="D29" s="2717"/>
      <c r="E29" s="2715"/>
      <c r="F29" s="2718"/>
      <c r="G29" s="2316"/>
      <c r="H29" s="725" t="s">
        <v>2738</v>
      </c>
      <c r="I29" s="726" t="s">
        <v>1203</v>
      </c>
      <c r="J29" s="727">
        <f ca="1">ROUND(J26/(1+F40)^F41,0)</f>
        <v>22458</v>
      </c>
      <c r="K29" s="728" t="s">
        <v>1204</v>
      </c>
      <c r="L29" s="729"/>
      <c r="M29" s="730">
        <f ca="1">INDIRECT("'数据-取费表'!k"&amp;$G$1)</f>
        <v>5093.33</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183</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87.3</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54.51</v>
      </c>
      <c r="D32" s="3295"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31.13</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f ca="1">IF(项目基本情况!B11="自然人","——",ROUND(F34*F35/10000,2))</f>
        <v>1.61</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1339.72</v>
      </c>
      <c r="G35" s="2315"/>
      <c r="H35" s="1284"/>
      <c r="I35" s="2920"/>
      <c r="J35" s="2921"/>
      <c r="K35" s="1297"/>
      <c r="L35" s="1296"/>
      <c r="M35" s="1296"/>
    </row>
    <row r="36" spans="1:18" ht="18" customHeight="1">
      <c r="A36" s="2731" t="s">
        <v>2755</v>
      </c>
      <c r="B36" s="689" t="s">
        <v>1187</v>
      </c>
      <c r="C36" s="319">
        <f ca="1">ROUND(C29*F36,1)</f>
        <v>55.6</v>
      </c>
      <c r="D36" s="3295" t="s">
        <v>1217</v>
      </c>
      <c r="E36" s="689" t="s">
        <v>534</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9.8000000000000007</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30.7</v>
      </c>
      <c r="D38" s="2717" t="s">
        <v>540</v>
      </c>
      <c r="E38" s="2715" t="s">
        <v>534</v>
      </c>
      <c r="F38" s="2711">
        <f ca="1">INDIRECT("'数据-取费表'!Am"&amp;$G$1)</f>
        <v>0.03</v>
      </c>
      <c r="G38" s="2315"/>
      <c r="H38" s="1296"/>
      <c r="I38" s="2920"/>
      <c r="J38" s="2921"/>
      <c r="K38" s="1301"/>
      <c r="L38" s="1296"/>
      <c r="M38" s="1296"/>
    </row>
    <row r="39" spans="1:18" ht="24.6" customHeight="1" thickTop="1">
      <c r="A39" s="2702" t="s">
        <v>2728</v>
      </c>
      <c r="B39" s="2719" t="s">
        <v>546</v>
      </c>
      <c r="C39" s="697">
        <f ca="1">C5-C30</f>
        <v>839</v>
      </c>
      <c r="D39" s="2720" t="s">
        <v>547</v>
      </c>
      <c r="E39" s="2721"/>
      <c r="F39" s="2722"/>
      <c r="G39" s="2315"/>
      <c r="H39" s="1296"/>
      <c r="I39" s="2920"/>
      <c r="J39" s="2921"/>
      <c r="K39" s="1301"/>
      <c r="L39" s="1296"/>
      <c r="M39" s="1296"/>
    </row>
    <row r="40" spans="1:18" ht="18" customHeight="1">
      <c r="A40" s="686" t="s">
        <v>2731</v>
      </c>
      <c r="B40" s="687" t="s">
        <v>548</v>
      </c>
      <c r="C40" s="688">
        <f ca="1">ROUND(C39*(1-((1+F42)/(1+F40))^F41)/(F40-F42),0)</f>
        <v>369</v>
      </c>
      <c r="D40" s="715" t="s">
        <v>542</v>
      </c>
      <c r="E40" s="689" t="s">
        <v>543</v>
      </c>
      <c r="F40" s="699">
        <f ca="1">INDIRECT("'数据-取费表'!I"&amp;$G$1)</f>
        <v>5.5E-2</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0.46</v>
      </c>
      <c r="G41" s="2315"/>
      <c r="H41" s="1198"/>
      <c r="I41" s="2920"/>
      <c r="J41" s="2921"/>
      <c r="K41" s="1300"/>
      <c r="L41" s="1198"/>
      <c r="M41" s="1198"/>
    </row>
    <row r="42" spans="1:18" ht="18" customHeight="1">
      <c r="A42" s="695"/>
      <c r="B42" s="696"/>
      <c r="C42" s="697"/>
      <c r="D42" s="718"/>
      <c r="E42" s="689" t="s">
        <v>551</v>
      </c>
      <c r="F42" s="699">
        <f ca="1">INDIRECT("'数据-取费表'!v"&amp;$G$1)</f>
        <v>0.02</v>
      </c>
      <c r="G42" s="2315"/>
      <c r="H42" s="1198"/>
      <c r="I42" s="2920"/>
      <c r="J42" s="2921"/>
      <c r="K42" s="1300"/>
      <c r="L42" s="1198"/>
      <c r="M42" s="1198"/>
    </row>
    <row r="43" spans="1:18" ht="18" customHeight="1" thickBot="1">
      <c r="A43" s="725" t="s">
        <v>2738</v>
      </c>
      <c r="B43" s="726" t="s">
        <v>552</v>
      </c>
      <c r="C43" s="727">
        <f ca="1">ROUND(C40*10000/F43,0)</f>
        <v>724</v>
      </c>
      <c r="D43" s="728" t="s">
        <v>553</v>
      </c>
      <c r="E43" s="729" t="s">
        <v>554</v>
      </c>
      <c r="F43" s="730">
        <f ca="1">INDIRECT("'数据-取费表'!k"&amp;$G$1)</f>
        <v>5093.33</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100680</v>
      </c>
      <c r="D46" s="2762" t="str">
        <f>C2</f>
        <v>万元</v>
      </c>
      <c r="E46" s="1439"/>
      <c r="F46" s="1439"/>
      <c r="I46" s="2609" t="s">
        <v>2814</v>
      </c>
      <c r="J46" s="2610"/>
      <c r="K46" s="2611"/>
      <c r="L46" s="2613">
        <f ca="1">IF(M47="住宅",0,IF(L48&gt;J51,L60,J60))</f>
        <v>110</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22827</v>
      </c>
      <c r="R47" s="2619" t="s">
        <v>2863</v>
      </c>
    </row>
    <row r="48" spans="1:18" s="1482" customFormat="1" ht="47.25" thickBot="1">
      <c r="A48" s="2747" t="s">
        <v>3024</v>
      </c>
      <c r="B48" s="687" t="s">
        <v>2707</v>
      </c>
      <c r="C48" s="3298">
        <f ca="1">C49+C53+C55</f>
        <v>250974</v>
      </c>
      <c r="D48" s="2751"/>
      <c r="E48" s="2752"/>
      <c r="F48" s="2445"/>
      <c r="G48" s="1484"/>
      <c r="H48" s="1485"/>
      <c r="I48" s="2574" t="s">
        <v>2808</v>
      </c>
      <c r="J48" s="2586" t="s">
        <v>2809</v>
      </c>
      <c r="K48" s="2596" t="s">
        <v>912</v>
      </c>
      <c r="L48" s="2191">
        <f ca="1">INDIRECT("'数据-取费表'!f"&amp;$G$1)</f>
        <v>30.18</v>
      </c>
      <c r="O48" s="2618" t="s">
        <v>2844</v>
      </c>
      <c r="P48" s="2628" t="s">
        <v>2864</v>
      </c>
      <c r="Q48" s="2619">
        <f ca="1">J60</f>
        <v>110</v>
      </c>
      <c r="R48" s="2619" t="s">
        <v>2872</v>
      </c>
    </row>
    <row r="49" spans="1:18" s="1482" customFormat="1" ht="16.5" thickBot="1">
      <c r="A49" s="2458" t="s">
        <v>3025</v>
      </c>
      <c r="B49" s="2750" t="s">
        <v>3027</v>
      </c>
      <c r="C49" s="2759">
        <f ca="1">ROUND(F49*F51*F50*(1-F52)/10000,0)</f>
        <v>250974</v>
      </c>
      <c r="D49" s="2561" t="s">
        <v>2708</v>
      </c>
      <c r="E49" s="2564" t="s">
        <v>2701</v>
      </c>
      <c r="F49" s="2567">
        <v>1500</v>
      </c>
      <c r="G49" s="1486"/>
      <c r="H49" s="1485"/>
      <c r="I49" s="2574" t="s">
        <v>2828</v>
      </c>
      <c r="J49" s="3312">
        <v>2010</v>
      </c>
      <c r="K49" s="2597" t="s">
        <v>2833</v>
      </c>
      <c r="L49" s="2598">
        <v>5000</v>
      </c>
      <c r="O49" s="2620" t="s">
        <v>2845</v>
      </c>
      <c r="P49" s="2628" t="s">
        <v>2865</v>
      </c>
      <c r="Q49" s="2619">
        <f ca="1">C29</f>
        <v>3706</v>
      </c>
      <c r="R49" s="2619" t="s">
        <v>2863</v>
      </c>
    </row>
    <row r="50" spans="1:18" s="1482" customFormat="1" ht="15.75" thickBot="1">
      <c r="A50" s="2459"/>
      <c r="B50" s="2462"/>
      <c r="C50" s="2767"/>
      <c r="D50" s="2432"/>
      <c r="E50" s="2562" t="s">
        <v>1158</v>
      </c>
      <c r="F50" s="2563">
        <f ca="1">F7</f>
        <v>5093.33</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1159</v>
      </c>
      <c r="F51" s="690">
        <f ca="1">F8</f>
        <v>365</v>
      </c>
      <c r="I51" s="2589" t="s">
        <v>2815</v>
      </c>
      <c r="J51" s="2590">
        <f>IF(J49="",J50,J49+J50-YEAR('数据-取费表'!B2))</f>
        <v>53</v>
      </c>
      <c r="K51" s="2599" t="s">
        <v>2835</v>
      </c>
      <c r="L51" s="2612">
        <f ca="1">ROUND(-PV(INDIRECT("'数据-取费表'!h"&amp;$G$1),L48,(C39-C13*C76),0),0)</f>
        <v>8276</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8"/>
      <c r="O53" s="2618" t="s">
        <v>2849</v>
      </c>
      <c r="P53" s="2628" t="s">
        <v>2868</v>
      </c>
      <c r="Q53" s="2619">
        <f ca="1">Q47+Q48</f>
        <v>22937</v>
      </c>
      <c r="R53" s="2619" t="s">
        <v>2850</v>
      </c>
    </row>
    <row r="54" spans="1:18" s="1482" customFormat="1" ht="16.5" thickBot="1">
      <c r="A54" s="2866"/>
      <c r="B54" s="2659" t="s">
        <v>3104</v>
      </c>
      <c r="C54" s="2442"/>
      <c r="D54" s="2669"/>
      <c r="E54" s="3297"/>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297"/>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f ca="1">C13</f>
        <v>3261</v>
      </c>
      <c r="D56" s="2734"/>
      <c r="E56" s="2438"/>
      <c r="F56" s="2568"/>
      <c r="I56" s="2573" t="s">
        <v>2818</v>
      </c>
      <c r="J56" s="2603" t="s">
        <v>44</v>
      </c>
      <c r="K56" s="2574" t="s">
        <v>2822</v>
      </c>
      <c r="L56" s="2191" t="str">
        <f ca="1">IF(L48&lt;J51,"——",L48-J51)</f>
        <v>——</v>
      </c>
      <c r="O56" s="2618" t="s">
        <v>2843</v>
      </c>
      <c r="P56" s="2628" t="s">
        <v>2862</v>
      </c>
      <c r="Q56" s="2619">
        <f ca="1">C40+J29</f>
        <v>22827</v>
      </c>
      <c r="R56" s="2619" t="s">
        <v>2863</v>
      </c>
    </row>
    <row r="57" spans="1:18" s="1482" customFormat="1" ht="29.25" thickBot="1">
      <c r="A57" s="2569"/>
      <c r="B57" s="2429" t="s">
        <v>1210</v>
      </c>
      <c r="C57" s="619">
        <f ca="1">C29</f>
        <v>3706</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1168</v>
      </c>
      <c r="C58" s="703">
        <f ca="1">ROUND(C59+C64+C65+C66,0)</f>
        <v>21013</v>
      </c>
      <c r="D58" s="2443" t="s">
        <v>1169</v>
      </c>
      <c r="E58" s="2444"/>
      <c r="F58" s="2445"/>
      <c r="I58" s="2575" t="s">
        <v>2819</v>
      </c>
      <c r="J58" s="3314">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13418</v>
      </c>
      <c r="D59" s="2446" t="s">
        <v>1172</v>
      </c>
      <c r="E59" s="2447" t="s">
        <v>1173</v>
      </c>
      <c r="F59" s="713" t="str">
        <f ca="1">IF(项目基本情况!B11="企业","",IF(INDIRECT("'数据-取费表'!c"&amp;$G$1)="住宅",4.5%,IF(F49*F50*F51/12&gt;20000,11%,6%)))</f>
        <v/>
      </c>
      <c r="I59" s="2575" t="s">
        <v>2820</v>
      </c>
      <c r="J59" s="2579">
        <f ca="1">IF(OR(M47="住宅",J51&lt;L48,J56="是"),"——",ROUND(C29*J58,0))</f>
        <v>1482</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1174</v>
      </c>
      <c r="C60" s="319">
        <f ca="1">IF(项目基本情况!B11="自然人","——",ROUND(C48*F60/(1+'数据-取费表'!B42),2))</f>
        <v>13385.28</v>
      </c>
      <c r="D60" s="2447" t="s">
        <v>1175</v>
      </c>
      <c r="E60" s="2429" t="s">
        <v>534</v>
      </c>
      <c r="F60" s="722">
        <f t="shared" ref="F60:F66" si="0">F32</f>
        <v>5.6000000000000001E-2</v>
      </c>
      <c r="I60" s="2576" t="s">
        <v>2821</v>
      </c>
      <c r="J60" s="2581">
        <f ca="1">IF(OR(M47="住宅",J51&lt;L48,J56="是"),"0",ROUND(J59/(1+J52)^J53,0))</f>
        <v>110</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1177</v>
      </c>
      <c r="C61" s="319">
        <f ca="1">IF(项目基本情况!B11="自然人","——",IF(D61="按租金收入计税",ROUND(C48*F61,2),IF(D61="按房产原值计税",ROUND(C57*F61*0.7,2),INDIRECT("'数据-取费表'!Aj"&amp;$G$1))))</f>
        <v>31.13</v>
      </c>
      <c r="D61" s="1307" t="s">
        <v>2796</v>
      </c>
      <c r="E61" s="2429" t="s">
        <v>534</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1179</v>
      </c>
      <c r="C62" s="320">
        <f ca="1">IF(项目基本情况!B11="自然人","——",ROUND(F62*F63/10000,2))</f>
        <v>1.61</v>
      </c>
      <c r="D62" s="2448" t="s">
        <v>1180</v>
      </c>
      <c r="E62" s="2429" t="s">
        <v>1181</v>
      </c>
      <c r="F62" s="716">
        <f t="shared" si="0"/>
        <v>12</v>
      </c>
      <c r="I62" s="2577" t="s">
        <v>2811</v>
      </c>
      <c r="J62" s="2578" t="s">
        <v>2812</v>
      </c>
      <c r="K62" s="2578" t="s">
        <v>2813</v>
      </c>
      <c r="L62" s="2578" t="s">
        <v>2809</v>
      </c>
      <c r="O62" s="2618" t="s">
        <v>2849</v>
      </c>
      <c r="P62" s="2628" t="s">
        <v>2868</v>
      </c>
      <c r="Q62" s="2619">
        <f ca="1">Q56+Q57</f>
        <v>22827</v>
      </c>
      <c r="R62" s="2619" t="s">
        <v>2850</v>
      </c>
    </row>
    <row r="63" spans="1:18" s="1482" customFormat="1" ht="16.5" thickBot="1">
      <c r="A63" s="717"/>
      <c r="B63" s="2435"/>
      <c r="C63" s="324"/>
      <c r="D63" s="2449"/>
      <c r="E63" s="2429" t="s">
        <v>1185</v>
      </c>
      <c r="F63" s="690">
        <f t="shared" ca="1" si="0"/>
        <v>1339.72</v>
      </c>
      <c r="I63" s="2577" t="s">
        <v>2825</v>
      </c>
      <c r="J63" s="2578">
        <v>70</v>
      </c>
      <c r="K63" s="2578">
        <v>50</v>
      </c>
      <c r="L63" s="2578">
        <v>80</v>
      </c>
      <c r="O63" s="2622" t="s">
        <v>2882</v>
      </c>
      <c r="P63" s="1302"/>
      <c r="Q63" s="1302"/>
      <c r="R63" s="1302"/>
    </row>
    <row r="64" spans="1:18" s="1482" customFormat="1" ht="15.75" thickBot="1">
      <c r="A64" s="2465" t="s">
        <v>2755</v>
      </c>
      <c r="B64" s="2429" t="s">
        <v>1187</v>
      </c>
      <c r="C64" s="319">
        <f ca="1">ROUND(C57*F64,1)</f>
        <v>55.6</v>
      </c>
      <c r="D64" s="2447" t="s">
        <v>1217</v>
      </c>
      <c r="E64" s="2429" t="s">
        <v>534</v>
      </c>
      <c r="F64" s="719">
        <f t="shared" ca="1" si="0"/>
        <v>1.4999999999999999E-2</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9.8000000000000007</v>
      </c>
      <c r="D65" s="2447" t="s">
        <v>538</v>
      </c>
      <c r="E65" s="2429" t="s">
        <v>534</v>
      </c>
      <c r="F65" s="721">
        <f t="shared" ca="1" si="0"/>
        <v>3.0000000000000001E-3</v>
      </c>
      <c r="I65" s="2577" t="s">
        <v>2827</v>
      </c>
      <c r="J65" s="2578">
        <v>40</v>
      </c>
      <c r="K65" s="2578">
        <v>30</v>
      </c>
      <c r="L65" s="2578">
        <v>50</v>
      </c>
      <c r="O65" s="2618" t="s">
        <v>2843</v>
      </c>
      <c r="P65" s="2628" t="s">
        <v>2862</v>
      </c>
      <c r="Q65" s="2619">
        <f ca="1">C40+J29</f>
        <v>22827</v>
      </c>
      <c r="R65" s="2619" t="s">
        <v>2863</v>
      </c>
    </row>
    <row r="66" spans="1:18" s="1482" customFormat="1" ht="20.25" thickBot="1">
      <c r="A66" s="2465" t="s">
        <v>2750</v>
      </c>
      <c r="B66" s="2429" t="s">
        <v>536</v>
      </c>
      <c r="C66" s="319">
        <f ca="1">ROUND(C48*F66,1)</f>
        <v>7529.2</v>
      </c>
      <c r="D66" s="2447" t="s">
        <v>540</v>
      </c>
      <c r="E66" s="2429" t="s">
        <v>534</v>
      </c>
      <c r="F66" s="699">
        <f t="shared" ca="1" si="0"/>
        <v>0.03</v>
      </c>
      <c r="O66" s="2618" t="s">
        <v>2844</v>
      </c>
      <c r="P66" s="2628" t="s">
        <v>2869</v>
      </c>
      <c r="Q66" s="2619">
        <f ca="1">L60</f>
        <v>0</v>
      </c>
      <c r="R66" s="2619" t="s">
        <v>2851</v>
      </c>
    </row>
    <row r="67" spans="1:18" s="1482" customFormat="1" ht="24.75" thickBot="1">
      <c r="A67" s="2436" t="s">
        <v>2728</v>
      </c>
      <c r="B67" s="2450" t="s">
        <v>546</v>
      </c>
      <c r="C67" s="703">
        <f ca="1">C48-C58</f>
        <v>229961</v>
      </c>
      <c r="D67" s="2446" t="s">
        <v>547</v>
      </c>
      <c r="E67" s="2451"/>
      <c r="F67" s="2452"/>
      <c r="O67" s="2620" t="s">
        <v>2845</v>
      </c>
      <c r="P67" s="2628" t="s">
        <v>2876</v>
      </c>
      <c r="Q67" s="2623">
        <f ca="1">L51</f>
        <v>8276</v>
      </c>
      <c r="R67" s="2624" t="s">
        <v>2886</v>
      </c>
    </row>
    <row r="68" spans="1:18" s="1482" customFormat="1" ht="20.25" thickBot="1">
      <c r="A68" s="2426" t="s">
        <v>2731</v>
      </c>
      <c r="B68" s="2427" t="s">
        <v>548</v>
      </c>
      <c r="C68" s="688">
        <f ca="1">ROUND(C67*(1-((1+F70)/(1+F68))^F69)/(F68-F70),0)</f>
        <v>101049</v>
      </c>
      <c r="D68" s="2448" t="s">
        <v>542</v>
      </c>
      <c r="E68" s="2429" t="s">
        <v>543</v>
      </c>
      <c r="F68" s="699">
        <f ca="1">F40</f>
        <v>5.5E-2</v>
      </c>
      <c r="O68" s="2620" t="s">
        <v>2846</v>
      </c>
      <c r="P68" s="2629" t="s">
        <v>2880</v>
      </c>
      <c r="Q68" s="2619">
        <f ca="1">ROUND(Q69-Q70*Q71,0)</f>
        <v>562</v>
      </c>
      <c r="R68" s="2619" t="s">
        <v>2885</v>
      </c>
    </row>
    <row r="69" spans="1:18" s="1482" customFormat="1" ht="15.75" thickBot="1">
      <c r="A69" s="2430"/>
      <c r="B69" s="2431"/>
      <c r="C69" s="693"/>
      <c r="D69" s="2453" t="s">
        <v>1202</v>
      </c>
      <c r="E69" s="2429" t="s">
        <v>550</v>
      </c>
      <c r="F69" s="724">
        <f ca="1">F41</f>
        <v>0.46</v>
      </c>
      <c r="O69" s="2620" t="s">
        <v>2854</v>
      </c>
      <c r="P69" s="2629" t="s">
        <v>2870</v>
      </c>
      <c r="Q69" s="2619">
        <f ca="1">C39</f>
        <v>839</v>
      </c>
      <c r="R69" s="2619" t="s">
        <v>2863</v>
      </c>
    </row>
    <row r="70" spans="1:18" s="1482" customFormat="1" ht="15.75" thickBot="1">
      <c r="A70" s="2433"/>
      <c r="B70" s="2434"/>
      <c r="C70" s="697"/>
      <c r="D70" s="2449"/>
      <c r="E70" s="2429" t="s">
        <v>551</v>
      </c>
      <c r="F70" s="2560">
        <v>2.5000000000000001E-2</v>
      </c>
      <c r="O70" s="2620" t="s">
        <v>2855</v>
      </c>
      <c r="P70" s="2629" t="s">
        <v>2871</v>
      </c>
      <c r="Q70" s="2619">
        <f ca="1">C13</f>
        <v>3261</v>
      </c>
      <c r="R70" s="2619" t="s">
        <v>2863</v>
      </c>
    </row>
    <row r="71" spans="1:18" s="1482" customFormat="1" ht="15.75" thickBot="1">
      <c r="A71" s="2454" t="s">
        <v>2738</v>
      </c>
      <c r="B71" s="2455" t="s">
        <v>552</v>
      </c>
      <c r="C71" s="727">
        <f ca="1">ROUND(C68*10000/F71,0)</f>
        <v>198395</v>
      </c>
      <c r="D71" s="2456" t="s">
        <v>553</v>
      </c>
      <c r="E71" s="2457" t="s">
        <v>554</v>
      </c>
      <c r="F71" s="730">
        <f ca="1">F43</f>
        <v>5093.33</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277</v>
      </c>
      <c r="D75" s="1482"/>
      <c r="E75" s="1482"/>
      <c r="F75" s="1482"/>
      <c r="K75" s="1483"/>
      <c r="L75" s="1482"/>
      <c r="O75" s="2618" t="s">
        <v>2849</v>
      </c>
      <c r="P75" s="2628" t="s">
        <v>2868</v>
      </c>
      <c r="Q75" s="2619">
        <f ca="1">Q65+Q66</f>
        <v>22827</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f ca="1">1-C80</f>
        <v>0.66999999999999993</v>
      </c>
    </row>
    <row r="80" spans="1:18">
      <c r="B80" s="2912" t="s">
        <v>3110</v>
      </c>
      <c r="C80" s="655">
        <f ca="1">ROUND(C75/C39,3)</f>
        <v>0.33</v>
      </c>
    </row>
    <row r="81" spans="2:3">
      <c r="B81" s="651" t="s">
        <v>556</v>
      </c>
      <c r="C81" s="652"/>
    </row>
    <row r="82" spans="2:3">
      <c r="B82" s="2911" t="s">
        <v>3109</v>
      </c>
      <c r="C82" s="656">
        <f ca="1">1-C83</f>
        <v>-7.8369999999999997</v>
      </c>
    </row>
    <row r="83" spans="2:3">
      <c r="B83" s="2911" t="s">
        <v>3108</v>
      </c>
      <c r="C83" s="655">
        <f ca="1">ROUND(C13/C40,3)</f>
        <v>8.8369999999999997</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D8" sqref="D8"/>
    </sheetView>
  </sheetViews>
  <sheetFormatPr defaultColWidth="6.625" defaultRowHeight="12.75"/>
  <cols>
    <col min="1" max="1" width="9.75" style="1493" customWidth="1"/>
    <col min="2" max="2" width="25.75" style="1828" customWidth="1"/>
    <col min="3" max="3" width="10.375" style="1872" customWidth="1"/>
    <col min="4" max="4" width="9.875" style="1828" customWidth="1"/>
    <col min="5" max="5" width="9.5" style="1493"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bestFit="1" customWidth="1"/>
    <col min="14" max="254" width="9" style="1828" customWidth="1"/>
    <col min="255" max="16384" width="6.625" style="1828"/>
  </cols>
  <sheetData>
    <row r="1" spans="1:33" ht="20.25">
      <c r="A1" s="577" t="s">
        <v>1111</v>
      </c>
      <c r="B1" s="3091"/>
      <c r="C1" s="3092" t="s">
        <v>210</v>
      </c>
      <c r="D1" s="3090"/>
      <c r="E1" s="657"/>
      <c r="F1" s="657"/>
      <c r="G1" s="3091"/>
      <c r="H1" s="657"/>
      <c r="I1" s="657"/>
      <c r="J1" s="657"/>
      <c r="K1" s="657">
        <f>MATCH(C1,'数据-取费表'!A6:A16,0)+5</f>
        <v>6</v>
      </c>
    </row>
    <row r="2" spans="1:33" ht="18" customHeight="1">
      <c r="A2" s="582" t="s">
        <v>1060</v>
      </c>
      <c r="B2" s="585" t="e">
        <f ca="1">C32</f>
        <v>#VALUE!</v>
      </c>
      <c r="C2" s="88" t="s">
        <v>1423</v>
      </c>
      <c r="D2" s="657"/>
      <c r="E2" s="657"/>
      <c r="F2" s="657"/>
      <c r="G2" s="657"/>
      <c r="H2" s="657"/>
      <c r="I2" s="657"/>
      <c r="J2" s="657"/>
      <c r="K2" s="657"/>
    </row>
    <row r="3" spans="1:33" ht="18" customHeight="1" thickBot="1">
      <c r="A3" s="584" t="s">
        <v>1061</v>
      </c>
      <c r="B3" s="585" t="e">
        <f ca="1">ROUND(B2*10000/IF(C1="",'数据-汇总表'!E3,INDIRECT("'数据-取费表'!K"&amp;$K$1)),0)</f>
        <v>#VALUE!</v>
      </c>
      <c r="C3" s="88" t="s">
        <v>1110</v>
      </c>
      <c r="D3" s="657"/>
      <c r="E3" s="657"/>
      <c r="F3" s="657"/>
      <c r="G3" s="657"/>
      <c r="H3" s="657"/>
      <c r="I3" s="657"/>
      <c r="J3" s="657"/>
      <c r="K3" s="657"/>
    </row>
    <row r="4" spans="1:33" s="1832" customFormat="1" ht="16.5" customHeight="1">
      <c r="A4" s="1829" t="s">
        <v>1112</v>
      </c>
      <c r="B4" s="1830"/>
      <c r="C4" s="1873">
        <f ca="1">SUM(C8:K8)</f>
        <v>15285</v>
      </c>
      <c r="D4" s="1830"/>
      <c r="E4" s="1830"/>
      <c r="F4" s="1830"/>
      <c r="G4" s="1830"/>
      <c r="H4" s="1830"/>
      <c r="I4" s="1830"/>
      <c r="J4" s="1830"/>
      <c r="K4" s="1831"/>
    </row>
    <row r="5" spans="1:33" s="1836" customFormat="1" ht="15">
      <c r="A5" s="1833" t="s">
        <v>1113</v>
      </c>
      <c r="B5" s="1834" t="s">
        <v>1114</v>
      </c>
      <c r="C5" s="1279" t="s">
        <v>210</v>
      </c>
      <c r="D5" s="1279" t="s">
        <v>43</v>
      </c>
      <c r="E5" s="1279" t="s">
        <v>3374</v>
      </c>
      <c r="F5" s="1279" t="s">
        <v>3392</v>
      </c>
      <c r="G5" s="1279"/>
      <c r="H5" s="1279"/>
      <c r="I5" s="1279"/>
      <c r="J5" s="1279"/>
      <c r="K5" s="1279"/>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1841" customFormat="1" ht="13.5" customHeight="1">
      <c r="A6" s="1837" t="s">
        <v>2292</v>
      </c>
      <c r="B6" s="476" t="s">
        <v>1115</v>
      </c>
      <c r="C6" s="1838">
        <f ca="1">'收益法 (办公)'!B3</f>
        <v>49344</v>
      </c>
      <c r="D6" s="1838">
        <f ca="1">'收益法（商业）'!B3</f>
        <v>57281</v>
      </c>
      <c r="E6" s="1838">
        <f ca="1">'收益法 (酒店)'!B3</f>
        <v>45033</v>
      </c>
      <c r="F6" s="3315">
        <f ca="1">'收益法（商业） (地下)'!B3</f>
        <v>0</v>
      </c>
      <c r="G6" s="1838"/>
      <c r="H6" s="1838"/>
      <c r="I6" s="1838"/>
      <c r="J6" s="1838"/>
      <c r="K6" s="1839"/>
      <c r="L6" s="1840"/>
      <c r="M6" s="1840"/>
      <c r="N6" s="1840"/>
      <c r="O6" s="1840"/>
      <c r="P6" s="1840"/>
      <c r="Q6" s="1840"/>
      <c r="R6" s="1840"/>
      <c r="S6" s="1840"/>
      <c r="T6" s="1840"/>
      <c r="U6" s="1840"/>
      <c r="V6" s="1840"/>
      <c r="W6" s="1840"/>
      <c r="X6" s="1840"/>
      <c r="Y6" s="1840"/>
      <c r="Z6" s="1840"/>
      <c r="AA6" s="1840"/>
      <c r="AB6" s="1840"/>
      <c r="AC6" s="1840"/>
      <c r="AD6" s="1840"/>
      <c r="AE6" s="1840"/>
      <c r="AF6" s="1840"/>
      <c r="AG6" s="1840"/>
    </row>
    <row r="7" spans="1:33" s="1841" customFormat="1" ht="13.5" customHeight="1">
      <c r="A7" s="1842" t="s">
        <v>2273</v>
      </c>
      <c r="B7" s="476" t="s">
        <v>1116</v>
      </c>
      <c r="C7" s="658">
        <f>SUMIF('数据-汇总表'!$C19:$C33,假设开发法!C5,'数据-汇总表'!$E19:$E33)</f>
        <v>3097.6099999999997</v>
      </c>
      <c r="D7" s="658">
        <f>SUMIF('数据-汇总表'!$C19:$C33,假设开发法!D5,'数据-汇总表'!$E19:$E33)</f>
        <v>3185.37</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0"/>
      <c r="M7" s="1840"/>
      <c r="N7" s="1840"/>
      <c r="O7" s="1840"/>
      <c r="P7" s="1840"/>
      <c r="Q7" s="1840"/>
      <c r="R7" s="1840"/>
      <c r="S7" s="1840"/>
      <c r="T7" s="1840"/>
      <c r="U7" s="1840"/>
      <c r="V7" s="1840"/>
      <c r="W7" s="1840"/>
      <c r="X7" s="1840"/>
      <c r="Y7" s="1840"/>
      <c r="Z7" s="1840"/>
      <c r="AA7" s="1840"/>
      <c r="AB7" s="1840"/>
      <c r="AC7" s="1840"/>
      <c r="AD7" s="1840"/>
      <c r="AE7" s="1840"/>
      <c r="AF7" s="1840"/>
      <c r="AG7" s="1840"/>
    </row>
    <row r="8" spans="1:33" s="1841" customFormat="1" ht="13.5" customHeight="1" thickBot="1">
      <c r="A8" s="1874" t="s">
        <v>2274</v>
      </c>
      <c r="B8" s="514" t="s">
        <v>1117</v>
      </c>
      <c r="C8" s="1875">
        <f ca="1">'收益法 (办公)'!B2</f>
        <v>15285</v>
      </c>
      <c r="D8" s="1875"/>
      <c r="E8" s="1875"/>
      <c r="F8" s="3316"/>
      <c r="G8" s="1876"/>
      <c r="H8" s="1876"/>
      <c r="I8" s="1876"/>
      <c r="J8" s="1876"/>
      <c r="K8" s="1877"/>
      <c r="L8" s="1840"/>
      <c r="M8" s="1840"/>
      <c r="N8" s="1840"/>
      <c r="O8" s="1840"/>
      <c r="P8" s="1840"/>
      <c r="Q8" s="1840"/>
      <c r="R8" s="1840"/>
      <c r="S8" s="1840"/>
      <c r="T8" s="1840"/>
      <c r="U8" s="1840"/>
      <c r="V8" s="1840"/>
      <c r="W8" s="1840"/>
      <c r="X8" s="1840"/>
      <c r="Y8" s="1840"/>
      <c r="Z8" s="1840"/>
      <c r="AA8" s="1840"/>
      <c r="AB8" s="1840"/>
      <c r="AC8" s="1840"/>
      <c r="AD8" s="1840"/>
      <c r="AE8" s="1840"/>
      <c r="AF8" s="1840"/>
      <c r="AG8" s="1840"/>
    </row>
    <row r="9" spans="1:33" s="1832" customFormat="1" ht="16.5" customHeight="1">
      <c r="A9" s="1829" t="s">
        <v>1118</v>
      </c>
      <c r="B9" s="1830"/>
      <c r="C9" s="1830"/>
      <c r="D9" s="1830"/>
      <c r="E9" s="1830"/>
      <c r="F9" s="1830"/>
      <c r="G9" s="1830"/>
      <c r="H9" s="1830"/>
      <c r="I9" s="1830"/>
      <c r="J9" s="1830"/>
      <c r="K9" s="1831"/>
    </row>
    <row r="10" spans="1:33" s="1847" customFormat="1" ht="13.5" customHeight="1">
      <c r="A10" s="1833" t="s">
        <v>1113</v>
      </c>
      <c r="B10" s="301" t="s">
        <v>1114</v>
      </c>
      <c r="C10" s="1843" t="s">
        <v>1119</v>
      </c>
      <c r="D10" s="1844" t="s">
        <v>1120</v>
      </c>
      <c r="E10" s="1844" t="s">
        <v>1121</v>
      </c>
      <c r="F10" s="1844" t="s">
        <v>1122</v>
      </c>
      <c r="G10" s="301"/>
      <c r="H10" s="1845"/>
      <c r="I10" s="1845"/>
      <c r="J10" s="1845"/>
      <c r="K10" s="1846"/>
    </row>
    <row r="11" spans="1:33" s="1852" customFormat="1" ht="13.5" customHeight="1">
      <c r="A11" s="1848" t="s">
        <v>3359</v>
      </c>
      <c r="B11" s="1849" t="s">
        <v>1123</v>
      </c>
      <c r="C11" s="660" t="e">
        <f ca="1">IF(C1="",'数据-取费表'!P16,INDIRECT("'数据-取费表'!p"&amp;$K$1)+INDIRECT("'数据-取费表'!ar"&amp;$K$1))</f>
        <v>#VALUE!</v>
      </c>
      <c r="D11" s="1850"/>
      <c r="E11" s="720"/>
      <c r="F11" s="1851">
        <f ca="1">1-IF('数据-取费表'!B24=0,1,IF(C1="",'数据-取费表'!N16,INDIRECT("'数据-取费表'!n"&amp;$K$1)))</f>
        <v>0</v>
      </c>
      <c r="G11" s="301"/>
      <c r="H11" s="1845"/>
      <c r="I11" s="1845"/>
      <c r="J11" s="1845"/>
      <c r="K11" s="1846"/>
    </row>
    <row r="12" spans="1:33" s="1852" customFormat="1" ht="13.5" customHeight="1">
      <c r="A12" s="1848" t="s">
        <v>3360</v>
      </c>
      <c r="B12" s="1849" t="s">
        <v>1124</v>
      </c>
      <c r="C12" s="319" t="e">
        <f ca="1">ROUND(C11*F12,0)</f>
        <v>#VALUE!</v>
      </c>
      <c r="D12" s="1850"/>
      <c r="E12" s="720"/>
      <c r="F12" s="1853">
        <f>'数据-取费表'!B33</f>
        <v>0.03</v>
      </c>
      <c r="G12" s="301" t="s">
        <v>1125</v>
      </c>
      <c r="H12" s="1845"/>
      <c r="I12" s="1845"/>
      <c r="J12" s="1845"/>
      <c r="K12" s="1846"/>
    </row>
    <row r="13" spans="1:33" s="1852" customFormat="1" ht="13.5" customHeight="1">
      <c r="A13" s="1848" t="s">
        <v>3361</v>
      </c>
      <c r="B13" s="1849" t="s">
        <v>1126</v>
      </c>
      <c r="C13" s="319">
        <f ca="1">ROUND(IF(C1="",SUMIF('数据-取费表'!C:C,"住宅",'数据-取费表'!P:P)*F13,IF(INDIRECT("'数据-取费表'!c"&amp;$K$1)="住宅",INDIRECT("'数据-取费表'!P"&amp;$K$1)*F13,0)),0)</f>
        <v>0</v>
      </c>
      <c r="D13" s="1931"/>
      <c r="E13" s="720"/>
      <c r="F13" s="1853">
        <f>'数据-取费表'!B34</f>
        <v>0</v>
      </c>
      <c r="G13" s="301" t="s">
        <v>1127</v>
      </c>
      <c r="H13" s="1845"/>
      <c r="I13" s="1845"/>
      <c r="J13" s="1845"/>
      <c r="K13" s="1846"/>
    </row>
    <row r="14" spans="1:33" s="1854" customFormat="1" ht="13.5" customHeight="1">
      <c r="A14" s="1848" t="s">
        <v>3362</v>
      </c>
      <c r="B14" s="1849" t="s">
        <v>1128</v>
      </c>
      <c r="C14" s="319">
        <f ca="1">ROUND(D14*E14*F11/10000,0)</f>
        <v>0</v>
      </c>
      <c r="D14" s="1931">
        <f ca="1">IF(C1="",'数据-汇总表'!E3,INDIRECT("'数据-取费表'!K"&amp;$K$1)+INDIRECT("'数据-取费表'!S"&amp;$K$1))</f>
        <v>3097.6099999999997</v>
      </c>
      <c r="E14" s="319">
        <f>'数据-取费表'!B35</f>
        <v>200</v>
      </c>
      <c r="F14" s="1853"/>
      <c r="G14" s="301" t="s">
        <v>1129</v>
      </c>
      <c r="H14" s="1845"/>
      <c r="I14" s="1845"/>
      <c r="J14" s="1845"/>
      <c r="K14" s="1846"/>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row>
    <row r="15" spans="1:33" s="1854" customFormat="1" ht="13.5" customHeight="1">
      <c r="A15" s="1848" t="s">
        <v>3363</v>
      </c>
      <c r="B15" s="1849" t="s">
        <v>1135</v>
      </c>
      <c r="C15" s="1860" t="e">
        <f ca="1">ROUND(C11*F15,0)</f>
        <v>#VALUE!</v>
      </c>
      <c r="D15" s="1855"/>
      <c r="E15" s="1860"/>
      <c r="F15" s="1861">
        <f>'数据-取费表'!B36</f>
        <v>1.4999999999999999E-2</v>
      </c>
      <c r="G15" s="476" t="s">
        <v>1136</v>
      </c>
      <c r="H15" s="1856"/>
      <c r="I15" s="1856"/>
      <c r="J15" s="1856"/>
      <c r="K15" s="1857"/>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row>
    <row r="16" spans="1:33" s="1854" customFormat="1" ht="13.5" customHeight="1">
      <c r="A16" s="1848" t="s">
        <v>2293</v>
      </c>
      <c r="B16" s="3278" t="s">
        <v>3364</v>
      </c>
      <c r="C16" s="1860" t="e">
        <f ca="1">SUM(C11:C15)</f>
        <v>#VALUE!</v>
      </c>
      <c r="D16" s="1855"/>
      <c r="E16" s="1860"/>
      <c r="F16" s="1861"/>
      <c r="G16" s="476"/>
      <c r="H16" s="3088"/>
      <c r="I16" s="1856"/>
      <c r="J16" s="1856"/>
      <c r="K16" s="1857"/>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row>
    <row r="17" spans="1:33" s="1854" customFormat="1" ht="13.5" customHeight="1">
      <c r="A17" s="1848" t="s">
        <v>2294</v>
      </c>
      <c r="B17" s="1849" t="s">
        <v>1130</v>
      </c>
      <c r="C17" s="319">
        <f ca="1">ROUND(D17*E17/10000,0)</f>
        <v>0</v>
      </c>
      <c r="D17" s="1931">
        <f ca="1">D14</f>
        <v>3097.6099999999997</v>
      </c>
      <c r="E17" s="319">
        <f>'数据-取费表'!B32</f>
        <v>0</v>
      </c>
      <c r="F17" s="1855"/>
      <c r="G17" s="476" t="s">
        <v>1131</v>
      </c>
      <c r="H17" s="3088"/>
      <c r="I17" s="1856"/>
      <c r="J17" s="1856"/>
      <c r="K17" s="1857"/>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row>
    <row r="18" spans="1:33" s="1852" customFormat="1" ht="13.5" customHeight="1">
      <c r="A18" s="1848" t="s">
        <v>3365</v>
      </c>
      <c r="B18" s="1849" t="s">
        <v>1132</v>
      </c>
      <c r="C18" s="319">
        <f ca="1">C19+C20-IF(C1="",'数据-取费表'!B29,IF(G18="已全部缴纳",C19+C20,H18))</f>
        <v>0</v>
      </c>
      <c r="D18" s="1931"/>
      <c r="E18" s="319"/>
      <c r="F18" s="1853"/>
      <c r="G18" s="3087" t="s">
        <v>3368</v>
      </c>
      <c r="H18" s="3085"/>
      <c r="I18" s="3086" t="s">
        <v>3210</v>
      </c>
      <c r="J18" s="1856"/>
      <c r="K18" s="1857"/>
    </row>
    <row r="19" spans="1:33" s="1852" customFormat="1" ht="13.5" customHeight="1">
      <c r="A19" s="1848" t="s">
        <v>2295</v>
      </c>
      <c r="B19" s="1849" t="s">
        <v>1133</v>
      </c>
      <c r="C19" s="319">
        <f ca="1">ROUND(D19*E19/10000,0)</f>
        <v>0</v>
      </c>
      <c r="D19" s="1931">
        <f ca="1">IF(C1="",'数据-汇总表'!E5,IF(INDIRECT("'数据-取费表'!c"&amp;$K$1)="住宅",INDIRECT("'数据-取费表'!k"&amp;$K$1),0))</f>
        <v>0</v>
      </c>
      <c r="E19" s="319">
        <f>'数据-取费表'!B27</f>
        <v>160</v>
      </c>
      <c r="F19" s="1853"/>
      <c r="G19" s="309"/>
      <c r="H19" s="3089"/>
      <c r="I19" s="1858"/>
      <c r="J19" s="1858"/>
      <c r="K19" s="1859"/>
    </row>
    <row r="20" spans="1:33" s="1852" customFormat="1" ht="13.5" customHeight="1">
      <c r="A20" s="1848" t="s">
        <v>2296</v>
      </c>
      <c r="B20" s="1849" t="s">
        <v>1134</v>
      </c>
      <c r="C20" s="319">
        <f ca="1">ROUND(D20*E20/10000,0)</f>
        <v>62</v>
      </c>
      <c r="D20" s="1931">
        <f ca="1">IF(C1="",'数据-汇总表'!E6,IF(INDIRECT("'数据-取费表'!c"&amp;$K$1)="住宅",INDIRECT("'数据-取费表'!s"&amp;$K$1),INDIRECT("'数据-取费表'!k"&amp;$K$1)+INDIRECT("'数据-取费表'!s"&amp;$K$1)))</f>
        <v>3097.6099999999997</v>
      </c>
      <c r="E20" s="319">
        <f>'数据-取费表'!B28</f>
        <v>200</v>
      </c>
      <c r="F20" s="1853"/>
      <c r="G20" s="309"/>
      <c r="H20" s="1858"/>
      <c r="I20" s="1858"/>
      <c r="J20" s="1858"/>
      <c r="K20" s="1859"/>
    </row>
    <row r="21" spans="1:33" s="1852" customFormat="1" ht="13.5" customHeight="1">
      <c r="A21" s="1837" t="s">
        <v>2292</v>
      </c>
      <c r="B21" s="1862" t="s">
        <v>1137</v>
      </c>
      <c r="C21" s="1863" t="e">
        <f ca="1">C16+C17+C18</f>
        <v>#VALUE!</v>
      </c>
      <c r="D21" s="1864"/>
      <c r="E21" s="662"/>
      <c r="F21" s="662"/>
      <c r="G21" s="476" t="s">
        <v>2932</v>
      </c>
      <c r="H21" s="1856"/>
      <c r="I21" s="1856"/>
      <c r="J21" s="1856"/>
      <c r="K21" s="1857"/>
    </row>
    <row r="22" spans="1:33" s="1852" customFormat="1" ht="13.5" customHeight="1">
      <c r="A22" s="1842" t="s">
        <v>2273</v>
      </c>
      <c r="B22" s="1862" t="s">
        <v>1138</v>
      </c>
      <c r="C22" s="1863" t="e">
        <f ca="1">ROUND(C21*F22,0)</f>
        <v>#VALUE!</v>
      </c>
      <c r="D22" s="662"/>
      <c r="E22" s="662"/>
      <c r="F22" s="1865">
        <f>'数据-取费表'!B37</f>
        <v>0.02</v>
      </c>
      <c r="G22" s="301" t="s">
        <v>1139</v>
      </c>
      <c r="H22" s="1845"/>
      <c r="I22" s="1845"/>
      <c r="J22" s="1845"/>
      <c r="K22" s="1846"/>
    </row>
    <row r="23" spans="1:33" s="1852" customFormat="1" ht="13.5" customHeight="1">
      <c r="A23" s="1842" t="s">
        <v>2274</v>
      </c>
      <c r="B23" s="1862" t="s">
        <v>1140</v>
      </c>
      <c r="C23" s="1863">
        <f ca="1">ROUND(C4*F23*F11,0)</f>
        <v>0</v>
      </c>
      <c r="D23" s="662"/>
      <c r="E23" s="662"/>
      <c r="F23" s="1865">
        <f>'数据-取费表'!B38</f>
        <v>0.03</v>
      </c>
      <c r="G23" s="301" t="s">
        <v>1141</v>
      </c>
      <c r="H23" s="1845"/>
      <c r="I23" s="1845"/>
      <c r="J23" s="1845"/>
      <c r="K23" s="1846"/>
    </row>
    <row r="24" spans="1:33" s="1852" customFormat="1" ht="13.5" customHeight="1">
      <c r="A24" s="1842" t="s">
        <v>2275</v>
      </c>
      <c r="B24" s="1862" t="s">
        <v>1142</v>
      </c>
      <c r="C24" s="661">
        <f>ROUND(F24/(1+'数据-取费表'!B42),4)</f>
        <v>2.9000000000000001E-2</v>
      </c>
      <c r="D24" s="662" t="s">
        <v>53</v>
      </c>
      <c r="E24" s="662"/>
      <c r="F24" s="1865">
        <f>'数据-取费表'!B48+'数据-取费表'!B49</f>
        <v>3.0499999999999999E-2</v>
      </c>
      <c r="G24" s="2045" t="s">
        <v>3357</v>
      </c>
      <c r="H24" s="1867"/>
      <c r="I24" s="1867"/>
      <c r="J24" s="1867"/>
      <c r="K24" s="1868"/>
    </row>
    <row r="25" spans="1:33" s="1852" customFormat="1" ht="13.5" customHeight="1">
      <c r="A25" s="1842" t="s">
        <v>2276</v>
      </c>
      <c r="B25" s="1864" t="s">
        <v>1143</v>
      </c>
      <c r="C25" s="2738" t="e">
        <f ca="1">C27</f>
        <v>#VALUE!</v>
      </c>
      <c r="D25" s="661">
        <f ca="1">C26</f>
        <v>0</v>
      </c>
      <c r="E25" s="663" t="s">
        <v>53</v>
      </c>
      <c r="F25" s="664">
        <f ca="1">'数据-取费表'!B40</f>
        <v>4.7500000000000001E-2</v>
      </c>
      <c r="G25" s="2737" t="str">
        <f>IF('数据-取费表'!B22&lt;=1,"单利计息。","复利计息。")&amp;"后续开发成本、管理费用及销售费用产生的利息。"</f>
        <v>复利计息。后续开发成本、管理费用及销售费用产生的利息。</v>
      </c>
      <c r="H25" s="1867"/>
      <c r="I25" s="1867"/>
      <c r="J25" s="1867"/>
      <c r="K25" s="1868"/>
    </row>
    <row r="26" spans="1:33" s="1870" customFormat="1" ht="13.5" customHeight="1">
      <c r="A26" s="1848" t="s">
        <v>2293</v>
      </c>
      <c r="B26" s="1869" t="s">
        <v>1144</v>
      </c>
      <c r="C26" s="2739">
        <f ca="1">ROUND(IF('数据-取费表'!B22&lt;=1,(1+C24)*F25*'数据-取费表'!B24,(1+C24)*(POWER((1+F25),'数据-取费表'!B24)-1)),4)</f>
        <v>0</v>
      </c>
      <c r="D26" s="665"/>
      <c r="E26" s="666"/>
      <c r="F26" s="667"/>
      <c r="G26" s="2744" t="str">
        <f>IF('数据-取费表'!B22&lt;=1,"（(1)+取得税费率/(1+5%)）×年利率×建设期","（(1)+取得税费率）/(1+5%)×((1+年利率)^建设期-1)")</f>
        <v>（(1)+取得税费率）/(1+5%)×((1+年利率)^建设期-1)</v>
      </c>
      <c r="H26" s="1856"/>
      <c r="I26" s="1856"/>
      <c r="J26" s="1856"/>
      <c r="K26" s="1857"/>
    </row>
    <row r="27" spans="1:33" s="1870" customFormat="1" ht="13.5" customHeight="1">
      <c r="A27" s="1848" t="s">
        <v>2294</v>
      </c>
      <c r="B27" s="1869" t="s">
        <v>3022</v>
      </c>
      <c r="C27" s="2740" t="e">
        <f ca="1">ROUND(IF('数据-取费表'!B22&lt;=1,(C21+C22+C23)*F25*'数据-取费表'!B24/2,(C21+C22+C23)*(POWER((1+F25),'数据-取费表'!B24/2)-1)),0)</f>
        <v>#VALUE!</v>
      </c>
      <c r="D27" s="665"/>
      <c r="E27" s="666"/>
      <c r="F27" s="667"/>
      <c r="G27" s="2744" t="str">
        <f>IF('数据-取费表'!B22&lt;=1,"（1）-（3）项×年利率×建设期÷2","（1）-（3）项×((1+年利率)^(建设期÷2)-1)")</f>
        <v>（1）-（3）项×((1+年利率)^(建设期÷2)-1)</v>
      </c>
      <c r="H27" s="1856"/>
      <c r="I27" s="1856"/>
      <c r="J27" s="1856"/>
      <c r="K27" s="1857"/>
    </row>
    <row r="28" spans="1:33" s="670" customFormat="1" ht="13.5" customHeight="1">
      <c r="A28" s="1842" t="s">
        <v>2277</v>
      </c>
      <c r="B28" s="3279" t="s">
        <v>3366</v>
      </c>
      <c r="C28" s="668" t="e">
        <f ca="1">C30</f>
        <v>#VALUE!</v>
      </c>
      <c r="D28" s="661">
        <f ca="1">C29</f>
        <v>0</v>
      </c>
      <c r="E28" s="663" t="s">
        <v>53</v>
      </c>
      <c r="F28" s="669">
        <f ca="1">IF(C1="",'数据-取费表'!Q16,INDIRECT("'数据-取费表'!q"&amp;$K$1))</f>
        <v>0.15</v>
      </c>
      <c r="G28" s="1866"/>
      <c r="H28" s="1867"/>
      <c r="I28" s="1867"/>
      <c r="J28" s="1867"/>
      <c r="K28" s="1868"/>
    </row>
    <row r="29" spans="1:33" s="672" customFormat="1" ht="13.5" customHeight="1">
      <c r="A29" s="1848" t="s">
        <v>2293</v>
      </c>
      <c r="B29" s="1871" t="s">
        <v>1145</v>
      </c>
      <c r="C29" s="665">
        <f ca="1">ROUND((1+C24)*F28*'数据-取费表'!B24/'数据-取费表'!B20,4)</f>
        <v>0</v>
      </c>
      <c r="D29" s="665"/>
      <c r="E29" s="666"/>
      <c r="F29" s="671"/>
      <c r="G29" s="476" t="s">
        <v>1146</v>
      </c>
      <c r="H29" s="1856"/>
      <c r="I29" s="1856"/>
      <c r="J29" s="1856"/>
      <c r="K29" s="1857"/>
    </row>
    <row r="30" spans="1:33" s="672" customFormat="1" ht="13.5" customHeight="1">
      <c r="A30" s="1848" t="s">
        <v>2294</v>
      </c>
      <c r="B30" s="2745" t="s">
        <v>3023</v>
      </c>
      <c r="C30" s="673" t="e">
        <f ca="1">ROUND((C21+C22+C23)*F28,0)</f>
        <v>#VALUE!</v>
      </c>
      <c r="D30" s="665"/>
      <c r="E30" s="666"/>
      <c r="F30" s="671"/>
      <c r="G30" s="476"/>
      <c r="H30" s="1856"/>
      <c r="I30" s="1856"/>
      <c r="J30" s="1856"/>
      <c r="K30" s="1857"/>
    </row>
    <row r="31" spans="1:33" s="1852" customFormat="1" ht="13.5" customHeight="1" thickBot="1">
      <c r="A31" s="1883" t="s">
        <v>2278</v>
      </c>
      <c r="B31" s="1884" t="s">
        <v>1147</v>
      </c>
      <c r="C31" s="1885">
        <f ca="1">ROUND(C4*F31/(1+'数据-取费表'!B42),0)</f>
        <v>815</v>
      </c>
      <c r="D31" s="1886"/>
      <c r="E31" s="1887"/>
      <c r="F31" s="1888">
        <f>'数据-取费表'!B41</f>
        <v>5.6000000000000001E-2</v>
      </c>
      <c r="G31" s="1889" t="s">
        <v>1148</v>
      </c>
      <c r="H31" s="1890"/>
      <c r="I31" s="1890"/>
      <c r="J31" s="1890"/>
      <c r="K31" s="1891"/>
    </row>
    <row r="32" spans="1:33" s="1847" customFormat="1" ht="13.5" customHeight="1" thickBot="1">
      <c r="A32" s="1878" t="s">
        <v>3358</v>
      </c>
      <c r="B32" s="1879"/>
      <c r="C32" s="1880" t="e">
        <f ca="1">ROUND((C4-C21-C22-C23-C25-C28-C31)/(1+C24+D25+D28),0)</f>
        <v>#VALUE!</v>
      </c>
      <c r="D32" s="1879"/>
      <c r="E32" s="1879"/>
      <c r="F32" s="1879"/>
      <c r="G32" s="1881" t="s">
        <v>1149</v>
      </c>
      <c r="H32" s="1879"/>
      <c r="I32" s="1879"/>
      <c r="J32" s="1879"/>
      <c r="K32" s="188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J36" sqref="J36"/>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3392</v>
      </c>
      <c r="D1" s="1280"/>
      <c r="E1" s="2616" t="s">
        <v>767</v>
      </c>
      <c r="F1" s="2617"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C40+J29+L46</f>
        <v>#N/A</v>
      </c>
      <c r="C2" s="1306" t="s">
        <v>1424</v>
      </c>
      <c r="D2" s="1282"/>
      <c r="E2" s="2606"/>
      <c r="F2" s="1283"/>
      <c r="G2" s="2314"/>
      <c r="H2" s="1281"/>
      <c r="I2" s="1281"/>
      <c r="J2" s="1281"/>
      <c r="K2" s="1305"/>
      <c r="L2" s="1281"/>
      <c r="M2" s="1281"/>
    </row>
    <row r="3" spans="1:37" ht="18" customHeight="1" thickBot="1">
      <c r="A3" s="680" t="s">
        <v>640</v>
      </c>
      <c r="B3" s="1414">
        <f ca="1">IF(ISERROR(B2*10000/F43),0,ROUND(B2*10000/F43,0))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2942</v>
      </c>
      <c r="E5" s="2662"/>
      <c r="F5" s="2663"/>
      <c r="G5" s="2315"/>
      <c r="H5" s="686">
        <v>1</v>
      </c>
      <c r="I5" s="687" t="s">
        <v>2707</v>
      </c>
      <c r="J5" s="2661" t="e">
        <f ca="1">J6+J10+J12</f>
        <v>#N/A</v>
      </c>
      <c r="K5" s="2664" t="s">
        <v>2942</v>
      </c>
      <c r="L5" s="2662"/>
      <c r="M5" s="2663"/>
    </row>
    <row r="6" spans="1:37" ht="18" customHeight="1">
      <c r="A6" s="2657" t="s">
        <v>2748</v>
      </c>
      <c r="B6" s="3604" t="s">
        <v>2941</v>
      </c>
      <c r="C6" s="2666" t="e">
        <f ca="1">ROUND(F6*F8*F7*(1-F9)/10000,0)</f>
        <v>#N/A</v>
      </c>
      <c r="D6" s="2660" t="s">
        <v>2943</v>
      </c>
      <c r="E6" s="689" t="s">
        <v>1157</v>
      </c>
      <c r="F6" s="690" t="e">
        <f ca="1">INDIRECT("'数据-取费表'!u"&amp;$G$1)</f>
        <v>#N/A</v>
      </c>
      <c r="G6" s="2315"/>
      <c r="H6" s="2657" t="s">
        <v>2748</v>
      </c>
      <c r="I6" s="3604" t="s">
        <v>2941</v>
      </c>
      <c r="J6" s="688" t="e">
        <f ca="1">ROUND(M6*M8*M7*(1-M9)/10000,0)</f>
        <v>#N/A</v>
      </c>
      <c r="K6" s="2660" t="s">
        <v>2943</v>
      </c>
      <c r="L6" s="689" t="s">
        <v>1157</v>
      </c>
      <c r="M6" s="690" t="e">
        <f ca="1">INDIRECT("'数据-取费表'!z"&amp;$G$1)</f>
        <v>#N/A</v>
      </c>
    </row>
    <row r="7" spans="1:37" ht="18" customHeight="1">
      <c r="A7" s="2665"/>
      <c r="B7" s="3605"/>
      <c r="C7" s="2667"/>
      <c r="D7" s="2084"/>
      <c r="E7" s="2668" t="s">
        <v>1158</v>
      </c>
      <c r="F7" s="690" t="e">
        <f ca="1">IF(INDIRECT("'数据-取费表'!ah"&amp;$G$1)="",INDIRECT("'数据-取费表'!k"&amp;$G$1),INDIRECT("'数据-取费表'!ah"&amp;$G$1))</f>
        <v>#N/A</v>
      </c>
      <c r="G7" s="2315"/>
      <c r="H7" s="691"/>
      <c r="I7" s="3605"/>
      <c r="J7" s="693"/>
      <c r="K7" s="694"/>
      <c r="L7" s="689" t="s">
        <v>1158</v>
      </c>
      <c r="M7" s="690" t="e">
        <f ca="1">F7</f>
        <v>#N/A</v>
      </c>
    </row>
    <row r="8" spans="1:37" ht="18" customHeight="1">
      <c r="A8" s="691"/>
      <c r="B8" s="3605"/>
      <c r="C8" s="693"/>
      <c r="D8" s="694"/>
      <c r="E8" s="689" t="s">
        <v>1159</v>
      </c>
      <c r="F8" s="690" t="e">
        <f ca="1">INDIRECT("'数据-取费表'!ai"&amp;$G$1)</f>
        <v>#N/A</v>
      </c>
      <c r="G8" s="2315"/>
      <c r="H8" s="691"/>
      <c r="I8" s="3605"/>
      <c r="J8" s="693"/>
      <c r="K8" s="694"/>
      <c r="L8" s="689" t="s">
        <v>1159</v>
      </c>
      <c r="M8" s="690" t="e">
        <f ca="1">INDIRECT("'数据-取费表'!ai"&amp;$G$1)</f>
        <v>#N/A</v>
      </c>
    </row>
    <row r="9" spans="1:37" ht="18" customHeight="1">
      <c r="A9" s="691"/>
      <c r="B9" s="3606"/>
      <c r="C9" s="693"/>
      <c r="D9" s="694"/>
      <c r="E9" s="689" t="s">
        <v>1160</v>
      </c>
      <c r="F9" s="699" t="e">
        <f ca="1">INDIRECT("'数据-取费表'!w"&amp;$G$1)</f>
        <v>#N/A</v>
      </c>
      <c r="G9" s="2315"/>
      <c r="H9" s="691"/>
      <c r="I9" s="3606"/>
      <c r="J9" s="693"/>
      <c r="K9" s="694"/>
      <c r="L9" s="700" t="s">
        <v>1160</v>
      </c>
      <c r="M9" s="701" t="e">
        <f ca="1">INDIRECT("'数据-取费表'!ab"&amp;$G$1)</f>
        <v>#N/A</v>
      </c>
    </row>
    <row r="10" spans="1:37" ht="18" customHeight="1">
      <c r="A10" s="2657" t="s">
        <v>2755</v>
      </c>
      <c r="B10" s="2658" t="s">
        <v>2936</v>
      </c>
      <c r="C10" s="703">
        <f ca="1">ROUND(IF(F10="押一",F6*F8*F7/12*F11,IF(F10="押二",F6*F8*F7/12*2*F11,IF(F10="押三",F6*F8*F7/12*3*F11,C11*F11)))/10000,0)</f>
        <v>0</v>
      </c>
      <c r="D10" s="2669" t="s">
        <v>2944</v>
      </c>
      <c r="E10" s="2120" t="s">
        <v>2938</v>
      </c>
      <c r="F10" s="3313" t="s">
        <v>3101</v>
      </c>
      <c r="G10" s="2315"/>
      <c r="H10" s="2657" t="s">
        <v>2755</v>
      </c>
      <c r="I10" s="2658" t="s">
        <v>2936</v>
      </c>
      <c r="J10" s="688" t="e">
        <f ca="1">ROUND(IF(M10="押一",M6*M8*M7/12*M11,IF(M10="押二",M6*M8*M7/12*2*M11,IF(M10="押三",M6*M8*M7/12*3*M11,J11*M11)))/10000,0)</f>
        <v>#N/A</v>
      </c>
      <c r="K10" s="2669" t="s">
        <v>2944</v>
      </c>
      <c r="L10" s="2120" t="s">
        <v>2938</v>
      </c>
      <c r="M10" s="2765" t="s">
        <v>3030</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INDIRECT("'数据-取费表'!m"&amp;$G$1)+INDIRECT("'数据-取费表'!t"&amp;$G$1)</f>
        <v>#N/A</v>
      </c>
      <c r="D14" s="3303" t="s">
        <v>1164</v>
      </c>
      <c r="E14" s="3301"/>
      <c r="F14" s="708"/>
      <c r="G14" s="2315"/>
      <c r="H14" s="2465" t="s">
        <v>2748</v>
      </c>
      <c r="I14" s="689" t="s">
        <v>1165</v>
      </c>
      <c r="J14" s="319" t="e">
        <f ca="1">C29</f>
        <v>#N/A</v>
      </c>
      <c r="K14" s="309"/>
      <c r="L14" s="705"/>
      <c r="M14" s="706"/>
    </row>
    <row r="15" spans="1:37" s="711" customFormat="1" ht="18" customHeight="1" thickBot="1">
      <c r="A15" s="2465" t="s">
        <v>3013</v>
      </c>
      <c r="B15" s="689" t="s">
        <v>529</v>
      </c>
      <c r="C15" s="319" t="e">
        <f ca="1">ROUND(C14*F15,0)</f>
        <v>#N/A</v>
      </c>
      <c r="D15" s="709" t="s">
        <v>1166</v>
      </c>
      <c r="E15" s="709" t="s">
        <v>539</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t="e">
        <f ca="1">ROUND(INDIRECT("'数据-取费表'!m"&amp;$G$1)*F16,0)</f>
        <v>#N/A</v>
      </c>
      <c r="D16" s="689" t="s">
        <v>1166</v>
      </c>
      <c r="E16" s="689" t="s">
        <v>539</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3015</v>
      </c>
      <c r="B17" s="689" t="s">
        <v>531</v>
      </c>
      <c r="C17" s="319" t="e">
        <f ca="1">ROUND(F17*(F43+INDIRECT("'数据-取费表'!S"&amp;$G$1))/10000,0)</f>
        <v>#N/A</v>
      </c>
      <c r="D17" s="689" t="s">
        <v>1170</v>
      </c>
      <c r="E17" s="689" t="s">
        <v>1171</v>
      </c>
      <c r="F17" s="321">
        <f>'数据-取费表'!B35</f>
        <v>200</v>
      </c>
      <c r="G17" s="2316"/>
      <c r="H17" s="2465" t="s">
        <v>2748</v>
      </c>
      <c r="I17" s="689" t="s">
        <v>532</v>
      </c>
      <c r="J17" s="319" t="e">
        <f ca="1">ROUND(IF(项目基本情况!B11="自然人",J5*M17,J18+J19+J20),1)</f>
        <v>#N/A</v>
      </c>
      <c r="K17" s="3303" t="s">
        <v>1172</v>
      </c>
      <c r="L17" s="3302"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t="e">
        <f ca="1">ROUND(C14*F18,0)</f>
        <v>#N/A</v>
      </c>
      <c r="D18" s="689" t="s">
        <v>1166</v>
      </c>
      <c r="E18" s="689" t="s">
        <v>539</v>
      </c>
      <c r="F18" s="712">
        <f>'数据-取费表'!B36</f>
        <v>1.4999999999999999E-2</v>
      </c>
      <c r="G18" s="2316"/>
      <c r="H18" s="2465" t="s">
        <v>2745</v>
      </c>
      <c r="I18" s="689" t="s">
        <v>1174</v>
      </c>
      <c r="J18" s="319" t="e">
        <f ca="1">ROUND(J5*M18/(1+'数据-取费表'!B42),2)</f>
        <v>#N/A</v>
      </c>
      <c r="K18" s="3302" t="s">
        <v>1175</v>
      </c>
      <c r="L18" s="689" t="s">
        <v>539</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3306"/>
      <c r="F19" s="321"/>
      <c r="G19" s="2315"/>
      <c r="H19" s="2465" t="s">
        <v>3013</v>
      </c>
      <c r="I19" s="689" t="s">
        <v>1177</v>
      </c>
      <c r="J19" s="319" t="e">
        <f ca="1">IF(K19="按租金收入计税",ROUND(J5*M19,2),ROUND(C29*M19*0.7,2))</f>
        <v>#N/A</v>
      </c>
      <c r="K19" s="1307" t="s">
        <v>2796</v>
      </c>
      <c r="L19" s="689" t="s">
        <v>539</v>
      </c>
      <c r="M19" s="712">
        <f>IF(K19="按租金收入计税",'数据-取费表'!B51,'数据-取费表'!B50)</f>
        <v>1.2E-2</v>
      </c>
    </row>
    <row r="20" spans="1:37" s="711" customFormat="1" ht="18" customHeight="1">
      <c r="A20" s="2465" t="s">
        <v>3017</v>
      </c>
      <c r="B20" s="689" t="s">
        <v>536</v>
      </c>
      <c r="C20" s="319" t="e">
        <f ca="1">ROUND(C19*F20,0)</f>
        <v>#N/A</v>
      </c>
      <c r="D20" s="714" t="s">
        <v>1178</v>
      </c>
      <c r="E20" s="689" t="s">
        <v>539</v>
      </c>
      <c r="F20" s="712">
        <f>'数据-取费表'!B37</f>
        <v>0.02</v>
      </c>
      <c r="G20" s="2316"/>
      <c r="H20" s="2465" t="s">
        <v>3014</v>
      </c>
      <c r="I20" s="501" t="s">
        <v>1179</v>
      </c>
      <c r="J20" s="320" t="e">
        <f ca="1">ROUND(M20*M21/10000,2)</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0.03</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306"/>
      <c r="F22" s="321"/>
      <c r="G22" s="2315"/>
      <c r="H22" s="2465" t="s">
        <v>2755</v>
      </c>
      <c r="I22" s="689" t="s">
        <v>1187</v>
      </c>
      <c r="J22" s="319" t="e">
        <f ca="1">ROUND(J14*M22,1)</f>
        <v>#N/A</v>
      </c>
      <c r="K22" s="3302" t="s">
        <v>1188</v>
      </c>
      <c r="L22" s="689" t="s">
        <v>539</v>
      </c>
      <c r="M22" s="719" t="e">
        <f ca="1">INDIRECT("'数据-取费表'!Ak"&amp;$G$1)</f>
        <v>#N/A</v>
      </c>
    </row>
    <row r="23" spans="1:37" s="711" customFormat="1" ht="18" customHeight="1">
      <c r="A23" s="2465" t="s">
        <v>2745</v>
      </c>
      <c r="B23" s="689" t="s">
        <v>2933</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t="e">
        <f ca="1">ROUND(J13*M23,1)</f>
        <v>#N/A</v>
      </c>
      <c r="K23" s="3302" t="s">
        <v>1190</v>
      </c>
      <c r="L23" s="689" t="s">
        <v>539</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1.4E-3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t="e">
        <f ca="1">ROUND(J5*M24,1)</f>
        <v>#N/A</v>
      </c>
      <c r="K24" s="2717" t="s">
        <v>540</v>
      </c>
      <c r="L24" s="2715" t="s">
        <v>539</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306"/>
      <c r="F25" s="321"/>
      <c r="G25" s="2315"/>
      <c r="H25" s="2702" t="s">
        <v>2728</v>
      </c>
      <c r="I25" s="2719" t="s">
        <v>546</v>
      </c>
      <c r="J25" s="697" t="e">
        <f ca="1">J5-J16</f>
        <v>#N/A</v>
      </c>
      <c r="K25" s="2720" t="s">
        <v>547</v>
      </c>
      <c r="L25" s="2721"/>
      <c r="M25" s="2722"/>
    </row>
    <row r="26" spans="1:37" ht="18" customHeight="1">
      <c r="A26" s="2465" t="s">
        <v>2745</v>
      </c>
      <c r="B26" s="689" t="s">
        <v>2934</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1200</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539</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ROUND(IF(项目基本情况!B11="自然人",C5*F31,C32+C33+C34),1)</f>
        <v>#N/A</v>
      </c>
      <c r="D31" s="3303" t="s">
        <v>1172</v>
      </c>
      <c r="E31" s="3302"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IF(项目基本情况!B11="自然人","——",ROUND(C5*F32/(1+'数据-取费表'!B42),2))</f>
        <v>#N/A</v>
      </c>
      <c r="D32" s="3302" t="s">
        <v>1175</v>
      </c>
      <c r="E32" s="689" t="s">
        <v>539</v>
      </c>
      <c r="F32" s="722">
        <f>'数据-取费表'!B41</f>
        <v>5.6000000000000001E-2</v>
      </c>
      <c r="G32" s="2315"/>
      <c r="H32" s="1290"/>
      <c r="I32" s="1291"/>
      <c r="J32" s="1292"/>
      <c r="K32" s="1293"/>
      <c r="L32" s="1294"/>
      <c r="M32" s="1295"/>
    </row>
    <row r="33" spans="1:18" ht="18" customHeight="1">
      <c r="A33" s="2465" t="s">
        <v>3013</v>
      </c>
      <c r="B33" s="689" t="s">
        <v>1177</v>
      </c>
      <c r="C33" s="319" t="e">
        <f ca="1">IF(项目基本情况!B11="自然人","——",IF(D33="按租金收入计税",ROUND(C5*F33,2),IF(D33="按房产原值计税",ROUND(C29*F33*0.7,2),INDIRECT("'数据-取费表'!Aj"&amp;$G$1))))</f>
        <v>#N/A</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t="e">
        <f ca="1">IF(项目基本情况!B11="自然人","——",ROUND(F34*F35/10000,2))</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ROUND(C29*F36,1)</f>
        <v>#N/A</v>
      </c>
      <c r="D36" s="3302" t="s">
        <v>1217</v>
      </c>
      <c r="E36" s="689" t="s">
        <v>539</v>
      </c>
      <c r="F36" s="719" t="e">
        <f ca="1">INDIRECT("'数据-取费表'!Ak"&amp;$G$1)</f>
        <v>#N/A</v>
      </c>
      <c r="G36" s="2315"/>
      <c r="H36" s="1296"/>
      <c r="I36" s="2920"/>
      <c r="J36" s="2921"/>
      <c r="K36" s="1300"/>
      <c r="L36" s="1296"/>
      <c r="M36" s="1296"/>
    </row>
    <row r="37" spans="1:18" ht="18" customHeight="1">
      <c r="A37" s="2465" t="s">
        <v>3018</v>
      </c>
      <c r="B37" s="689" t="s">
        <v>537</v>
      </c>
      <c r="C37" s="319" t="e">
        <f ca="1">ROUND(C13*F37,1)</f>
        <v>#N/A</v>
      </c>
      <c r="D37" s="3302" t="s">
        <v>538</v>
      </c>
      <c r="E37" s="689" t="s">
        <v>539</v>
      </c>
      <c r="F37" s="721" t="e">
        <f ca="1">INDIRECT("'数据-取费表'!Al"&amp;$G$1)</f>
        <v>#N/A</v>
      </c>
      <c r="G37" s="2315"/>
      <c r="H37" s="1296"/>
      <c r="I37" s="2920"/>
      <c r="J37" s="2921"/>
      <c r="K37" s="1300"/>
      <c r="L37" s="1296"/>
      <c r="M37" s="1296"/>
    </row>
    <row r="38" spans="1:18" ht="18" customHeight="1" thickBot="1">
      <c r="A38" s="2714" t="s">
        <v>3019</v>
      </c>
      <c r="B38" s="2715" t="s">
        <v>536</v>
      </c>
      <c r="C38" s="2716" t="e">
        <f ca="1">ROUND(C5*F38,1)</f>
        <v>#N/A</v>
      </c>
      <c r="D38" s="2717" t="s">
        <v>540</v>
      </c>
      <c r="E38" s="2715" t="s">
        <v>539</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ROUND(C40*10000/F43,0)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t="e">
        <f ca="1">C68-C40</f>
        <v>#N/A</v>
      </c>
      <c r="D46" s="2762" t="str">
        <f>C2</f>
        <v>万元</v>
      </c>
      <c r="E46" s="1439"/>
      <c r="F46" s="1439"/>
      <c r="I46" s="2609" t="s">
        <v>2814</v>
      </c>
      <c r="J46" s="2610"/>
      <c r="K46" s="2611"/>
      <c r="L46" s="2613" t="e">
        <f ca="1">IF(M47="住宅",0,IF(L48&gt;J51,L60,J60))</f>
        <v>#N/A</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t="e">
        <f ca="1">INDIRECT("'数据-取费表'!d"&amp;$G$1)</f>
        <v>#N/A</v>
      </c>
      <c r="M47" s="2615" t="str">
        <f>IF(ISNUMBER(FIND("住宅",C1)),"住宅","非住宅")</f>
        <v>非住宅</v>
      </c>
      <c r="O47" s="2618" t="s">
        <v>2843</v>
      </c>
      <c r="P47" s="2628" t="s">
        <v>2862</v>
      </c>
      <c r="Q47" s="2619" t="e">
        <f ca="1">C40+J29</f>
        <v>#N/A</v>
      </c>
      <c r="R47" s="2619" t="s">
        <v>2863</v>
      </c>
    </row>
    <row r="48" spans="1:18" s="1482" customFormat="1" ht="47.25" thickBot="1">
      <c r="A48" s="2747" t="s">
        <v>3024</v>
      </c>
      <c r="B48" s="687" t="s">
        <v>2707</v>
      </c>
      <c r="C48" s="3305" t="e">
        <f ca="1">C49+C53+C55</f>
        <v>#N/A</v>
      </c>
      <c r="D48" s="2751"/>
      <c r="E48" s="2752"/>
      <c r="F48" s="2445"/>
      <c r="G48" s="1484"/>
      <c r="H48" s="1485"/>
      <c r="I48" s="2574" t="s">
        <v>2808</v>
      </c>
      <c r="J48" s="2586" t="s">
        <v>2809</v>
      </c>
      <c r="K48" s="2596" t="s">
        <v>912</v>
      </c>
      <c r="L48" s="2191" t="e">
        <f ca="1">INDIRECT("'数据-取费表'!f"&amp;$G$1)</f>
        <v>#N/A</v>
      </c>
      <c r="O48" s="2618" t="s">
        <v>2844</v>
      </c>
      <c r="P48" s="2628" t="s">
        <v>2864</v>
      </c>
      <c r="Q48" s="2619" t="e">
        <f ca="1">J60</f>
        <v>#N/A</v>
      </c>
      <c r="R48" s="2619" t="s">
        <v>2872</v>
      </c>
    </row>
    <row r="49" spans="1:18" s="1482" customFormat="1" ht="16.5" thickBot="1">
      <c r="A49" s="2458" t="s">
        <v>3025</v>
      </c>
      <c r="B49" s="2750" t="s">
        <v>3027</v>
      </c>
      <c r="C49" s="2759" t="e">
        <f ca="1">ROUND(F49*F51*F50*(1-F52)/10000,0)</f>
        <v>#N/A</v>
      </c>
      <c r="D49" s="2561" t="s">
        <v>2708</v>
      </c>
      <c r="E49" s="2564" t="s">
        <v>2701</v>
      </c>
      <c r="F49" s="2567">
        <v>1500</v>
      </c>
      <c r="G49" s="1486"/>
      <c r="H49" s="1485"/>
      <c r="I49" s="2574" t="s">
        <v>2828</v>
      </c>
      <c r="J49" s="3312">
        <v>2018</v>
      </c>
      <c r="K49" s="2597" t="s">
        <v>2833</v>
      </c>
      <c r="L49" s="2598">
        <v>5000</v>
      </c>
      <c r="O49" s="2620" t="s">
        <v>2845</v>
      </c>
      <c r="P49" s="2628" t="s">
        <v>2865</v>
      </c>
      <c r="Q49" s="2619" t="e">
        <f ca="1">C29</f>
        <v>#N/A</v>
      </c>
      <c r="R49" s="2619" t="s">
        <v>2863</v>
      </c>
    </row>
    <row r="50" spans="1:18" s="1482" customFormat="1" ht="15.75" thickBot="1">
      <c r="A50" s="2459"/>
      <c r="B50" s="2462"/>
      <c r="C50" s="2767"/>
      <c r="D50" s="2432"/>
      <c r="E50" s="2562" t="s">
        <v>1158</v>
      </c>
      <c r="F50" s="2563" t="e">
        <f ca="1">F7</f>
        <v>#N/A</v>
      </c>
      <c r="H50" s="1485"/>
      <c r="I50" s="2574" t="s">
        <v>2810</v>
      </c>
      <c r="J50" s="2588">
        <f>SUMPRODUCT((I63:I65=J47)*(J62:L62=J48)*(J63:L65))</f>
        <v>60</v>
      </c>
      <c r="K50" s="2597" t="s">
        <v>2834</v>
      </c>
      <c r="L50" s="2598">
        <v>0</v>
      </c>
      <c r="M50" s="2592"/>
      <c r="O50" s="2620" t="s">
        <v>2846</v>
      </c>
      <c r="P50" s="2628" t="s">
        <v>2873</v>
      </c>
      <c r="Q50" s="2621">
        <f>J58</f>
        <v>0.42</v>
      </c>
      <c r="R50" s="2619"/>
    </row>
    <row r="51" spans="1:18" s="1482" customFormat="1" ht="15.75" thickBot="1">
      <c r="A51" s="2460"/>
      <c r="B51" s="2462"/>
      <c r="C51" s="2463"/>
      <c r="D51" s="2432"/>
      <c r="E51" s="2464" t="s">
        <v>1159</v>
      </c>
      <c r="F51" s="690" t="e">
        <f ca="1">F8</f>
        <v>#N/A</v>
      </c>
      <c r="I51" s="2589" t="s">
        <v>2815</v>
      </c>
      <c r="J51" s="2590">
        <f>IF(J49="",J50,J49+J50-YEAR('数据-取费表'!B2))</f>
        <v>61</v>
      </c>
      <c r="K51" s="2599" t="s">
        <v>2835</v>
      </c>
      <c r="L51" s="2612" t="e">
        <f ca="1">ROUND(-PV(INDIRECT("'数据-取费表'!h"&amp;$G$1),L48,(C39-C13*C76),0),0)</f>
        <v>#N/A</v>
      </c>
      <c r="M51" s="2593"/>
      <c r="O51" s="2620" t="s">
        <v>2847</v>
      </c>
      <c r="P51" s="2628" t="s">
        <v>2874</v>
      </c>
      <c r="Q51" s="2621">
        <f>J52</f>
        <v>0.09</v>
      </c>
      <c r="R51" s="2619"/>
    </row>
    <row r="52" spans="1:18" s="1482" customFormat="1" ht="16.5" thickBot="1">
      <c r="A52" s="2460"/>
      <c r="B52" s="2462"/>
      <c r="C52" s="2463"/>
      <c r="D52" s="2432"/>
      <c r="E52" s="2464" t="s">
        <v>1160</v>
      </c>
      <c r="F52" s="2560">
        <v>0.1</v>
      </c>
      <c r="I52" s="2591" t="s">
        <v>2839</v>
      </c>
      <c r="J52" s="3311">
        <v>0.09</v>
      </c>
      <c r="K52" s="2591" t="s">
        <v>2823</v>
      </c>
      <c r="L52" s="2605">
        <v>0.04</v>
      </c>
      <c r="M52" s="2424"/>
      <c r="O52" s="2620" t="s">
        <v>2848</v>
      </c>
      <c r="P52" s="2628" t="s">
        <v>2866</v>
      </c>
      <c r="Q52" s="2619" t="e">
        <f ca="1">J53</f>
        <v>#N/A</v>
      </c>
      <c r="R52" s="2619" t="s">
        <v>2867</v>
      </c>
    </row>
    <row r="53" spans="1:18" s="1482" customFormat="1" ht="43.5" thickBot="1">
      <c r="A53" s="2865" t="s">
        <v>3026</v>
      </c>
      <c r="B53" s="438" t="s">
        <v>2936</v>
      </c>
      <c r="C53" s="703" t="e">
        <f ca="1">ROUND(IF(F53="押一",F49*F51*F50/12*F11,IF(F53="押二",F49*F51*F50/12*2*F11,IF(F53="押三",F49*F51*F50/12*3*F11,C54*F11)))/10000,0)</f>
        <v>#N/A</v>
      </c>
      <c r="D53" s="2669" t="s">
        <v>2944</v>
      </c>
      <c r="E53" s="2120" t="s">
        <v>2938</v>
      </c>
      <c r="F53" s="2867" t="s">
        <v>3030</v>
      </c>
      <c r="I53" s="2601" t="s">
        <v>2841</v>
      </c>
      <c r="J53" s="2602" t="e">
        <f ca="1">IF(M47="住宅",J51,MIN(J51,L48))</f>
        <v>#N/A</v>
      </c>
      <c r="K53" s="36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8"/>
      <c r="O53" s="2618" t="s">
        <v>2849</v>
      </c>
      <c r="P53" s="2628" t="s">
        <v>2868</v>
      </c>
      <c r="Q53" s="2619" t="e">
        <f ca="1">Q47+Q48</f>
        <v>#N/A</v>
      </c>
      <c r="R53" s="2619" t="s">
        <v>2850</v>
      </c>
    </row>
    <row r="54" spans="1:18" s="1482" customFormat="1" ht="16.5" thickBot="1">
      <c r="A54" s="2866"/>
      <c r="B54" s="2659" t="s">
        <v>3104</v>
      </c>
      <c r="C54" s="2442"/>
      <c r="D54" s="2669"/>
      <c r="E54" s="330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304"/>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t="e">
        <f ca="1">C13</f>
        <v>#N/A</v>
      </c>
      <c r="D56" s="2734"/>
      <c r="E56" s="2438"/>
      <c r="F56" s="2568"/>
      <c r="I56" s="2573" t="s">
        <v>2818</v>
      </c>
      <c r="J56" s="2603" t="s">
        <v>44</v>
      </c>
      <c r="K56" s="2574" t="s">
        <v>2822</v>
      </c>
      <c r="L56" s="2191" t="e">
        <f ca="1">IF(L48&lt;J51,"——",L48-J51)</f>
        <v>#N/A</v>
      </c>
      <c r="O56" s="2618" t="s">
        <v>2843</v>
      </c>
      <c r="P56" s="2628" t="s">
        <v>2862</v>
      </c>
      <c r="Q56" s="2619" t="e">
        <f ca="1">C40+J29</f>
        <v>#N/A</v>
      </c>
      <c r="R56" s="2619" t="s">
        <v>2863</v>
      </c>
    </row>
    <row r="57" spans="1:18" s="1482" customFormat="1" ht="29.25" thickBot="1">
      <c r="A57" s="2569"/>
      <c r="B57" s="2429" t="s">
        <v>1210</v>
      </c>
      <c r="C57" s="619" t="e">
        <f ca="1">C29</f>
        <v>#N/A</v>
      </c>
      <c r="D57" s="2440"/>
      <c r="E57" s="2441"/>
      <c r="F57" s="2570"/>
      <c r="I57" s="2575" t="s">
        <v>2840</v>
      </c>
      <c r="J57" s="2579" t="e">
        <f ca="1">IF(OR(M47="住宅",J51&lt;L48,J56="是"),"——",J51-L48)</f>
        <v>#N/A</v>
      </c>
      <c r="K57" s="2574" t="s">
        <v>3311</v>
      </c>
      <c r="L57" s="2191" t="e">
        <f ca="1">IF(L48&lt;J51,"——",IF(L55="比较法",L49,IF(L55="基准地价",L50,L51)))</f>
        <v>#N/A</v>
      </c>
      <c r="O57" s="2618" t="s">
        <v>2844</v>
      </c>
      <c r="P57" s="2628" t="s">
        <v>2869</v>
      </c>
      <c r="Q57" s="2619" t="e">
        <f ca="1">L60</f>
        <v>#N/A</v>
      </c>
      <c r="R57" s="2619" t="s">
        <v>2884</v>
      </c>
    </row>
    <row r="58" spans="1:18" s="1482" customFormat="1" ht="29.25" thickBot="1">
      <c r="A58" s="702" t="s">
        <v>2713</v>
      </c>
      <c r="B58" s="2437" t="s">
        <v>1168</v>
      </c>
      <c r="C58" s="703" t="e">
        <f ca="1">ROUND(C59+C64+C65+C66,0)</f>
        <v>#N/A</v>
      </c>
      <c r="D58" s="2443" t="s">
        <v>1169</v>
      </c>
      <c r="E58" s="2444"/>
      <c r="F58" s="2445"/>
      <c r="I58" s="2575" t="s">
        <v>2819</v>
      </c>
      <c r="J58" s="3310">
        <f>ROUND(1-(2053-'收益法（商业） (地下)'!J49)/60,2)</f>
        <v>0.42</v>
      </c>
      <c r="K58" s="2599" t="s">
        <v>3312</v>
      </c>
      <c r="L58" s="2191">
        <f ca="1">IF(ISERROR(POWER(1+L52,L47-L48)*(POWER(1+L52,L48)-1)/(POWER(1+L52,L47)-1)),0,POWER(1+L52,L47-L48)*(POWER(1+L52,L48)-1)/(POWER(1+L52,L47)-1))</f>
        <v>0</v>
      </c>
      <c r="O58" s="2620" t="s">
        <v>2845</v>
      </c>
      <c r="P58" s="2628" t="s">
        <v>2876</v>
      </c>
      <c r="Q58" s="2619">
        <f>IF(L55="比较法",L49,IF(L55="基准地价",L50,0))</f>
        <v>5000</v>
      </c>
      <c r="R58" s="2619" t="s">
        <v>2863</v>
      </c>
    </row>
    <row r="59" spans="1:18" s="1482" customFormat="1" ht="29.25" thickBot="1">
      <c r="A59" s="2465" t="s">
        <v>2748</v>
      </c>
      <c r="B59" s="2429" t="s">
        <v>532</v>
      </c>
      <c r="C59" s="319" t="e">
        <f ca="1">ROUND(IF(项目基本情况!B11="自然人",C48*F59,C60+C61+C62),1)</f>
        <v>#N/A</v>
      </c>
      <c r="D59" s="2446" t="s">
        <v>1172</v>
      </c>
      <c r="E59" s="2447" t="s">
        <v>1173</v>
      </c>
      <c r="F59" s="713" t="str">
        <f ca="1">IF(项目基本情况!B11="企业","",IF(INDIRECT("'数据-取费表'!c"&amp;$G$1)="住宅",4.5%,IF(F49*F50*F51/12&gt;20000,11%,6%)))</f>
        <v/>
      </c>
      <c r="I59" s="2575" t="s">
        <v>2820</v>
      </c>
      <c r="J59" s="2579" t="e">
        <f ca="1">IF(OR(M47="住宅",J51&lt;L48,J56="是"),"——",ROUND(C29*J58,0))</f>
        <v>#N/A</v>
      </c>
      <c r="K59" s="2599" t="s">
        <v>3313</v>
      </c>
      <c r="L59" s="2191">
        <f ca="1">IF(ISERROR(POWER(1+L52,L47-J51)*(POWER(1+L52,J51)-1)/(POWER(1+L52,L47)-1)),0,POWER(1+L52,L47-J51)*(POWER(1+L52,J51)-1)/(POWER(1+L52,L47)-1))</f>
        <v>0</v>
      </c>
      <c r="O59" s="2620" t="s">
        <v>2846</v>
      </c>
      <c r="P59" s="2628" t="s">
        <v>2877</v>
      </c>
      <c r="Q59" s="2621">
        <f>L52</f>
        <v>0.04</v>
      </c>
      <c r="R59" s="2619"/>
    </row>
    <row r="60" spans="1:18" s="1482" customFormat="1" ht="20.25" thickBot="1">
      <c r="A60" s="2465" t="s">
        <v>2745</v>
      </c>
      <c r="B60" s="2429" t="s">
        <v>1174</v>
      </c>
      <c r="C60" s="319" t="e">
        <f ca="1">IF(项目基本情况!B11="自然人","——",ROUND(C48*F60/(1+'数据-取费表'!B42),2))</f>
        <v>#N/A</v>
      </c>
      <c r="D60" s="2447" t="s">
        <v>1175</v>
      </c>
      <c r="E60" s="2429" t="s">
        <v>539</v>
      </c>
      <c r="F60" s="722">
        <f t="shared" ref="F60:F66" si="0">F32</f>
        <v>5.6000000000000001E-2</v>
      </c>
      <c r="I60" s="2576" t="s">
        <v>2821</v>
      </c>
      <c r="J60" s="2581" t="e">
        <f ca="1">IF(OR(M47="住宅",J51&lt;L48,J56="是"),"0",ROUND(J59/(1+J52)^J53,0))</f>
        <v>#N/A</v>
      </c>
      <c r="K60" s="2583" t="s">
        <v>2824</v>
      </c>
      <c r="L60" s="2581" t="e">
        <f ca="1">IF(OR(M47="住宅",L48&lt;J51),0,ROUND(L57*(L58/L59-1),0))</f>
        <v>#N/A</v>
      </c>
      <c r="O60" s="2620" t="s">
        <v>2847</v>
      </c>
      <c r="P60" s="2628" t="s">
        <v>2878</v>
      </c>
      <c r="Q60" s="2619">
        <f ca="1">L58</f>
        <v>0</v>
      </c>
      <c r="R60" s="2619" t="s">
        <v>2852</v>
      </c>
    </row>
    <row r="61" spans="1:18" s="1482" customFormat="1" ht="20.25" thickBot="1">
      <c r="A61" s="2465" t="s">
        <v>2746</v>
      </c>
      <c r="B61" s="2429" t="s">
        <v>1177</v>
      </c>
      <c r="C61" s="319" t="e">
        <f ca="1">IF(项目基本情况!B11="自然人","——",IF(D61="按租金收入计税",ROUND(C48*F61,2),IF(D61="按房产原值计税",ROUND(C57*F61*0.7,2),INDIRECT("'数据-取费表'!Aj"&amp;$G$1))))</f>
        <v>#N/A</v>
      </c>
      <c r="D61" s="1307" t="s">
        <v>2796</v>
      </c>
      <c r="E61" s="2429" t="s">
        <v>539</v>
      </c>
      <c r="F61" s="712">
        <f t="shared" si="0"/>
        <v>1.2E-2</v>
      </c>
      <c r="I61" s="2439"/>
      <c r="J61" s="2439"/>
      <c r="K61" s="2439"/>
      <c r="L61" s="2439"/>
      <c r="O61" s="2620" t="s">
        <v>2848</v>
      </c>
      <c r="P61" s="2628" t="s">
        <v>2879</v>
      </c>
      <c r="Q61" s="2619">
        <f ca="1">L59</f>
        <v>0</v>
      </c>
      <c r="R61" s="2619" t="s">
        <v>2853</v>
      </c>
    </row>
    <row r="62" spans="1:18" s="1482" customFormat="1" ht="15.75" thickBot="1">
      <c r="A62" s="2465" t="s">
        <v>2747</v>
      </c>
      <c r="B62" s="2428" t="s">
        <v>1179</v>
      </c>
      <c r="C62" s="320" t="e">
        <f ca="1">IF(项目基本情况!B11="自然人","——",ROUND(F62*F63/10000,2))</f>
        <v>#N/A</v>
      </c>
      <c r="D62" s="2448" t="s">
        <v>1180</v>
      </c>
      <c r="E62" s="2429" t="s">
        <v>1181</v>
      </c>
      <c r="F62" s="716">
        <f t="shared" si="0"/>
        <v>12</v>
      </c>
      <c r="I62" s="2577" t="s">
        <v>2811</v>
      </c>
      <c r="J62" s="2578" t="s">
        <v>2812</v>
      </c>
      <c r="K62" s="2578" t="s">
        <v>2813</v>
      </c>
      <c r="L62" s="2578" t="s">
        <v>2809</v>
      </c>
      <c r="O62" s="2618" t="s">
        <v>2849</v>
      </c>
      <c r="P62" s="2628" t="s">
        <v>2868</v>
      </c>
      <c r="Q62" s="2619" t="e">
        <f ca="1">Q56+Q57</f>
        <v>#N/A</v>
      </c>
      <c r="R62" s="2619" t="s">
        <v>2850</v>
      </c>
    </row>
    <row r="63" spans="1:18" s="1482" customFormat="1" ht="16.5" thickBot="1">
      <c r="A63" s="717"/>
      <c r="B63" s="2435"/>
      <c r="C63" s="324"/>
      <c r="D63" s="2449"/>
      <c r="E63" s="2429" t="s">
        <v>1185</v>
      </c>
      <c r="F63" s="690" t="e">
        <f t="shared" ca="1" si="0"/>
        <v>#N/A</v>
      </c>
      <c r="I63" s="2577" t="s">
        <v>2825</v>
      </c>
      <c r="J63" s="2578">
        <v>70</v>
      </c>
      <c r="K63" s="2578">
        <v>50</v>
      </c>
      <c r="L63" s="2578">
        <v>80</v>
      </c>
      <c r="O63" s="2622" t="s">
        <v>2882</v>
      </c>
      <c r="P63" s="1302"/>
      <c r="Q63" s="1302"/>
      <c r="R63" s="1302"/>
    </row>
    <row r="64" spans="1:18" s="1482" customFormat="1" ht="15.75" thickBot="1">
      <c r="A64" s="2465" t="s">
        <v>2755</v>
      </c>
      <c r="B64" s="2429" t="s">
        <v>1187</v>
      </c>
      <c r="C64" s="319" t="e">
        <f ca="1">ROUND(C57*F64,1)</f>
        <v>#N/A</v>
      </c>
      <c r="D64" s="2447" t="s">
        <v>1217</v>
      </c>
      <c r="E64" s="2429" t="s">
        <v>539</v>
      </c>
      <c r="F64" s="719" t="e">
        <f t="shared" ca="1" si="0"/>
        <v>#N/A</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t="e">
        <f ca="1">ROUND(C56*F65,1)</f>
        <v>#N/A</v>
      </c>
      <c r="D65" s="2447" t="s">
        <v>1190</v>
      </c>
      <c r="E65" s="2429" t="s">
        <v>539</v>
      </c>
      <c r="F65" s="721" t="e">
        <f t="shared" ca="1" si="0"/>
        <v>#N/A</v>
      </c>
      <c r="I65" s="2577" t="s">
        <v>2827</v>
      </c>
      <c r="J65" s="2578">
        <v>40</v>
      </c>
      <c r="K65" s="2578">
        <v>30</v>
      </c>
      <c r="L65" s="2578">
        <v>50</v>
      </c>
      <c r="O65" s="2618" t="s">
        <v>2843</v>
      </c>
      <c r="P65" s="2628" t="s">
        <v>2862</v>
      </c>
      <c r="Q65" s="2619" t="e">
        <f ca="1">C40+J29</f>
        <v>#N/A</v>
      </c>
      <c r="R65" s="2619" t="s">
        <v>2863</v>
      </c>
    </row>
    <row r="66" spans="1:18" s="1482" customFormat="1" ht="20.25" thickBot="1">
      <c r="A66" s="2465" t="s">
        <v>2750</v>
      </c>
      <c r="B66" s="2429" t="s">
        <v>536</v>
      </c>
      <c r="C66" s="319" t="e">
        <f ca="1">ROUND(C48*F66,1)</f>
        <v>#N/A</v>
      </c>
      <c r="D66" s="2447" t="s">
        <v>540</v>
      </c>
      <c r="E66" s="2429" t="s">
        <v>539</v>
      </c>
      <c r="F66" s="699" t="e">
        <f t="shared" ca="1" si="0"/>
        <v>#N/A</v>
      </c>
      <c r="O66" s="2618" t="s">
        <v>2844</v>
      </c>
      <c r="P66" s="2628" t="s">
        <v>2869</v>
      </c>
      <c r="Q66" s="2619" t="e">
        <f ca="1">L60</f>
        <v>#N/A</v>
      </c>
      <c r="R66" s="2619" t="s">
        <v>2851</v>
      </c>
    </row>
    <row r="67" spans="1:18" s="1482" customFormat="1" ht="24.75" thickBot="1">
      <c r="A67" s="2436" t="s">
        <v>2728</v>
      </c>
      <c r="B67" s="2450" t="s">
        <v>546</v>
      </c>
      <c r="C67" s="703" t="e">
        <f ca="1">C48-C58</f>
        <v>#N/A</v>
      </c>
      <c r="D67" s="2446" t="s">
        <v>547</v>
      </c>
      <c r="E67" s="2451"/>
      <c r="F67" s="2452"/>
      <c r="O67" s="2620" t="s">
        <v>2845</v>
      </c>
      <c r="P67" s="2628" t="s">
        <v>2876</v>
      </c>
      <c r="Q67" s="2623" t="e">
        <f ca="1">L51</f>
        <v>#N/A</v>
      </c>
      <c r="R67" s="2624" t="s">
        <v>2886</v>
      </c>
    </row>
    <row r="68" spans="1:18" s="1482" customFormat="1" ht="20.25" thickBot="1">
      <c r="A68" s="2426" t="s">
        <v>2731</v>
      </c>
      <c r="B68" s="2427" t="s">
        <v>2732</v>
      </c>
      <c r="C68" s="688" t="e">
        <f ca="1">ROUND(C67*(1-((1+F70)/(1+F68))^F69)/(F68-F70),0)</f>
        <v>#N/A</v>
      </c>
      <c r="D68" s="2448" t="s">
        <v>1200</v>
      </c>
      <c r="E68" s="2429" t="s">
        <v>543</v>
      </c>
      <c r="F68" s="699" t="e">
        <f ca="1">F40</f>
        <v>#N/A</v>
      </c>
      <c r="O68" s="2620" t="s">
        <v>2846</v>
      </c>
      <c r="P68" s="2629" t="s">
        <v>2880</v>
      </c>
      <c r="Q68" s="2619" t="e">
        <f ca="1">ROUND(Q69-Q70*Q71,0)</f>
        <v>#N/A</v>
      </c>
      <c r="R68" s="2619" t="s">
        <v>2885</v>
      </c>
    </row>
    <row r="69" spans="1:18" s="1482" customFormat="1" ht="15.75" thickBot="1">
      <c r="A69" s="2430"/>
      <c r="B69" s="2431"/>
      <c r="C69" s="693"/>
      <c r="D69" s="2453" t="s">
        <v>1202</v>
      </c>
      <c r="E69" s="2429" t="s">
        <v>550</v>
      </c>
      <c r="F69" s="724" t="e">
        <f ca="1">F41</f>
        <v>#N/A</v>
      </c>
      <c r="O69" s="2620" t="s">
        <v>2854</v>
      </c>
      <c r="P69" s="2629" t="s">
        <v>2870</v>
      </c>
      <c r="Q69" s="2619" t="e">
        <f ca="1">C39</f>
        <v>#N/A</v>
      </c>
      <c r="R69" s="2619" t="s">
        <v>2863</v>
      </c>
    </row>
    <row r="70" spans="1:18" s="1482" customFormat="1" ht="15.75" thickBot="1">
      <c r="A70" s="2433"/>
      <c r="B70" s="2434"/>
      <c r="C70" s="697"/>
      <c r="D70" s="2449"/>
      <c r="E70" s="2429" t="s">
        <v>551</v>
      </c>
      <c r="F70" s="2560">
        <v>2.5000000000000001E-2</v>
      </c>
      <c r="O70" s="2620" t="s">
        <v>2855</v>
      </c>
      <c r="P70" s="2629" t="s">
        <v>2871</v>
      </c>
      <c r="Q70" s="2619" t="e">
        <f ca="1">C13</f>
        <v>#N/A</v>
      </c>
      <c r="R70" s="2619" t="s">
        <v>2863</v>
      </c>
    </row>
    <row r="71" spans="1:18" s="1482" customFormat="1" ht="15.75" thickBot="1">
      <c r="A71" s="2454" t="s">
        <v>2738</v>
      </c>
      <c r="B71" s="2455" t="s">
        <v>552</v>
      </c>
      <c r="C71" s="727" t="e">
        <f ca="1">ROUND(C68*10000/F71,0)</f>
        <v>#N/A</v>
      </c>
      <c r="D71" s="2456" t="s">
        <v>553</v>
      </c>
      <c r="E71" s="2457" t="s">
        <v>2741</v>
      </c>
      <c r="F71" s="730" t="e">
        <f ca="1">F43</f>
        <v>#N/A</v>
      </c>
      <c r="I71" s="2424"/>
      <c r="K71" s="2424"/>
      <c r="O71" s="2620" t="s">
        <v>2856</v>
      </c>
      <c r="P71" s="2629" t="s">
        <v>2883</v>
      </c>
      <c r="Q71" s="2621" t="e">
        <f ca="1">C76</f>
        <v>#N/A</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v>
      </c>
      <c r="R73" s="2619" t="s">
        <v>2852</v>
      </c>
    </row>
    <row r="74" spans="1:18" ht="20.25" thickBot="1">
      <c r="A74" s="1482"/>
      <c r="B74" s="732" t="s">
        <v>555</v>
      </c>
      <c r="C74" s="733"/>
      <c r="D74" s="1482"/>
      <c r="E74" s="1482"/>
      <c r="F74" s="1482"/>
      <c r="O74" s="2620" t="s">
        <v>2887</v>
      </c>
      <c r="P74" s="2628" t="s">
        <v>2879</v>
      </c>
      <c r="Q74" s="2619">
        <f ca="1">L59</f>
        <v>0</v>
      </c>
      <c r="R74" s="2619" t="s">
        <v>2853</v>
      </c>
    </row>
    <row r="75" spans="1:18" ht="15.75" thickBot="1">
      <c r="A75" s="1482"/>
      <c r="B75" s="734" t="s">
        <v>1215</v>
      </c>
      <c r="C75" s="735" t="e">
        <f ca="1">ROUND(C13*C76,0)</f>
        <v>#N/A</v>
      </c>
      <c r="D75" s="1482"/>
      <c r="E75" s="1482"/>
      <c r="F75" s="1482"/>
      <c r="K75" s="1483"/>
      <c r="L75" s="1482"/>
      <c r="O75" s="2618" t="s">
        <v>2849</v>
      </c>
      <c r="P75" s="2628" t="s">
        <v>2868</v>
      </c>
      <c r="Q75" s="2619" t="e">
        <f ca="1">Q65+Q66</f>
        <v>#N/A</v>
      </c>
      <c r="R75" s="2619" t="s">
        <v>2850</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t="e">
        <f ca="1">1-C80</f>
        <v>#N/A</v>
      </c>
    </row>
    <row r="80" spans="1:18">
      <c r="B80" s="2912" t="s">
        <v>3110</v>
      </c>
      <c r="C80" s="655" t="e">
        <f ca="1">ROUND(C75/C39,3)</f>
        <v>#N/A</v>
      </c>
    </row>
    <row r="81" spans="2:3">
      <c r="B81" s="651" t="s">
        <v>556</v>
      </c>
      <c r="C81" s="652"/>
    </row>
    <row r="82" spans="2:3">
      <c r="B82" s="2911" t="s">
        <v>3109</v>
      </c>
      <c r="C82" s="656" t="e">
        <f ca="1">1-C83</f>
        <v>#N/A</v>
      </c>
    </row>
    <row r="83" spans="2:3">
      <c r="B83" s="2911" t="s">
        <v>3108</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1059</v>
      </c>
      <c r="B1" s="2788"/>
      <c r="C1" s="2793" t="s">
        <v>3036</v>
      </c>
      <c r="D1" s="579"/>
      <c r="E1" s="579"/>
      <c r="F1" s="579"/>
      <c r="G1" s="2789">
        <f>MATCH(B1,'数据-取费表'!A6:A16,0)+5</f>
        <v>9</v>
      </c>
      <c r="H1" s="2615" t="str">
        <f>IF(ISERROR(FIND("住宅",B1)),"非住宅","住宅")</f>
        <v>非住宅</v>
      </c>
    </row>
    <row r="2" spans="1:8" s="581" customFormat="1" ht="18" customHeight="1">
      <c r="A2" s="582" t="s">
        <v>514</v>
      </c>
      <c r="B2" s="583">
        <f ca="1">ROUND(IF(D2="——",C52/10000,C52/10000-E2),0)</f>
        <v>35500</v>
      </c>
      <c r="C2" s="85" t="s">
        <v>1109</v>
      </c>
      <c r="D2" s="2909" t="s">
        <v>759</v>
      </c>
      <c r="E2" s="2907" t="e">
        <f ca="1">SUMIF(INDIRECT("'"&amp;G2&amp;"'"&amp;"!A:A"),"承租人权益价值",INDIRECT("'"&amp;G2&amp;"'"&amp;"!c:c"))</f>
        <v>#N/A</v>
      </c>
      <c r="F2" s="2905" t="s">
        <v>1109</v>
      </c>
      <c r="G2" s="2908" t="s">
        <v>3077</v>
      </c>
    </row>
    <row r="3" spans="1:8" s="581" customFormat="1" ht="18" customHeight="1" thickBot="1">
      <c r="A3" s="584" t="s">
        <v>515</v>
      </c>
      <c r="B3" s="585">
        <f ca="1">ROUND(B2*10000/(IF(B1="",'数据-汇总表'!E3,INDIRECT("'数据-取费表'!k"&amp;$G$1))),0)</f>
        <v>31205</v>
      </c>
      <c r="C3" s="85" t="s">
        <v>1110</v>
      </c>
      <c r="D3" s="580"/>
      <c r="E3" s="580"/>
      <c r="F3" s="580"/>
      <c r="G3" s="580"/>
    </row>
    <row r="4" spans="1:8" s="589" customFormat="1" ht="15.75">
      <c r="A4" s="586" t="s">
        <v>1062</v>
      </c>
      <c r="B4" s="587"/>
      <c r="C4" s="587"/>
      <c r="D4" s="587"/>
      <c r="E4" s="587"/>
      <c r="F4" s="587"/>
      <c r="G4" s="588"/>
    </row>
    <row r="5" spans="1:8" s="595" customFormat="1" ht="13.5" customHeight="1">
      <c r="A5" s="636" t="s">
        <v>2272</v>
      </c>
      <c r="B5" s="591" t="s">
        <v>1063</v>
      </c>
      <c r="C5" s="592">
        <f>C6+C7+C8</f>
        <v>206100000</v>
      </c>
      <c r="D5" s="592" t="s">
        <v>1064</v>
      </c>
      <c r="E5" s="593" t="s">
        <v>1065</v>
      </c>
      <c r="F5" s="593" t="s">
        <v>1066</v>
      </c>
      <c r="G5" s="594"/>
    </row>
    <row r="6" spans="1:8" s="595" customFormat="1" ht="13.5" customHeight="1">
      <c r="A6" s="1825" t="s">
        <v>2281</v>
      </c>
      <c r="B6" s="596" t="s">
        <v>1067</v>
      </c>
      <c r="C6" s="597">
        <v>200000000</v>
      </c>
      <c r="D6" s="598"/>
      <c r="E6" s="599"/>
      <c r="F6" s="599"/>
      <c r="G6" s="600"/>
    </row>
    <row r="7" spans="1:8" s="595" customFormat="1" ht="13.5" customHeight="1">
      <c r="A7" s="1825" t="s">
        <v>2282</v>
      </c>
      <c r="B7" s="596" t="s">
        <v>516</v>
      </c>
      <c r="C7" s="601">
        <f>ROUND(C6*F7,0)</f>
        <v>6100000</v>
      </c>
      <c r="D7" s="601"/>
      <c r="E7" s="599"/>
      <c r="F7" s="602">
        <f>'数据-取费表'!B48+'数据-取费表'!B49</f>
        <v>3.0499999999999999E-2</v>
      </c>
      <c r="G7" s="600"/>
    </row>
    <row r="8" spans="1:8" s="604" customFormat="1">
      <c r="A8" s="1825" t="s">
        <v>2283</v>
      </c>
      <c r="B8" s="596" t="s">
        <v>1068</v>
      </c>
      <c r="C8" s="601">
        <f>IF(G8="已包含在土地购买价格中",0,C9+C10)</f>
        <v>0</v>
      </c>
      <c r="D8" s="603"/>
      <c r="E8" s="601"/>
      <c r="F8" s="602"/>
      <c r="G8" s="84" t="s">
        <v>3091</v>
      </c>
    </row>
    <row r="9" spans="1:8" s="595" customFormat="1" ht="13.5" customHeight="1">
      <c r="A9" s="1826" t="s">
        <v>2290</v>
      </c>
      <c r="B9" s="605" t="s">
        <v>1069</v>
      </c>
      <c r="C9" s="606">
        <f ca="1">ROUND(D9*E9,0)</f>
        <v>0</v>
      </c>
      <c r="D9" s="1930">
        <f ca="1">IF(B1="",'数据-汇总表'!E5,IF(INDIRECT("'数据-取费表'!c"&amp;$G$1)="住宅",INDIRECT("'数据-取费表'!k"&amp;$G$1),0))</f>
        <v>0</v>
      </c>
      <c r="E9" s="606">
        <f>'数据-取费表'!B27</f>
        <v>160</v>
      </c>
      <c r="F9" s="602"/>
      <c r="G9" s="607"/>
    </row>
    <row r="10" spans="1:8" s="595" customFormat="1" ht="13.5" customHeight="1">
      <c r="A10" s="1826" t="s">
        <v>2291</v>
      </c>
      <c r="B10" s="605" t="s">
        <v>1070</v>
      </c>
      <c r="C10" s="606">
        <f ca="1">ROUND(D10*E10,0)</f>
        <v>2275262</v>
      </c>
      <c r="D10" s="1930">
        <f ca="1">IF(B1="",'数据-汇总表'!E6,IF(INDIRECT("'数据-取费表'!c"&amp;$G$1)="住宅",INDIRECT("'数据-取费表'!s"&amp;$G$1),INDIRECT("'数据-取费表'!k"&amp;$G$1)+INDIRECT("'数据-取费表'!s"&amp;$G$1)))</f>
        <v>11376.31</v>
      </c>
      <c r="E10" s="606">
        <f>'数据-取费表'!B28</f>
        <v>200</v>
      </c>
      <c r="F10" s="602"/>
      <c r="G10" s="607"/>
    </row>
    <row r="11" spans="1:8" s="595" customFormat="1" ht="13.5" hidden="1" customHeight="1">
      <c r="A11" s="608" t="s">
        <v>45</v>
      </c>
      <c r="B11" s="596" t="s">
        <v>1071</v>
      </c>
      <c r="C11" s="592"/>
      <c r="D11" s="1932"/>
      <c r="E11" s="599"/>
      <c r="F11" s="599"/>
      <c r="G11" s="600"/>
    </row>
    <row r="12" spans="1:8" s="595" customFormat="1" ht="13.5" hidden="1" customHeight="1">
      <c r="A12" s="608" t="s">
        <v>46</v>
      </c>
      <c r="B12" s="596" t="s">
        <v>1072</v>
      </c>
      <c r="C12" s="592">
        <v>0</v>
      </c>
      <c r="D12" s="1932"/>
      <c r="E12" s="609"/>
      <c r="F12" s="602">
        <v>3.0499999999999999E-2</v>
      </c>
      <c r="G12" s="600"/>
    </row>
    <row r="13" spans="1:8" s="595" customFormat="1" ht="13.5" hidden="1" customHeight="1">
      <c r="A13" s="608" t="s">
        <v>47</v>
      </c>
      <c r="B13" s="596" t="s">
        <v>1073</v>
      </c>
      <c r="C13" s="592"/>
      <c r="D13" s="1932"/>
      <c r="E13" s="599"/>
      <c r="F13" s="599"/>
      <c r="G13" s="600"/>
    </row>
    <row r="14" spans="1:8" s="595" customFormat="1" ht="13.5" hidden="1" customHeight="1">
      <c r="A14" s="608" t="s">
        <v>48</v>
      </c>
      <c r="B14" s="596" t="s">
        <v>1068</v>
      </c>
      <c r="C14" s="592"/>
      <c r="D14" s="1932"/>
      <c r="E14" s="599"/>
      <c r="F14" s="599"/>
      <c r="G14" s="600" t="s">
        <v>1074</v>
      </c>
    </row>
    <row r="15" spans="1:8" s="595" customFormat="1" ht="13.5" hidden="1" customHeight="1">
      <c r="A15" s="608" t="s">
        <v>49</v>
      </c>
      <c r="B15" s="596" t="s">
        <v>1075</v>
      </c>
      <c r="C15" s="601"/>
      <c r="D15" s="1932"/>
      <c r="E15" s="599"/>
      <c r="F15" s="599"/>
      <c r="G15" s="600" t="s">
        <v>1076</v>
      </c>
    </row>
    <row r="16" spans="1:8"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2273</v>
      </c>
      <c r="B19" s="591" t="s">
        <v>1087</v>
      </c>
      <c r="C19" s="592">
        <f ca="1">IF(G19="已包含在土地取得成本中","0",ROUND(D19*E19,0))</f>
        <v>2275262</v>
      </c>
      <c r="D19" s="1934">
        <f ca="1">D9+D10</f>
        <v>11376.31</v>
      </c>
      <c r="E19" s="592">
        <f>'数据-取费表'!B31</f>
        <v>200</v>
      </c>
      <c r="F19" s="612"/>
      <c r="G19" s="84" t="s">
        <v>2935</v>
      </c>
    </row>
    <row r="20" spans="1:7" s="595" customFormat="1" ht="13.5" customHeight="1">
      <c r="A20" s="1824" t="s">
        <v>2274</v>
      </c>
      <c r="B20" s="591" t="s">
        <v>1080</v>
      </c>
      <c r="C20" s="613">
        <f ca="1">ROUND((C5+C19)*F20,0)</f>
        <v>4167505</v>
      </c>
      <c r="D20" s="613"/>
      <c r="E20" s="613"/>
      <c r="F20" s="614">
        <f>'数据-取费表'!B37</f>
        <v>0.02</v>
      </c>
      <c r="G20" s="2655" t="s">
        <v>2926</v>
      </c>
    </row>
    <row r="21" spans="1:7" s="595" customFormat="1" ht="13.5" customHeight="1">
      <c r="A21" s="1824" t="s">
        <v>2275</v>
      </c>
      <c r="B21" s="591" t="s">
        <v>1081</v>
      </c>
      <c r="C21" s="616">
        <f>F21</f>
        <v>0.03</v>
      </c>
      <c r="D21" s="617" t="s">
        <v>1102</v>
      </c>
      <c r="E21" s="613"/>
      <c r="F21" s="614">
        <f>'数据-取费表'!B38</f>
        <v>0.03</v>
      </c>
      <c r="G21" s="615" t="s">
        <v>1082</v>
      </c>
    </row>
    <row r="22" spans="1:7" s="595" customFormat="1" ht="13.5" customHeight="1">
      <c r="A22" s="1824" t="s">
        <v>2276</v>
      </c>
      <c r="B22" s="591" t="s">
        <v>1083</v>
      </c>
      <c r="C22" s="2790">
        <f ca="1">ROUND(SUM(C23:C25),0)</f>
        <v>20463752</v>
      </c>
      <c r="D22" s="616">
        <f ca="1">C26</f>
        <v>1.4E-3</v>
      </c>
      <c r="E22" s="617" t="s">
        <v>1102</v>
      </c>
      <c r="F22" s="618">
        <f ca="1">'数据-取费表'!B40</f>
        <v>4.7500000000000001E-2</v>
      </c>
      <c r="G22" s="2655" t="str">
        <f>IF('数据-取费表'!B22&lt;=1,"单利计息","复利计息")</f>
        <v>复利计息</v>
      </c>
    </row>
    <row r="23" spans="1:7" s="595" customFormat="1" ht="13.5" customHeight="1">
      <c r="A23" s="1827" t="s">
        <v>2281</v>
      </c>
      <c r="B23" s="596" t="s">
        <v>2919</v>
      </c>
      <c r="C23" s="2791">
        <f ca="1">ROUND(IF('数据-取费表'!B22&lt;=1,C5*F22*'数据-取费表'!B22,C5*(POWER((1+F22),'数据-取费表'!B22)-1)),0)</f>
        <v>20044513</v>
      </c>
      <c r="D23" s="619"/>
      <c r="E23" s="619"/>
      <c r="F23" s="620"/>
      <c r="G23" s="621" t="s">
        <v>1084</v>
      </c>
    </row>
    <row r="24" spans="1:7" s="595" customFormat="1" ht="13.5" customHeight="1">
      <c r="A24" s="1827" t="s">
        <v>2282</v>
      </c>
      <c r="B24" s="596" t="s">
        <v>2914</v>
      </c>
      <c r="C24" s="2791">
        <f ca="1">ROUND(IF('数据-取费表'!B22&lt;=1,C19*F22*('数据-取费表'!B19/2+'数据-取费表'!B20),C19*(POWER((1+F22),('数据-取费表'!B19/2+'数据-取费表'!B20))-1)),0)</f>
        <v>221283</v>
      </c>
      <c r="D24" s="619"/>
      <c r="E24" s="619"/>
      <c r="F24" s="620"/>
      <c r="G24" s="621" t="s">
        <v>1085</v>
      </c>
    </row>
    <row r="25" spans="1:7" s="595" customFormat="1" ht="24">
      <c r="A25" s="1827" t="s">
        <v>2283</v>
      </c>
      <c r="B25" s="596" t="s">
        <v>2916</v>
      </c>
      <c r="C25" s="2791">
        <f ca="1">ROUND(IF('数据-取费表'!B22&lt;=1,C20*F22*'数据-取费表'!B22/2,C20*(POWER((1+F22),'数据-取费表'!B22/2)-1)),0)</f>
        <v>197956</v>
      </c>
      <c r="D25" s="619"/>
      <c r="E25" s="622"/>
      <c r="F25" s="620"/>
      <c r="G25" s="623" t="s">
        <v>1086</v>
      </c>
    </row>
    <row r="26" spans="1:7" s="595" customFormat="1">
      <c r="A26" s="1827" t="s">
        <v>2285</v>
      </c>
      <c r="B26" s="596" t="s">
        <v>2918</v>
      </c>
      <c r="C26" s="619">
        <f ca="1">ROUND(IF('数据-取费表'!B22&lt;=1,F21*F22*'数据-取费表'!B22/2,F21*(POWER((1+F22),'数据-取费表'!B22/2)-1)),4)</f>
        <v>1.4E-3</v>
      </c>
      <c r="D26" s="619"/>
      <c r="E26" s="622"/>
      <c r="F26" s="620"/>
      <c r="G26" s="624"/>
    </row>
    <row r="27" spans="1:7" s="595" customFormat="1" ht="24.75">
      <c r="A27" s="1824" t="s">
        <v>2277</v>
      </c>
      <c r="B27" s="625" t="s">
        <v>1088</v>
      </c>
      <c r="C27" s="626">
        <f ca="1">C28</f>
        <v>34006843</v>
      </c>
      <c r="D27" s="616">
        <f ca="1">C29</f>
        <v>4.7999999999999996E-3</v>
      </c>
      <c r="E27" s="617" t="s">
        <v>1102</v>
      </c>
      <c r="F27" s="627">
        <f ca="1">IF(B1="",'数据-取费表'!Q16,INDIRECT("'数据-取费表'!q"&amp;$G$1))</f>
        <v>0.16</v>
      </c>
      <c r="G27" s="628" t="s">
        <v>2927</v>
      </c>
    </row>
    <row r="28" spans="1:7" s="595" customFormat="1" ht="13.5" customHeight="1">
      <c r="A28" s="1827" t="s">
        <v>2281</v>
      </c>
      <c r="B28" s="629" t="s">
        <v>2920</v>
      </c>
      <c r="C28" s="630">
        <f ca="1">ROUND((C5+C19+C20)*F27,0)</f>
        <v>34006843</v>
      </c>
      <c r="D28" s="616"/>
      <c r="E28" s="617"/>
      <c r="F28" s="627"/>
      <c r="G28" s="628"/>
    </row>
    <row r="29" spans="1:7" s="595" customFormat="1" ht="13.5" customHeight="1">
      <c r="A29" s="1827" t="s">
        <v>2282</v>
      </c>
      <c r="B29" s="629" t="s">
        <v>2921</v>
      </c>
      <c r="C29" s="619">
        <f ca="1">ROUND(C21*F27,4)</f>
        <v>4.7999999999999996E-3</v>
      </c>
      <c r="D29" s="616"/>
      <c r="E29" s="617"/>
      <c r="F29" s="627"/>
      <c r="G29" s="628"/>
    </row>
    <row r="30" spans="1:7" s="595" customFormat="1" ht="13.5" customHeight="1">
      <c r="A30" s="1824" t="s">
        <v>2278</v>
      </c>
      <c r="B30" s="591" t="s">
        <v>517</v>
      </c>
      <c r="C30" s="616">
        <f>ROUND(F30/(1+'数据-取费表'!B42),4)</f>
        <v>5.33E-2</v>
      </c>
      <c r="D30" s="617" t="s">
        <v>3355</v>
      </c>
      <c r="E30" s="622"/>
      <c r="F30" s="618">
        <f>'数据-取费表'!B41</f>
        <v>5.6000000000000001E-2</v>
      </c>
      <c r="G30" s="2655" t="s">
        <v>3356</v>
      </c>
    </row>
    <row r="31" spans="1:7" ht="16.5" customHeight="1">
      <c r="A31" s="590">
        <v>1</v>
      </c>
      <c r="B31" s="591" t="s">
        <v>1104</v>
      </c>
      <c r="C31" s="592">
        <f ca="1">ROUND((C5+C19+C20+C22+C27)/(1-C21-D22-D27-C30),0)</f>
        <v>293260145</v>
      </c>
      <c r="D31" s="611"/>
      <c r="E31" s="592"/>
      <c r="F31" s="631"/>
      <c r="G31" s="615" t="s">
        <v>2928</v>
      </c>
    </row>
    <row r="32" spans="1:7" s="589" customFormat="1" ht="15.75">
      <c r="A32" s="633" t="s">
        <v>3031</v>
      </c>
      <c r="B32" s="634"/>
      <c r="C32" s="634"/>
      <c r="D32" s="634"/>
      <c r="E32" s="634"/>
      <c r="F32" s="634"/>
      <c r="G32" s="635"/>
    </row>
    <row r="33" spans="1:7" s="595" customFormat="1" ht="13.5" customHeight="1">
      <c r="A33" s="636" t="s">
        <v>2272</v>
      </c>
      <c r="B33" s="2792" t="s">
        <v>3032</v>
      </c>
      <c r="C33" s="637">
        <f ca="1">SUM(C34:C38)</f>
        <v>51867910</v>
      </c>
      <c r="D33" s="613"/>
      <c r="E33" s="593"/>
      <c r="F33" s="622"/>
      <c r="G33" s="615"/>
    </row>
    <row r="34" spans="1:7" s="639" customFormat="1" ht="13.5" customHeight="1">
      <c r="A34" s="1827" t="s">
        <v>2281</v>
      </c>
      <c r="B34" s="596" t="s">
        <v>518</v>
      </c>
      <c r="C34" s="601">
        <f ca="1">ROUND(IF(B1="",SUMPRODUCT('数据-取费表'!K6:K14,'数据-取费表'!L6:L14),INDIRECT("'数据-取费表'!l"&amp;$G$1)*INDIRECT("'数据-取费表'!k"&amp;$G$1)+'数据-取费表'!L14*INDIRECT("'数据-取费表'!S"&amp;$G$1)),0)</f>
        <v>47457080</v>
      </c>
      <c r="D34" s="598"/>
      <c r="E34" s="601"/>
      <c r="F34" s="638"/>
      <c r="G34" s="600"/>
    </row>
    <row r="35" spans="1:7" ht="13.5" customHeight="1">
      <c r="A35" s="1827" t="s">
        <v>2286</v>
      </c>
      <c r="B35" s="596" t="s">
        <v>519</v>
      </c>
      <c r="C35" s="601">
        <f ca="1">ROUND(C34*F35,0)</f>
        <v>1423712</v>
      </c>
      <c r="D35" s="601"/>
      <c r="E35" s="601"/>
      <c r="F35" s="640">
        <f>'数据-取费表'!B33</f>
        <v>0.03</v>
      </c>
      <c r="G35" s="600" t="s">
        <v>1093</v>
      </c>
    </row>
    <row r="36" spans="1:7" ht="24">
      <c r="A36" s="1827" t="s">
        <v>2287</v>
      </c>
      <c r="B36" s="596" t="s">
        <v>520</v>
      </c>
      <c r="C36" s="601">
        <f ca="1">ROUND(IF(B1="",SUM('数据-取费表'!AP6:AP13)*F36,IF(INDIRECT("'数据-取费表'!c"&amp;$G$1)="住宅",INDIRECT("'数据-取费表'!k"&amp;$G$1)*INDIRECT("'数据-取费表'!l"&amp;$G$1)*F36,0)),0)</f>
        <v>0</v>
      </c>
      <c r="D36" s="601"/>
      <c r="E36" s="601"/>
      <c r="F36" s="640">
        <f>'数据-取费表'!B34</f>
        <v>0</v>
      </c>
      <c r="G36" s="641" t="s">
        <v>521</v>
      </c>
    </row>
    <row r="37" spans="1:7" s="639" customFormat="1" ht="13.5" customHeight="1">
      <c r="A37" s="1827" t="s">
        <v>2288</v>
      </c>
      <c r="B37" s="596" t="s">
        <v>1094</v>
      </c>
      <c r="C37" s="630">
        <f ca="1">ROUND(E37*D37,0)</f>
        <v>2275262</v>
      </c>
      <c r="D37" s="598">
        <f ca="1">D19</f>
        <v>11376.31</v>
      </c>
      <c r="E37" s="630">
        <f>'数据-取费表'!B35</f>
        <v>200</v>
      </c>
      <c r="F37" s="640"/>
      <c r="G37" s="642"/>
    </row>
    <row r="38" spans="1:7" ht="13.5" customHeight="1">
      <c r="A38" s="1827" t="s">
        <v>2289</v>
      </c>
      <c r="B38" s="596" t="s">
        <v>522</v>
      </c>
      <c r="C38" s="601">
        <f ca="1">ROUND(C34*F38,0)</f>
        <v>711856</v>
      </c>
      <c r="D38" s="601"/>
      <c r="E38" s="601"/>
      <c r="F38" s="640">
        <f>'数据-取费表'!B36</f>
        <v>1.4999999999999999E-2</v>
      </c>
      <c r="G38" s="600" t="s">
        <v>1093</v>
      </c>
    </row>
    <row r="39" spans="1:7" s="595" customFormat="1" ht="13.5" customHeight="1">
      <c r="A39" s="1824" t="s">
        <v>2273</v>
      </c>
      <c r="B39" s="591" t="s">
        <v>1080</v>
      </c>
      <c r="C39" s="613">
        <f ca="1">ROUND(C33*F20,0)</f>
        <v>1037358</v>
      </c>
      <c r="D39" s="613"/>
      <c r="E39" s="613"/>
      <c r="F39" s="614"/>
      <c r="G39" s="2655" t="s">
        <v>2929</v>
      </c>
    </row>
    <row r="40" spans="1:7" s="595" customFormat="1" ht="13.5" customHeight="1">
      <c r="A40" s="1824" t="s">
        <v>2274</v>
      </c>
      <c r="B40" s="591" t="s">
        <v>1081</v>
      </c>
      <c r="C40" s="3277">
        <f>F21</f>
        <v>0.03</v>
      </c>
      <c r="D40" s="617" t="s">
        <v>1105</v>
      </c>
      <c r="E40" s="613"/>
      <c r="F40" s="614"/>
      <c r="G40" s="615" t="s">
        <v>1096</v>
      </c>
    </row>
    <row r="41" spans="1:7" s="595" customFormat="1" ht="13.5" customHeight="1">
      <c r="A41" s="1824" t="s">
        <v>2275</v>
      </c>
      <c r="B41" s="591" t="s">
        <v>1083</v>
      </c>
      <c r="C41" s="613">
        <f ca="1">ROUND(SUM(C42:C43),0)</f>
        <v>2513001</v>
      </c>
      <c r="D41" s="616">
        <f ca="1">C44</f>
        <v>1.4E-3</v>
      </c>
      <c r="E41" s="617" t="s">
        <v>1105</v>
      </c>
      <c r="F41" s="618"/>
      <c r="G41" s="2655" t="str">
        <f>IF('数据-取费表'!B22&lt;=1,"单利计息","复利计息")</f>
        <v>复利计息</v>
      </c>
    </row>
    <row r="42" spans="1:7" ht="13.5" customHeight="1">
      <c r="A42" s="1827" t="s">
        <v>2281</v>
      </c>
      <c r="B42" s="596" t="s">
        <v>2919</v>
      </c>
      <c r="C42" s="619">
        <f ca="1">ROUND(IF('数据-取费表'!B22&lt;=1,C33*F22*'数据-取费表'!B20/2,C33*(POWER((1+F22),'数据-取费表'!B20/2)-1)),0)</f>
        <v>2463726</v>
      </c>
      <c r="D42" s="619"/>
      <c r="E42" s="619"/>
      <c r="F42" s="620"/>
      <c r="G42" s="3609" t="s">
        <v>3035</v>
      </c>
    </row>
    <row r="43" spans="1:7" ht="13.5" customHeight="1">
      <c r="A43" s="1827" t="s">
        <v>2282</v>
      </c>
      <c r="B43" s="596" t="s">
        <v>2914</v>
      </c>
      <c r="C43" s="619">
        <f ca="1">ROUND(IF('数据-取费表'!B22&lt;=1,C39*F22*'数据-取费表'!B20/2,C39*(POWER((1+F22),'数据-取费表'!B20/2)-1)),0)</f>
        <v>49275</v>
      </c>
      <c r="D43" s="619"/>
      <c r="E43" s="619"/>
      <c r="F43" s="620"/>
      <c r="G43" s="3539"/>
    </row>
    <row r="44" spans="1:7" ht="13.5" customHeight="1">
      <c r="A44" s="1827" t="s">
        <v>2283</v>
      </c>
      <c r="B44" s="596" t="s">
        <v>2916</v>
      </c>
      <c r="C44" s="619">
        <f ca="1">ROUND(IF('数据-取费表'!B22&lt;=1,C40*F22*'数据-取费表'!B20/2,C40*(POWER((1+F22),'数据-取费表'!B20/2)-1)),4)</f>
        <v>1.4E-3</v>
      </c>
      <c r="D44" s="619"/>
      <c r="E44" s="619"/>
      <c r="F44" s="620"/>
      <c r="G44" s="3540"/>
    </row>
    <row r="45" spans="1:7" s="595" customFormat="1" ht="13.5" customHeight="1">
      <c r="A45" s="1824" t="s">
        <v>2276</v>
      </c>
      <c r="B45" s="625" t="s">
        <v>1088</v>
      </c>
      <c r="C45" s="626">
        <f ca="1">C46</f>
        <v>8464843</v>
      </c>
      <c r="D45" s="616">
        <f ca="1">C47</f>
        <v>4.7999999999999996E-3</v>
      </c>
      <c r="E45" s="617" t="s">
        <v>1105</v>
      </c>
      <c r="F45" s="627"/>
      <c r="G45" s="628" t="s">
        <v>2930</v>
      </c>
    </row>
    <row r="46" spans="1:7" s="595" customFormat="1" ht="13.5" customHeight="1">
      <c r="A46" s="1827" t="s">
        <v>2281</v>
      </c>
      <c r="B46" s="629" t="s">
        <v>2923</v>
      </c>
      <c r="C46" s="630">
        <f ca="1">ROUND((C33+C39)*F27,0)</f>
        <v>8464843</v>
      </c>
      <c r="D46" s="644"/>
      <c r="E46" s="617"/>
      <c r="F46" s="627"/>
      <c r="G46" s="628"/>
    </row>
    <row r="47" spans="1:7" s="595" customFormat="1" ht="13.5" customHeight="1">
      <c r="A47" s="1827" t="s">
        <v>2282</v>
      </c>
      <c r="B47" s="629" t="s">
        <v>2925</v>
      </c>
      <c r="C47" s="619">
        <f ca="1">ROUND(C40*F27,4)</f>
        <v>4.7999999999999996E-3</v>
      </c>
      <c r="D47" s="644"/>
      <c r="E47" s="617"/>
      <c r="F47" s="627"/>
      <c r="G47" s="628"/>
    </row>
    <row r="48" spans="1:7" s="595" customFormat="1" ht="13.5" customHeight="1">
      <c r="A48" s="1824" t="s">
        <v>2277</v>
      </c>
      <c r="B48" s="591" t="s">
        <v>1098</v>
      </c>
      <c r="C48" s="643">
        <f>ROUND(F30/(1+'数据-取费表'!B42),4)</f>
        <v>5.33E-2</v>
      </c>
      <c r="D48" s="617" t="s">
        <v>3353</v>
      </c>
      <c r="E48" s="613"/>
      <c r="F48" s="618"/>
      <c r="G48" s="2655" t="s">
        <v>3354</v>
      </c>
    </row>
    <row r="49" spans="1:7" ht="16.5" customHeight="1">
      <c r="A49" s="1824" t="s">
        <v>2278</v>
      </c>
      <c r="B49" s="591" t="s">
        <v>3033</v>
      </c>
      <c r="C49" s="613">
        <f ca="1">ROUND((C33+C39+C41+C45)/(1-C40-D41-D45-C48),0)</f>
        <v>70162671</v>
      </c>
      <c r="D49" s="613"/>
      <c r="E49" s="613"/>
      <c r="F49" s="645"/>
      <c r="G49" s="615" t="s">
        <v>2931</v>
      </c>
    </row>
    <row r="50" spans="1:7" s="639" customFormat="1">
      <c r="A50" s="1824" t="s">
        <v>2279</v>
      </c>
      <c r="B50" s="591" t="s">
        <v>1100</v>
      </c>
      <c r="C50" s="613"/>
      <c r="D50" s="613"/>
      <c r="E50" s="613"/>
      <c r="F50" s="645">
        <f>IF('数据-取费表'!B24=0,'数据-取费表'!N16,1)</f>
        <v>0.88</v>
      </c>
      <c r="G50" s="628"/>
    </row>
    <row r="51" spans="1:7" ht="16.5" customHeight="1">
      <c r="A51" s="1824" t="s">
        <v>2280</v>
      </c>
      <c r="B51" s="591" t="s">
        <v>3034</v>
      </c>
      <c r="C51" s="613">
        <f ca="1">ROUND(C49*F50,0)</f>
        <v>61743150</v>
      </c>
      <c r="D51" s="613"/>
      <c r="E51" s="613"/>
      <c r="F51" s="645"/>
      <c r="G51" s="615" t="s">
        <v>523</v>
      </c>
    </row>
    <row r="52" spans="1:7" s="589" customFormat="1" ht="16.5" thickBot="1">
      <c r="A52" s="646" t="s">
        <v>524</v>
      </c>
      <c r="B52" s="647"/>
      <c r="C52" s="648">
        <f ca="1">C31+C51</f>
        <v>355003295</v>
      </c>
      <c r="D52" s="647"/>
      <c r="E52" s="647"/>
      <c r="F52" s="647"/>
      <c r="G52" s="649"/>
    </row>
    <row r="55" spans="1:7" ht="15">
      <c r="B55" s="651" t="s">
        <v>525</v>
      </c>
      <c r="C55" s="652"/>
    </row>
    <row r="56" spans="1:7">
      <c r="B56" s="2911" t="s">
        <v>3109</v>
      </c>
      <c r="C56" s="656">
        <f ca="1">1-C57</f>
        <v>0.82600000000000007</v>
      </c>
    </row>
    <row r="57" spans="1:7">
      <c r="B57" s="2911" t="s">
        <v>3108</v>
      </c>
      <c r="C57" s="655">
        <f ca="1">ROUND(C51/C52,3)</f>
        <v>0.17399999999999999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0" sqref="A10"/>
    </sheetView>
  </sheetViews>
  <sheetFormatPr defaultRowHeight="13.5"/>
  <cols>
    <col min="1" max="1" width="84" customWidth="1"/>
  </cols>
  <sheetData>
    <row r="1" spans="1:1" ht="22.5">
      <c r="A1" s="1968" t="s">
        <v>2371</v>
      </c>
    </row>
    <row r="2" spans="1:1">
      <c r="A2" s="1969"/>
    </row>
    <row r="3" spans="1:1" ht="18.75">
      <c r="A3" s="2925" t="str">
        <f>项目基本情况!B5&amp;"："</f>
        <v>中矿宏业（北京）房地产开发有限公司：</v>
      </c>
    </row>
    <row r="4" spans="1:1" ht="37.5">
      <c r="A4" s="1970" t="str">
        <f>"受贵公司委托，我公司对"&amp;项目基本情况!S1&amp;"进行了预评估。"</f>
        <v>受贵公司委托，我公司对北京市海淀区彰化路138号院房地产抵押价值进行了预评估。</v>
      </c>
    </row>
    <row r="5" spans="1:1" ht="18.75">
      <c r="A5" s="1971" t="s">
        <v>2372</v>
      </c>
    </row>
    <row r="6" spans="1:1" ht="18.75">
      <c r="A6" s="3093" t="s">
        <v>3281</v>
      </c>
    </row>
    <row r="7" spans="1:1" ht="56.25">
      <c r="A7" s="19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估价对象为北京市海淀区彰化路138号院房地产，为BB公司所有。根据，估价对象（分摊）出让国有建设用地使用权面积为2992.36平方米，建筑面积为11376.31平方米。</v>
      </c>
    </row>
    <row r="8" spans="1:1" ht="56.25">
      <c r="A8" s="2014" t="s">
        <v>3274</v>
      </c>
    </row>
    <row r="9" spans="1:1" ht="18.75">
      <c r="A9" s="3093" t="s">
        <v>3282</v>
      </c>
    </row>
    <row r="10" spans="1:1" ht="75">
      <c r="A10" s="19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彰化路138号院房地产,属BB公司开发建设的综合项目（商业、办公），该项目尚在开发建设中。根据，估价对象（分摊）出让国有建设用地使用权面积为2992.36平方米，规划建筑面积为11376.31平方米。</v>
      </c>
    </row>
    <row r="11" spans="1:1" ht="75">
      <c r="A11" s="2014" t="s">
        <v>3315</v>
      </c>
    </row>
    <row r="12" spans="1:1" ht="18.75">
      <c r="A12" s="1971" t="s">
        <v>2373</v>
      </c>
    </row>
    <row r="13" spans="1:1" ht="38.25" customHeight="1">
      <c r="A13" s="1972"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73" t="s">
        <v>2374</v>
      </c>
    </row>
    <row r="15" spans="1:1" ht="18.75">
      <c r="A15" s="1974" t="str">
        <f>TEXT(项目基本情况!D3,"yyyy年m月d日;;")&amp;IF(项目基本情况!D3=项目基本情况!B3,"评估专业人员实地查勘之日","")</f>
        <v>2017年7月14日评估专业人员实地查勘之日</v>
      </c>
    </row>
    <row r="16" spans="1:1" ht="18.75">
      <c r="A16" s="1973" t="s">
        <v>2376</v>
      </c>
    </row>
    <row r="17" spans="1:1" ht="75">
      <c r="A17" s="1970" t="s">
        <v>3275</v>
      </c>
    </row>
    <row r="18" spans="1:1" ht="56.25">
      <c r="A18" s="1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9" spans="1:1" ht="157.5" customHeight="1">
      <c r="A19" s="1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70"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0" t="s">
        <v>3276</v>
      </c>
    </row>
    <row r="22" spans="1:1" ht="18.75">
      <c r="A22" s="1970" t="str">
        <f>IF(项目基本情况!E9="——","",定义!C57)</f>
        <v/>
      </c>
    </row>
    <row r="23" spans="1:1" ht="18.75">
      <c r="A23" s="1973" t="s">
        <v>2396</v>
      </c>
    </row>
    <row r="24" spans="1:1" ht="18.75">
      <c r="A24" s="1977" t="str">
        <f>"本次评估采用的主估价方法为"&amp;结果表!K4&amp;"和"&amp;结果表!L4&amp;"。"</f>
        <v>本次评估采用的主估价方法为成本法和收益法。</v>
      </c>
    </row>
    <row r="25" spans="1:1" ht="18.75">
      <c r="A25" s="1977"/>
    </row>
    <row r="26" spans="1:1" ht="18.75">
      <c r="A26" s="2106" t="s">
        <v>2481</v>
      </c>
    </row>
    <row r="27" spans="1:1">
      <c r="A27" s="2016"/>
    </row>
    <row r="28" spans="1:1">
      <c r="A28" s="2016"/>
    </row>
    <row r="29" spans="1:1">
      <c r="A29" s="2016"/>
    </row>
    <row r="30" spans="1:1">
      <c r="A30" s="2016"/>
    </row>
    <row r="31" spans="1:1">
      <c r="A31" s="2016"/>
    </row>
    <row r="32" spans="1:1">
      <c r="A32" s="2016"/>
    </row>
    <row r="33" spans="1:1">
      <c r="A33" s="2016"/>
    </row>
    <row r="34" spans="1:1">
      <c r="A34" s="2016"/>
    </row>
    <row r="35" spans="1:1">
      <c r="A35" s="2016"/>
    </row>
    <row r="36" spans="1:1">
      <c r="A36" s="2016"/>
    </row>
    <row r="37" spans="1:1">
      <c r="A37" s="2016"/>
    </row>
    <row r="38" spans="1:1">
      <c r="A38" s="2016"/>
    </row>
    <row r="39" spans="1:1">
      <c r="A39" s="2016"/>
    </row>
    <row r="40" spans="1:1">
      <c r="A40" s="2016"/>
    </row>
    <row r="41" spans="1:1">
      <c r="A41" s="2016"/>
    </row>
    <row r="42" spans="1:1">
      <c r="A42" s="2016"/>
    </row>
    <row r="43" spans="1:1">
      <c r="A43" s="2016"/>
    </row>
    <row r="44" spans="1:1">
      <c r="A44" s="2016"/>
    </row>
    <row r="45" spans="1:1">
      <c r="A45" s="2016"/>
    </row>
    <row r="46" spans="1:1">
      <c r="A46" s="2016"/>
    </row>
    <row r="47" spans="1:1">
      <c r="A47" s="2016"/>
    </row>
    <row r="48" spans="1:1">
      <c r="A48" s="201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3367</v>
      </c>
      <c r="D1" s="1280"/>
      <c r="E1" s="2616" t="s">
        <v>767</v>
      </c>
      <c r="F1" s="2617">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ROUND(D2/10000,0)</f>
        <v>#N/A</v>
      </c>
      <c r="C2" s="1306" t="s">
        <v>1424</v>
      </c>
      <c r="D2" s="2760" t="e">
        <f ca="1">C40+J29+L46</f>
        <v>#N/A</v>
      </c>
      <c r="E2" s="2606" t="s">
        <v>3028</v>
      </c>
      <c r="F2" s="1283"/>
      <c r="G2" s="2314"/>
      <c r="H2" s="1281"/>
      <c r="I2" s="1281"/>
      <c r="J2" s="1281"/>
      <c r="K2" s="1305"/>
      <c r="L2" s="1281"/>
      <c r="M2" s="1281"/>
    </row>
    <row r="3" spans="1:37" ht="18" customHeight="1" thickBot="1">
      <c r="A3" s="680" t="s">
        <v>515</v>
      </c>
      <c r="B3" s="1414">
        <f ca="1">IF(ISERROR(D2/F43),0,ROUND(D2/F43,0))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2942</v>
      </c>
      <c r="E5" s="2662"/>
      <c r="F5" s="2663"/>
      <c r="G5" s="2315"/>
      <c r="H5" s="686">
        <v>1</v>
      </c>
      <c r="I5" s="687" t="s">
        <v>2707</v>
      </c>
      <c r="J5" s="2661" t="e">
        <f ca="1">J6+J10+J12</f>
        <v>#N/A</v>
      </c>
      <c r="K5" s="2664" t="s">
        <v>2942</v>
      </c>
      <c r="L5" s="2662"/>
      <c r="M5" s="2663"/>
    </row>
    <row r="6" spans="1:37" ht="18" customHeight="1">
      <c r="A6" s="2657" t="s">
        <v>2748</v>
      </c>
      <c r="B6" s="3604" t="s">
        <v>2941</v>
      </c>
      <c r="C6" s="2666" t="e">
        <f ca="1">ROUND(F6*F8*F7*(1-F9),0)</f>
        <v>#N/A</v>
      </c>
      <c r="D6" s="2660" t="s">
        <v>2943</v>
      </c>
      <c r="E6" s="689" t="s">
        <v>1157</v>
      </c>
      <c r="F6" s="690" t="e">
        <f ca="1">INDIRECT("'数据-取费表'!u"&amp;$G$1)</f>
        <v>#N/A</v>
      </c>
      <c r="G6" s="2315"/>
      <c r="H6" s="2657" t="s">
        <v>2748</v>
      </c>
      <c r="I6" s="3604" t="s">
        <v>2941</v>
      </c>
      <c r="J6" s="688" t="e">
        <f ca="1">ROUND(M6*M8*M7*(1-M9),0)</f>
        <v>#N/A</v>
      </c>
      <c r="K6" s="2660" t="s">
        <v>2943</v>
      </c>
      <c r="L6" s="689" t="s">
        <v>1157</v>
      </c>
      <c r="M6" s="690" t="e">
        <f ca="1">INDIRECT("'数据-取费表'!z"&amp;$G$1)</f>
        <v>#N/A</v>
      </c>
    </row>
    <row r="7" spans="1:37" ht="18" customHeight="1">
      <c r="A7" s="2665"/>
      <c r="B7" s="3605"/>
      <c r="C7" s="2667"/>
      <c r="D7" s="2084"/>
      <c r="E7" s="2668" t="s">
        <v>1158</v>
      </c>
      <c r="F7" s="690" t="e">
        <f ca="1">IF(INDIRECT("'数据-取费表'!ah"&amp;$G$1)="",INDIRECT("'数据-取费表'!k"&amp;$G$1),INDIRECT("'数据-取费表'!ah"&amp;$G$1))</f>
        <v>#N/A</v>
      </c>
      <c r="G7" s="2315"/>
      <c r="H7" s="691"/>
      <c r="I7" s="3605"/>
      <c r="J7" s="693"/>
      <c r="K7" s="694"/>
      <c r="L7" s="689" t="s">
        <v>1158</v>
      </c>
      <c r="M7" s="690" t="e">
        <f ca="1">F7</f>
        <v>#N/A</v>
      </c>
    </row>
    <row r="8" spans="1:37" ht="18" customHeight="1">
      <c r="A8" s="691"/>
      <c r="B8" s="3605"/>
      <c r="C8" s="693"/>
      <c r="D8" s="694"/>
      <c r="E8" s="689" t="s">
        <v>1159</v>
      </c>
      <c r="F8" s="690" t="e">
        <f ca="1">INDIRECT("'数据-取费表'!ai"&amp;$G$1)</f>
        <v>#N/A</v>
      </c>
      <c r="G8" s="2315"/>
      <c r="H8" s="691"/>
      <c r="I8" s="3605"/>
      <c r="J8" s="693"/>
      <c r="K8" s="694"/>
      <c r="L8" s="689" t="s">
        <v>1159</v>
      </c>
      <c r="M8" s="690" t="e">
        <f ca="1">INDIRECT("'数据-取费表'!ai"&amp;$G$1)</f>
        <v>#N/A</v>
      </c>
    </row>
    <row r="9" spans="1:37" ht="18" customHeight="1">
      <c r="A9" s="691"/>
      <c r="B9" s="3606"/>
      <c r="C9" s="693"/>
      <c r="D9" s="694"/>
      <c r="E9" s="689" t="s">
        <v>1160</v>
      </c>
      <c r="F9" s="699" t="e">
        <f ca="1">INDIRECT("'数据-取费表'!w"&amp;$G$1)</f>
        <v>#N/A</v>
      </c>
      <c r="G9" s="2315"/>
      <c r="H9" s="691"/>
      <c r="I9" s="3606"/>
      <c r="J9" s="693"/>
      <c r="K9" s="694"/>
      <c r="L9" s="700" t="s">
        <v>1160</v>
      </c>
      <c r="M9" s="701" t="e">
        <f ca="1">INDIRECT("'数据-取费表'!ab"&amp;$G$1)</f>
        <v>#N/A</v>
      </c>
    </row>
    <row r="10" spans="1:37" ht="18" customHeight="1">
      <c r="A10" s="2657" t="s">
        <v>2755</v>
      </c>
      <c r="B10" s="2658" t="s">
        <v>2936</v>
      </c>
      <c r="C10" s="703" t="e">
        <f ca="1">ROUND(IF(F10="押一",F6*F8*F7/12*F11,IF(F10="押二",F6*F8*F7/12*2*F11,IF(F10="押三",F6*F8*F7/12*3*F11,C11*F11))),0)</f>
        <v>#N/A</v>
      </c>
      <c r="D10" s="2669" t="s">
        <v>2944</v>
      </c>
      <c r="E10" s="2120" t="s">
        <v>2938</v>
      </c>
      <c r="F10" s="2867" t="s">
        <v>3030</v>
      </c>
      <c r="G10" s="2315"/>
      <c r="H10" s="2657" t="s">
        <v>2755</v>
      </c>
      <c r="I10" s="2658" t="s">
        <v>2936</v>
      </c>
      <c r="J10" s="688">
        <f ca="1">ROUND(IF(M10="押一",M6*M8*M7/12*M11,IF(M10="押二",M6*M8*M7/12*2*M11,IF(M10="押三",M6*M8*M7/12*3*M11,J11*M11))),0)</f>
        <v>0</v>
      </c>
      <c r="K10" s="2669" t="s">
        <v>2944</v>
      </c>
      <c r="L10" s="2120" t="s">
        <v>2938</v>
      </c>
      <c r="M10" s="2867" t="s">
        <v>3101</v>
      </c>
    </row>
    <row r="11" spans="1:37" ht="18" customHeight="1">
      <c r="A11" s="695"/>
      <c r="B11" s="2659" t="s">
        <v>2946</v>
      </c>
      <c r="C11" s="2442"/>
      <c r="D11" s="694"/>
      <c r="E11" s="2120" t="s">
        <v>2939</v>
      </c>
      <c r="F11" s="701">
        <f ca="1">'数据-取费表'!B39</f>
        <v>1.4999999999999999E-2</v>
      </c>
      <c r="G11" s="2315"/>
      <c r="H11" s="2670"/>
      <c r="I11" s="2659" t="s">
        <v>3102</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ROUND(INDIRECT("'数据-取费表'!l"&amp;$G$1)*F43+'数据-取费表'!L14*INDIRECT("'数据-取费表'!S"&amp;$G$1),0)</f>
        <v>#N/A</v>
      </c>
      <c r="D14" s="2755" t="s">
        <v>1164</v>
      </c>
      <c r="E14" s="2754"/>
      <c r="F14" s="708"/>
      <c r="G14" s="2315"/>
      <c r="H14" s="2465" t="s">
        <v>2748</v>
      </c>
      <c r="I14" s="689" t="s">
        <v>1165</v>
      </c>
      <c r="J14" s="319" t="e">
        <f ca="1">C29</f>
        <v>#N/A</v>
      </c>
      <c r="K14" s="309"/>
      <c r="L14" s="705"/>
      <c r="M14" s="706"/>
    </row>
    <row r="15" spans="1:37" s="711" customFormat="1" ht="18" customHeight="1" thickBot="1">
      <c r="A15" s="2465" t="s">
        <v>3013</v>
      </c>
      <c r="B15" s="689" t="s">
        <v>529</v>
      </c>
      <c r="C15" s="319" t="e">
        <f ca="1">ROUND(C14*F15,0)</f>
        <v>#N/A</v>
      </c>
      <c r="D15" s="709" t="s">
        <v>1166</v>
      </c>
      <c r="E15" s="709" t="s">
        <v>534</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t="e">
        <f ca="1">ROUND(INDIRECT("'数据-取费表'!l"&amp;$G$1)*F43*F16,0)</f>
        <v>#N/A</v>
      </c>
      <c r="D16" s="689" t="s">
        <v>1166</v>
      </c>
      <c r="E16" s="689" t="s">
        <v>534</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3015</v>
      </c>
      <c r="B17" s="689" t="s">
        <v>531</v>
      </c>
      <c r="C17" s="319" t="e">
        <f ca="1">ROUND(F17*(F43+INDIRECT("'数据-取费表'!S"&amp;$G$1)),0)</f>
        <v>#N/A</v>
      </c>
      <c r="D17" s="689" t="s">
        <v>1170</v>
      </c>
      <c r="E17" s="689" t="s">
        <v>1171</v>
      </c>
      <c r="F17" s="321">
        <f>'数据-取费表'!B35</f>
        <v>200</v>
      </c>
      <c r="G17" s="2316"/>
      <c r="H17" s="2465" t="s">
        <v>2748</v>
      </c>
      <c r="I17" s="689" t="s">
        <v>532</v>
      </c>
      <c r="J17" s="319" t="e">
        <f ca="1">ROUND(IF(项目基本情况!B11="自然人",J5*M17,J18+J19+J20),0)</f>
        <v>#N/A</v>
      </c>
      <c r="K17" s="2755" t="s">
        <v>1172</v>
      </c>
      <c r="L17" s="2756"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t="e">
        <f ca="1">ROUND(C14*F18,0)</f>
        <v>#N/A</v>
      </c>
      <c r="D18" s="689" t="s">
        <v>1166</v>
      </c>
      <c r="E18" s="689" t="s">
        <v>534</v>
      </c>
      <c r="F18" s="712">
        <f>'数据-取费表'!B36</f>
        <v>1.4999999999999999E-2</v>
      </c>
      <c r="G18" s="2316"/>
      <c r="H18" s="2465" t="s">
        <v>2745</v>
      </c>
      <c r="I18" s="689" t="s">
        <v>1174</v>
      </c>
      <c r="J18" s="319" t="e">
        <f ca="1">ROUND(J5*M18/(1+'数据-取费表'!B42),0)</f>
        <v>#N/A</v>
      </c>
      <c r="K18" s="2756"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2758"/>
      <c r="F19" s="321"/>
      <c r="G19" s="2315"/>
      <c r="H19" s="2465" t="s">
        <v>3013</v>
      </c>
      <c r="I19" s="689" t="s">
        <v>1177</v>
      </c>
      <c r="J19" s="319" t="e">
        <f ca="1">IF(K19="按租金收入计税",ROUND(J5*M19,0),ROUND(C29*M19*0.7,0))</f>
        <v>#N/A</v>
      </c>
      <c r="K19" s="1307" t="s">
        <v>2796</v>
      </c>
      <c r="L19" s="689" t="s">
        <v>534</v>
      </c>
      <c r="M19" s="712">
        <f>IF(K19="按租金收入计税",'数据-取费表'!B51,'数据-取费表'!B50)</f>
        <v>1.2E-2</v>
      </c>
    </row>
    <row r="20" spans="1:37" s="711" customFormat="1" ht="18" customHeight="1">
      <c r="A20" s="2465" t="s">
        <v>3017</v>
      </c>
      <c r="B20" s="689" t="s">
        <v>536</v>
      </c>
      <c r="C20" s="319" t="e">
        <f ca="1">ROUND(C19*F20,0)</f>
        <v>#N/A</v>
      </c>
      <c r="D20" s="714" t="s">
        <v>1178</v>
      </c>
      <c r="E20" s="689" t="s">
        <v>534</v>
      </c>
      <c r="F20" s="712">
        <f>'数据-取费表'!B37</f>
        <v>0.02</v>
      </c>
      <c r="G20" s="2316"/>
      <c r="H20" s="2465" t="s">
        <v>3014</v>
      </c>
      <c r="I20" s="501" t="s">
        <v>1179</v>
      </c>
      <c r="J20" s="320" t="e">
        <f ca="1">ROUND(M20*M21,0)</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0.03</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2758"/>
      <c r="F22" s="321"/>
      <c r="G22" s="2315"/>
      <c r="H22" s="2465" t="s">
        <v>2755</v>
      </c>
      <c r="I22" s="689" t="s">
        <v>1187</v>
      </c>
      <c r="J22" s="319" t="e">
        <f ca="1">ROUND(J14*M22,0)</f>
        <v>#N/A</v>
      </c>
      <c r="K22" s="2756" t="s">
        <v>1188</v>
      </c>
      <c r="L22" s="689" t="s">
        <v>534</v>
      </c>
      <c r="M22" s="719" t="e">
        <f ca="1">INDIRECT("'数据-取费表'!Ak"&amp;$G$1)</f>
        <v>#N/A</v>
      </c>
    </row>
    <row r="23" spans="1:37" s="711" customFormat="1" ht="18" customHeight="1">
      <c r="A23" s="2465" t="s">
        <v>2745</v>
      </c>
      <c r="B23" s="689" t="s">
        <v>2933</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t="e">
        <f ca="1">ROUND(J13*M23,0)</f>
        <v>#N/A</v>
      </c>
      <c r="K23" s="2756" t="s">
        <v>538</v>
      </c>
      <c r="L23" s="689" t="s">
        <v>534</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1.4E-3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t="e">
        <f ca="1">ROUND(J5*M24,0)</f>
        <v>#N/A</v>
      </c>
      <c r="K24" s="2717" t="s">
        <v>540</v>
      </c>
      <c r="L24" s="2715" t="s">
        <v>534</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758"/>
      <c r="F25" s="321"/>
      <c r="G25" s="2315"/>
      <c r="H25" s="2702" t="s">
        <v>2728</v>
      </c>
      <c r="I25" s="2719" t="s">
        <v>546</v>
      </c>
      <c r="J25" s="697" t="e">
        <f ca="1">J5-J16</f>
        <v>#N/A</v>
      </c>
      <c r="K25" s="2720" t="s">
        <v>547</v>
      </c>
      <c r="L25" s="2721"/>
      <c r="M25" s="2722"/>
    </row>
    <row r="26" spans="1:37" ht="18" customHeight="1">
      <c r="A26" s="2465" t="s">
        <v>2745</v>
      </c>
      <c r="B26" s="689" t="s">
        <v>2934</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542</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ROUND(IF(项目基本情况!B11="自然人",C5*F31,C32+C33+C34),0)</f>
        <v>#N/A</v>
      </c>
      <c r="D31" s="2755" t="s">
        <v>1172</v>
      </c>
      <c r="E31" s="2756"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IF(项目基本情况!B11="自然人","——",ROUND(C5*F32/(1+'数据-取费表'!B42),0))</f>
        <v>#N/A</v>
      </c>
      <c r="D32" s="2756"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t="e">
        <f ca="1">IF(项目基本情况!B11="自然人","——",IF(D33="按租金收入计税",ROUND(C5*F33,0),IF(D33="按房产原值计税",ROUND(C29*F33*0.7,0),INDIRECT("'数据-取费表'!Aj"&amp;$G$1))))</f>
        <v>#N/A</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t="e">
        <f ca="1">IF(项目基本情况!B11="自然人","——",ROUND(F34*F35,))</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ROUND(C29*F36,0)</f>
        <v>#N/A</v>
      </c>
      <c r="D36" s="2756" t="s">
        <v>1217</v>
      </c>
      <c r="E36" s="689" t="s">
        <v>534</v>
      </c>
      <c r="F36" s="719" t="e">
        <f ca="1">INDIRECT("'数据-取费表'!Ak"&amp;$G$1)</f>
        <v>#N/A</v>
      </c>
      <c r="G36" s="2315"/>
      <c r="H36" s="1296"/>
      <c r="I36" s="2920"/>
      <c r="J36" s="2921"/>
      <c r="K36" s="1300"/>
      <c r="L36" s="1296"/>
      <c r="M36" s="1296"/>
    </row>
    <row r="37" spans="1:18" ht="18" customHeight="1">
      <c r="A37" s="2465" t="s">
        <v>3018</v>
      </c>
      <c r="B37" s="689" t="s">
        <v>537</v>
      </c>
      <c r="C37" s="319" t="e">
        <f ca="1">ROUND(C13*F37,0)</f>
        <v>#N/A</v>
      </c>
      <c r="D37" s="2756" t="s">
        <v>538</v>
      </c>
      <c r="E37" s="689" t="s">
        <v>534</v>
      </c>
      <c r="F37" s="721" t="e">
        <f ca="1">INDIRECT("'数据-取费表'!Al"&amp;$G$1)</f>
        <v>#N/A</v>
      </c>
      <c r="G37" s="2315"/>
      <c r="H37" s="1296"/>
      <c r="I37" s="2920"/>
      <c r="J37" s="2921"/>
      <c r="K37" s="1300"/>
      <c r="L37" s="1296"/>
      <c r="M37" s="1296"/>
    </row>
    <row r="38" spans="1:18" ht="18" customHeight="1" thickBot="1">
      <c r="A38" s="2714" t="s">
        <v>3019</v>
      </c>
      <c r="B38" s="2715" t="s">
        <v>536</v>
      </c>
      <c r="C38" s="2716" t="e">
        <f ca="1">ROUND(C5*F38,1)</f>
        <v>#N/A</v>
      </c>
      <c r="D38" s="2717" t="s">
        <v>540</v>
      </c>
      <c r="E38" s="2715" t="s">
        <v>534</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3" t="e">
        <f ca="1">C68-C40</f>
        <v>#N/A</v>
      </c>
      <c r="D45" s="2764" t="s">
        <v>3029</v>
      </c>
      <c r="E45" s="1439"/>
      <c r="F45" s="1439"/>
      <c r="O45" s="2622" t="s">
        <v>2881</v>
      </c>
      <c r="P45" s="1302"/>
      <c r="Q45" s="1302"/>
      <c r="R45" s="1302"/>
    </row>
    <row r="46" spans="1:18" s="1482" customFormat="1" ht="21" thickBot="1">
      <c r="A46" s="2423" t="s">
        <v>2700</v>
      </c>
      <c r="B46" s="2424"/>
      <c r="C46" s="2761" t="e">
        <f ca="1">ROUND(C45/10000,0)</f>
        <v>#N/A</v>
      </c>
      <c r="D46" s="2762" t="str">
        <f>C2</f>
        <v>万元</v>
      </c>
      <c r="I46" s="2609" t="s">
        <v>2814</v>
      </c>
      <c r="J46" s="2610"/>
      <c r="K46" s="2611"/>
      <c r="L46" s="2613">
        <f>IF(M47="住宅",0,IF(L48&gt;J51,L60,J60))</f>
        <v>0</v>
      </c>
      <c r="O46" s="2625" t="s">
        <v>2859</v>
      </c>
      <c r="P46" s="2626" t="s">
        <v>2860</v>
      </c>
      <c r="Q46" s="2627" t="s">
        <v>2858</v>
      </c>
      <c r="R46" s="2627" t="s">
        <v>2861</v>
      </c>
    </row>
    <row r="47" spans="1:18" s="1482" customFormat="1" ht="15.75" thickBot="1">
      <c r="A47" s="2425" t="s">
        <v>1152</v>
      </c>
      <c r="B47" s="2461" t="s">
        <v>1153</v>
      </c>
      <c r="C47" s="2461" t="s">
        <v>1154</v>
      </c>
      <c r="D47" s="2461" t="s">
        <v>1155</v>
      </c>
      <c r="E47" s="2565" t="s">
        <v>1156</v>
      </c>
      <c r="F47" s="2566"/>
      <c r="G47" s="1484"/>
      <c r="I47" s="2584" t="s">
        <v>2807</v>
      </c>
      <c r="J47" s="2585" t="s">
        <v>131</v>
      </c>
      <c r="K47" s="2594" t="s">
        <v>2830</v>
      </c>
      <c r="L47" s="2595" t="e">
        <f ca="1">INDIRECT("'数据-取费表'!d"&amp;$G$1)</f>
        <v>#N/A</v>
      </c>
      <c r="M47" s="2615" t="str">
        <f>IF(ISNUMBER(FIND("住宅",C1)),"住宅","非住宅")</f>
        <v>住宅</v>
      </c>
      <c r="O47" s="2618" t="s">
        <v>2843</v>
      </c>
      <c r="P47" s="2628" t="s">
        <v>2862</v>
      </c>
      <c r="Q47" s="2619" t="e">
        <f ca="1">C40+J29</f>
        <v>#N/A</v>
      </c>
      <c r="R47" s="2619" t="s">
        <v>2863</v>
      </c>
    </row>
    <row r="48" spans="1:18" s="1482" customFormat="1" ht="47.25" thickBot="1">
      <c r="A48" s="2747" t="s">
        <v>3024</v>
      </c>
      <c r="B48" s="687" t="s">
        <v>2707</v>
      </c>
      <c r="C48" s="2757" t="e">
        <f ca="1">C49+C53+C55</f>
        <v>#N/A</v>
      </c>
      <c r="D48" s="2751"/>
      <c r="E48" s="2752"/>
      <c r="F48" s="2445"/>
      <c r="G48" s="1484"/>
      <c r="H48" s="1485"/>
      <c r="I48" s="2574" t="s">
        <v>2808</v>
      </c>
      <c r="J48" s="2586" t="s">
        <v>2809</v>
      </c>
      <c r="K48" s="2596" t="s">
        <v>912</v>
      </c>
      <c r="L48" s="2191" t="e">
        <f ca="1">INDIRECT("'数据-取费表'!f"&amp;$G$1)</f>
        <v>#N/A</v>
      </c>
      <c r="O48" s="2618" t="s">
        <v>2844</v>
      </c>
      <c r="P48" s="2628" t="s">
        <v>2864</v>
      </c>
      <c r="Q48" s="2619" t="e">
        <f ca="1">J60</f>
        <v>#N/A</v>
      </c>
      <c r="R48" s="2619" t="s">
        <v>2872</v>
      </c>
    </row>
    <row r="49" spans="1:18" s="1482" customFormat="1" ht="15.75" thickBot="1">
      <c r="A49" s="2458" t="s">
        <v>3025</v>
      </c>
      <c r="B49" s="2750" t="s">
        <v>3027</v>
      </c>
      <c r="C49" s="2759" t="e">
        <f ca="1">ROUND(F49*F51*F50*(1-F52),0)</f>
        <v>#N/A</v>
      </c>
      <c r="D49" s="2561" t="s">
        <v>2708</v>
      </c>
      <c r="E49" s="2564" t="s">
        <v>2701</v>
      </c>
      <c r="F49" s="2567">
        <v>1500</v>
      </c>
      <c r="G49" s="1486"/>
      <c r="H49" s="1485"/>
      <c r="I49" s="2574" t="s">
        <v>2828</v>
      </c>
      <c r="J49" s="2587">
        <v>2002</v>
      </c>
      <c r="K49" s="2597" t="s">
        <v>2833</v>
      </c>
      <c r="L49" s="2598">
        <v>0</v>
      </c>
      <c r="O49" s="2620" t="s">
        <v>2845</v>
      </c>
      <c r="P49" s="2628" t="s">
        <v>2865</v>
      </c>
      <c r="Q49" s="2619" t="e">
        <f ca="1">C29</f>
        <v>#N/A</v>
      </c>
      <c r="R49" s="2619" t="s">
        <v>2863</v>
      </c>
    </row>
    <row r="50" spans="1:18" s="1482" customFormat="1" ht="15.75" thickBot="1">
      <c r="A50" s="2459"/>
      <c r="B50" s="2462"/>
      <c r="C50" s="2463"/>
      <c r="D50" s="2432"/>
      <c r="E50" s="2562" t="s">
        <v>1158</v>
      </c>
      <c r="F50" s="2563" t="e">
        <f ca="1">F7</f>
        <v>#N/A</v>
      </c>
      <c r="H50" s="1485"/>
      <c r="I50" s="2574" t="s">
        <v>2810</v>
      </c>
      <c r="J50" s="2588">
        <f>SUMPRODUCT((I63:I65=J47)*(J62:L62=J48)*(J63:L65))</f>
        <v>60</v>
      </c>
      <c r="K50" s="2597" t="s">
        <v>2834</v>
      </c>
      <c r="L50" s="2598">
        <v>0</v>
      </c>
      <c r="M50" s="2592"/>
      <c r="O50" s="2620" t="s">
        <v>2846</v>
      </c>
      <c r="P50" s="2628" t="s">
        <v>2873</v>
      </c>
      <c r="Q50" s="2621">
        <f>J58</f>
        <v>0.6</v>
      </c>
      <c r="R50" s="2619"/>
    </row>
    <row r="51" spans="1:18" s="1482" customFormat="1" ht="15.75" thickBot="1">
      <c r="A51" s="2460"/>
      <c r="B51" s="2462"/>
      <c r="C51" s="2463"/>
      <c r="D51" s="2432"/>
      <c r="E51" s="2464" t="s">
        <v>1159</v>
      </c>
      <c r="F51" s="690" t="e">
        <f ca="1">F8</f>
        <v>#N/A</v>
      </c>
      <c r="I51" s="2589" t="s">
        <v>2815</v>
      </c>
      <c r="J51" s="2590">
        <f>IF(J49="",J50,J49+J50-YEAR('数据-取费表'!B2))</f>
        <v>45</v>
      </c>
      <c r="K51" s="2599" t="s">
        <v>2835</v>
      </c>
      <c r="L51" s="2612" t="e">
        <f ca="1">ROUND(-PV(INDIRECT("'数据-取费表'!h"&amp;$G$1),L48,(C39-C13*C76),0),0)</f>
        <v>#N/A</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J53</f>
        <v>45</v>
      </c>
      <c r="R52" s="2619" t="s">
        <v>2867</v>
      </c>
    </row>
    <row r="53" spans="1:18" s="1482" customFormat="1" ht="43.5" thickBot="1">
      <c r="A53" s="2748" t="s">
        <v>3026</v>
      </c>
      <c r="B53" s="2749" t="s">
        <v>2936</v>
      </c>
      <c r="C53" s="703" t="e">
        <f ca="1">ROUND(IF(F53="押一",F49*F51*F50/12*F11,IF(F53="押二",F49*F51*F50/12*2*F11,IF(F53="押三",F49*F51*F50/12*3*F11,C54*F11))),0)</f>
        <v>#N/A</v>
      </c>
      <c r="D53" s="2669" t="s">
        <v>2944</v>
      </c>
      <c r="E53" s="2120" t="s">
        <v>2938</v>
      </c>
      <c r="F53" s="2867" t="s">
        <v>3030</v>
      </c>
      <c r="I53" s="2601" t="s">
        <v>2841</v>
      </c>
      <c r="J53" s="2602">
        <f>IF(M47="住宅",J51,MIN(J51,L48))</f>
        <v>45</v>
      </c>
      <c r="K53" s="36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08"/>
      <c r="O53" s="2618" t="s">
        <v>2849</v>
      </c>
      <c r="P53" s="2628" t="s">
        <v>2868</v>
      </c>
      <c r="Q53" s="2619" t="e">
        <f ca="1">Q47+Q48</f>
        <v>#N/A</v>
      </c>
      <c r="R53" s="2619" t="s">
        <v>2850</v>
      </c>
    </row>
    <row r="54" spans="1:18" s="1482" customFormat="1" ht="16.5" thickBot="1">
      <c r="A54" s="2458"/>
      <c r="B54" s="2864" t="s">
        <v>3102</v>
      </c>
      <c r="C54" s="2442"/>
      <c r="D54" s="2669"/>
      <c r="E54" s="281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2753"/>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t="e">
        <f ca="1">C13</f>
        <v>#N/A</v>
      </c>
      <c r="D56" s="2734"/>
      <c r="E56" s="2438"/>
      <c r="F56" s="2568"/>
      <c r="I56" s="2573" t="s">
        <v>2818</v>
      </c>
      <c r="J56" s="2603" t="s">
        <v>44</v>
      </c>
      <c r="K56" s="2574" t="s">
        <v>2822</v>
      </c>
      <c r="L56" s="2191" t="e">
        <f ca="1">IF(L48&lt;J51,"——",L48-J51)</f>
        <v>#N/A</v>
      </c>
      <c r="O56" s="2618" t="s">
        <v>2843</v>
      </c>
      <c r="P56" s="2628" t="s">
        <v>2862</v>
      </c>
      <c r="Q56" s="2619" t="e">
        <f ca="1">C40+J29</f>
        <v>#N/A</v>
      </c>
      <c r="R56" s="2619" t="s">
        <v>2863</v>
      </c>
    </row>
    <row r="57" spans="1:18" s="1482" customFormat="1" ht="29.25" thickBot="1">
      <c r="A57" s="2569"/>
      <c r="B57" s="2429" t="s">
        <v>1210</v>
      </c>
      <c r="C57" s="619" t="e">
        <f ca="1">C29</f>
        <v>#N/A</v>
      </c>
      <c r="D57" s="2440"/>
      <c r="E57" s="2441"/>
      <c r="F57" s="2570"/>
      <c r="I57" s="2575" t="s">
        <v>2840</v>
      </c>
      <c r="J57" s="2579" t="e">
        <f ca="1">IF(OR(M47="住宅",J51&lt;L48,J56="是"),"——",J51-L48)</f>
        <v>#N/A</v>
      </c>
      <c r="K57" s="2574" t="s">
        <v>2832</v>
      </c>
      <c r="L57" s="2191" t="e">
        <f ca="1">IF(L48&lt;J51,"——",IF(L55="比较法",L49,IF(L55="基准地价",L50,L51)))</f>
        <v>#N/A</v>
      </c>
      <c r="O57" s="2618" t="s">
        <v>2844</v>
      </c>
      <c r="P57" s="2628" t="s">
        <v>2869</v>
      </c>
      <c r="Q57" s="2619" t="e">
        <f ca="1">L60</f>
        <v>#N/A</v>
      </c>
      <c r="R57" s="2619" t="s">
        <v>2884</v>
      </c>
    </row>
    <row r="58" spans="1:18" s="1482" customFormat="1" ht="29.25" thickBot="1">
      <c r="A58" s="702" t="s">
        <v>2713</v>
      </c>
      <c r="B58" s="2437" t="s">
        <v>1168</v>
      </c>
      <c r="C58" s="703" t="e">
        <f ca="1">ROUND(C59+C64+C65+C66,0)</f>
        <v>#N/A</v>
      </c>
      <c r="D58" s="2443" t="s">
        <v>1169</v>
      </c>
      <c r="E58" s="2444"/>
      <c r="F58" s="2445"/>
      <c r="I58" s="2575" t="s">
        <v>2819</v>
      </c>
      <c r="J58" s="2580">
        <v>0.6</v>
      </c>
      <c r="K58" s="2599" t="s">
        <v>2842</v>
      </c>
      <c r="L58" s="2191">
        <f ca="1">IF(ISERROR(POWER(1+L52,L47-L48)*(POWER(1+L52,L48)-1)/(POWER(1+L52,L47)-1)),0,POWER(1+L52,L47-L48)*(POWER(1+L52,L48)-1)/(POWER(1+L52,L47)-1))</f>
        <v>0</v>
      </c>
      <c r="O58" s="2620" t="s">
        <v>2845</v>
      </c>
      <c r="P58" s="2628" t="s">
        <v>2876</v>
      </c>
      <c r="Q58" s="2619">
        <f>IF(L55="比较法",L49,IF(L55="基准地价",L50,0))</f>
        <v>0</v>
      </c>
      <c r="R58" s="2619" t="s">
        <v>2863</v>
      </c>
    </row>
    <row r="59" spans="1:18" s="1482" customFormat="1" ht="29.25" thickBot="1">
      <c r="A59" s="2465" t="s">
        <v>2748</v>
      </c>
      <c r="B59" s="2429" t="s">
        <v>532</v>
      </c>
      <c r="C59" s="319" t="e">
        <f ca="1">ROUND(IF(项目基本情况!B11="自然人",C48*F59,C60+C61+C62),0)</f>
        <v>#N/A</v>
      </c>
      <c r="D59" s="2446" t="s">
        <v>1172</v>
      </c>
      <c r="E59" s="2447" t="s">
        <v>1173</v>
      </c>
      <c r="F59" s="713" t="str">
        <f ca="1">IF(项目基本情况!B11="企业","",IF(INDIRECT("'数据-取费表'!c"&amp;$G$1)="住宅",4.5%,IF(F49*F50*F51/12&gt;20000,11%,6%)))</f>
        <v/>
      </c>
      <c r="I59" s="2575" t="s">
        <v>2820</v>
      </c>
      <c r="J59" s="2579" t="e">
        <f ca="1">IF(OR(M47="住宅",J51&lt;L48,J56="是"),"——",ROUND(C29*J58,0))</f>
        <v>#N/A</v>
      </c>
      <c r="K59" s="2599" t="s">
        <v>2829</v>
      </c>
      <c r="L59" s="2191">
        <f ca="1">IF(ISERROR(POWER(1+L52,L47-J51)*(POWER(1+L52,J51)-1)/(POWER(1+L52,L47)-1)),0,POWER(1+L52,L47-J51)*(POWER(1+L52,J51)-1)/(POWER(1+L52,L47)-1))</f>
        <v>0</v>
      </c>
      <c r="O59" s="2620" t="s">
        <v>2846</v>
      </c>
      <c r="P59" s="2628" t="s">
        <v>2877</v>
      </c>
      <c r="Q59" s="2621">
        <f>L52</f>
        <v>0.04</v>
      </c>
      <c r="R59" s="2619"/>
    </row>
    <row r="60" spans="1:18" s="1482" customFormat="1" ht="20.25" thickBot="1">
      <c r="A60" s="2465" t="s">
        <v>2745</v>
      </c>
      <c r="B60" s="2429" t="s">
        <v>1174</v>
      </c>
      <c r="C60" s="319" t="e">
        <f ca="1">IF(项目基本情况!B11="自然人","——",ROUND(C48*F60/(1+'数据-取费表'!B42),0))</f>
        <v>#N/A</v>
      </c>
      <c r="D60" s="2447" t="s">
        <v>1175</v>
      </c>
      <c r="E60" s="2429" t="s">
        <v>534</v>
      </c>
      <c r="F60" s="722">
        <f t="shared" ref="F60:F66" si="0">F32</f>
        <v>5.6000000000000001E-2</v>
      </c>
      <c r="I60" s="2576" t="s">
        <v>2821</v>
      </c>
      <c r="J60" s="2581" t="e">
        <f ca="1">IF(OR(M47="住宅",J51&lt;L48,J56="是"),"0",ROUND(J59/(1+J52)^J53,0))</f>
        <v>#N/A</v>
      </c>
      <c r="K60" s="2583" t="s">
        <v>2824</v>
      </c>
      <c r="L60" s="2581" t="e">
        <f ca="1">IF(OR(M47="住宅",L48&lt;J51),0,ROUND(L57*(L58/L59-1),0))</f>
        <v>#N/A</v>
      </c>
      <c r="O60" s="2620" t="s">
        <v>2847</v>
      </c>
      <c r="P60" s="2628" t="s">
        <v>2878</v>
      </c>
      <c r="Q60" s="2619">
        <f ca="1">L58</f>
        <v>0</v>
      </c>
      <c r="R60" s="2619" t="s">
        <v>2852</v>
      </c>
    </row>
    <row r="61" spans="1:18" s="1482" customFormat="1" ht="20.25" thickBot="1">
      <c r="A61" s="2465" t="s">
        <v>2746</v>
      </c>
      <c r="B61" s="2429" t="s">
        <v>1177</v>
      </c>
      <c r="C61" s="319" t="e">
        <f ca="1">IF(项目基本情况!B11="自然人","——",IF(D61="按租金收入计税",ROUND(C48*F61,0),IF(D61="按房产原值计税",ROUND(C57*F61*0.7,0),INDIRECT("'数据-取费表'!Aj"&amp;$G$1))))</f>
        <v>#N/A</v>
      </c>
      <c r="D61" s="1307" t="s">
        <v>2796</v>
      </c>
      <c r="E61" s="2429" t="s">
        <v>534</v>
      </c>
      <c r="F61" s="712">
        <f t="shared" si="0"/>
        <v>1.2E-2</v>
      </c>
      <c r="I61" s="2439"/>
      <c r="J61" s="2439"/>
      <c r="K61" s="2439"/>
      <c r="L61" s="2439"/>
      <c r="O61" s="2620" t="s">
        <v>2848</v>
      </c>
      <c r="P61" s="2628" t="s">
        <v>2879</v>
      </c>
      <c r="Q61" s="2619">
        <f ca="1">L59</f>
        <v>0</v>
      </c>
      <c r="R61" s="2619" t="s">
        <v>2853</v>
      </c>
    </row>
    <row r="62" spans="1:18" s="1482" customFormat="1" ht="15.75" thickBot="1">
      <c r="A62" s="2465" t="s">
        <v>2747</v>
      </c>
      <c r="B62" s="2428" t="s">
        <v>1179</v>
      </c>
      <c r="C62" s="320" t="e">
        <f ca="1">IF(项目基本情况!B11="自然人","——",ROUND(F62*F63,0))</f>
        <v>#N/A</v>
      </c>
      <c r="D62" s="2448" t="s">
        <v>1180</v>
      </c>
      <c r="E62" s="2429" t="s">
        <v>1181</v>
      </c>
      <c r="F62" s="716">
        <f t="shared" si="0"/>
        <v>12</v>
      </c>
      <c r="I62" s="2577" t="s">
        <v>2811</v>
      </c>
      <c r="J62" s="2578" t="s">
        <v>2812</v>
      </c>
      <c r="K62" s="2578" t="s">
        <v>2813</v>
      </c>
      <c r="L62" s="2578" t="s">
        <v>2809</v>
      </c>
      <c r="O62" s="2618" t="s">
        <v>2849</v>
      </c>
      <c r="P62" s="2628" t="s">
        <v>2868</v>
      </c>
      <c r="Q62" s="2619" t="e">
        <f ca="1">Q56+Q57</f>
        <v>#N/A</v>
      </c>
      <c r="R62" s="2619" t="s">
        <v>2850</v>
      </c>
    </row>
    <row r="63" spans="1:18" s="1482" customFormat="1" ht="16.5" thickBot="1">
      <c r="A63" s="717"/>
      <c r="B63" s="2435"/>
      <c r="C63" s="324"/>
      <c r="D63" s="2449"/>
      <c r="E63" s="2429" t="s">
        <v>1185</v>
      </c>
      <c r="F63" s="690" t="e">
        <f t="shared" ca="1" si="0"/>
        <v>#N/A</v>
      </c>
      <c r="I63" s="2577" t="s">
        <v>2825</v>
      </c>
      <c r="J63" s="2578">
        <v>70</v>
      </c>
      <c r="K63" s="2578">
        <v>50</v>
      </c>
      <c r="L63" s="2578">
        <v>80</v>
      </c>
      <c r="O63" s="2622" t="s">
        <v>2882</v>
      </c>
      <c r="P63" s="1302"/>
      <c r="Q63" s="1302"/>
      <c r="R63" s="1302"/>
    </row>
    <row r="64" spans="1:18" s="1482" customFormat="1" ht="15.75" thickBot="1">
      <c r="A64" s="2465" t="s">
        <v>2755</v>
      </c>
      <c r="B64" s="2429" t="s">
        <v>1187</v>
      </c>
      <c r="C64" s="319" t="e">
        <f ca="1">ROUND(C57*F64,0)</f>
        <v>#N/A</v>
      </c>
      <c r="D64" s="2447" t="s">
        <v>1217</v>
      </c>
      <c r="E64" s="2429" t="s">
        <v>534</v>
      </c>
      <c r="F64" s="719" t="e">
        <f t="shared" ca="1" si="0"/>
        <v>#N/A</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t="e">
        <f ca="1">ROUND(C56*F65,0)</f>
        <v>#N/A</v>
      </c>
      <c r="D65" s="2447" t="s">
        <v>538</v>
      </c>
      <c r="E65" s="2429" t="s">
        <v>534</v>
      </c>
      <c r="F65" s="721" t="e">
        <f t="shared" ca="1" si="0"/>
        <v>#N/A</v>
      </c>
      <c r="I65" s="2577" t="s">
        <v>2827</v>
      </c>
      <c r="J65" s="2578">
        <v>40</v>
      </c>
      <c r="K65" s="2578">
        <v>30</v>
      </c>
      <c r="L65" s="2578">
        <v>50</v>
      </c>
      <c r="O65" s="2618" t="s">
        <v>2843</v>
      </c>
      <c r="P65" s="2628" t="s">
        <v>2862</v>
      </c>
      <c r="Q65" s="2619" t="e">
        <f ca="1">C40+J29</f>
        <v>#N/A</v>
      </c>
      <c r="R65" s="2619" t="s">
        <v>2863</v>
      </c>
    </row>
    <row r="66" spans="1:18" s="1482" customFormat="1" ht="20.25" thickBot="1">
      <c r="A66" s="2465" t="s">
        <v>2750</v>
      </c>
      <c r="B66" s="2429" t="s">
        <v>536</v>
      </c>
      <c r="C66" s="319" t="e">
        <f ca="1">ROUND(C48*F66,0)</f>
        <v>#N/A</v>
      </c>
      <c r="D66" s="2447" t="s">
        <v>540</v>
      </c>
      <c r="E66" s="2429" t="s">
        <v>534</v>
      </c>
      <c r="F66" s="699" t="e">
        <f t="shared" ca="1" si="0"/>
        <v>#N/A</v>
      </c>
      <c r="O66" s="2618" t="s">
        <v>2844</v>
      </c>
      <c r="P66" s="2628" t="s">
        <v>2869</v>
      </c>
      <c r="Q66" s="2619" t="e">
        <f ca="1">L60</f>
        <v>#N/A</v>
      </c>
      <c r="R66" s="2619" t="s">
        <v>2851</v>
      </c>
    </row>
    <row r="67" spans="1:18" s="1482" customFormat="1" ht="24.75" thickBot="1">
      <c r="A67" s="2436" t="s">
        <v>2728</v>
      </c>
      <c r="B67" s="2450" t="s">
        <v>546</v>
      </c>
      <c r="C67" s="703" t="e">
        <f ca="1">C48-C58</f>
        <v>#N/A</v>
      </c>
      <c r="D67" s="2446" t="s">
        <v>547</v>
      </c>
      <c r="E67" s="2451"/>
      <c r="F67" s="2452"/>
      <c r="O67" s="2620" t="s">
        <v>2845</v>
      </c>
      <c r="P67" s="2628" t="s">
        <v>2876</v>
      </c>
      <c r="Q67" s="2623" t="e">
        <f ca="1">L51</f>
        <v>#N/A</v>
      </c>
      <c r="R67" s="2624" t="s">
        <v>2886</v>
      </c>
    </row>
    <row r="68" spans="1:18" s="1482" customFormat="1" ht="20.25" thickBot="1">
      <c r="A68" s="2426" t="s">
        <v>2731</v>
      </c>
      <c r="B68" s="2427" t="s">
        <v>548</v>
      </c>
      <c r="C68" s="688" t="e">
        <f ca="1">ROUND(C67*(1-((1+F70)/(1+F68))^F69)/(F68-F70),0)</f>
        <v>#N/A</v>
      </c>
      <c r="D68" s="2448" t="s">
        <v>542</v>
      </c>
      <c r="E68" s="2429" t="s">
        <v>543</v>
      </c>
      <c r="F68" s="699" t="e">
        <f ca="1">F40</f>
        <v>#N/A</v>
      </c>
      <c r="O68" s="2620" t="s">
        <v>2846</v>
      </c>
      <c r="P68" s="2629" t="s">
        <v>2880</v>
      </c>
      <c r="Q68" s="2619" t="e">
        <f ca="1">ROUND(Q69-Q70*Q71,0)</f>
        <v>#N/A</v>
      </c>
      <c r="R68" s="2619" t="s">
        <v>2885</v>
      </c>
    </row>
    <row r="69" spans="1:18" s="1482" customFormat="1" ht="15.75" thickBot="1">
      <c r="A69" s="2430"/>
      <c r="B69" s="2431"/>
      <c r="C69" s="693"/>
      <c r="D69" s="2453" t="s">
        <v>1202</v>
      </c>
      <c r="E69" s="2429" t="s">
        <v>550</v>
      </c>
      <c r="F69" s="724" t="e">
        <f ca="1">F41</f>
        <v>#N/A</v>
      </c>
      <c r="O69" s="2620" t="s">
        <v>2854</v>
      </c>
      <c r="P69" s="2629" t="s">
        <v>2870</v>
      </c>
      <c r="Q69" s="2619" t="e">
        <f ca="1">C39</f>
        <v>#N/A</v>
      </c>
      <c r="R69" s="2619" t="s">
        <v>2863</v>
      </c>
    </row>
    <row r="70" spans="1:18" s="1482" customFormat="1" ht="15.75" thickBot="1">
      <c r="A70" s="2433"/>
      <c r="B70" s="2434"/>
      <c r="C70" s="697"/>
      <c r="D70" s="2449"/>
      <c r="E70" s="2429" t="s">
        <v>551</v>
      </c>
      <c r="F70" s="2560" t="e">
        <f ca="1">F42</f>
        <v>#N/A</v>
      </c>
      <c r="O70" s="2620" t="s">
        <v>2855</v>
      </c>
      <c r="P70" s="2629" t="s">
        <v>2871</v>
      </c>
      <c r="Q70" s="2619" t="e">
        <f ca="1">C13</f>
        <v>#N/A</v>
      </c>
      <c r="R70" s="2619" t="s">
        <v>2863</v>
      </c>
    </row>
    <row r="71" spans="1:18" s="1482" customFormat="1" ht="15.75" thickBot="1">
      <c r="A71" s="2454" t="s">
        <v>2738</v>
      </c>
      <c r="B71" s="2455" t="s">
        <v>552</v>
      </c>
      <c r="C71" s="727" t="e">
        <f ca="1">ROUND(C68/F71,0)</f>
        <v>#N/A</v>
      </c>
      <c r="D71" s="2456" t="s">
        <v>553</v>
      </c>
      <c r="E71" s="2457" t="s">
        <v>554</v>
      </c>
      <c r="F71" s="730" t="e">
        <f ca="1">F43</f>
        <v>#N/A</v>
      </c>
      <c r="I71" s="2424"/>
      <c r="K71" s="2424"/>
      <c r="O71" s="2620" t="s">
        <v>2856</v>
      </c>
      <c r="P71" s="2629" t="s">
        <v>2883</v>
      </c>
      <c r="Q71" s="2621" t="e">
        <f ca="1">C76</f>
        <v>#N/A</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v>
      </c>
      <c r="R73" s="2619" t="s">
        <v>2852</v>
      </c>
    </row>
    <row r="74" spans="1:18" ht="20.25" thickBot="1">
      <c r="A74" s="1482"/>
      <c r="B74" s="732" t="s">
        <v>555</v>
      </c>
      <c r="C74" s="733"/>
      <c r="D74" s="1482"/>
      <c r="E74" s="1482"/>
      <c r="F74" s="1482"/>
      <c r="O74" s="2620" t="s">
        <v>2887</v>
      </c>
      <c r="P74" s="2628" t="s">
        <v>2879</v>
      </c>
      <c r="Q74" s="2619">
        <f ca="1">L59</f>
        <v>0</v>
      </c>
      <c r="R74" s="2619" t="s">
        <v>2853</v>
      </c>
    </row>
    <row r="75" spans="1:18" ht="15.75" thickBot="1">
      <c r="A75" s="1482"/>
      <c r="B75" s="734" t="s">
        <v>1215</v>
      </c>
      <c r="C75" s="735" t="e">
        <f ca="1">ROUND(C13*C76,0)</f>
        <v>#N/A</v>
      </c>
      <c r="D75" s="1482"/>
      <c r="E75" s="1482"/>
      <c r="F75" s="1482"/>
      <c r="K75" s="1483"/>
      <c r="L75" s="1482"/>
      <c r="O75" s="2618" t="s">
        <v>2849</v>
      </c>
      <c r="P75" s="2628" t="s">
        <v>2868</v>
      </c>
      <c r="Q75" s="2619" t="e">
        <f ca="1">Q65+Q66</f>
        <v>#N/A</v>
      </c>
      <c r="R75" s="2619" t="s">
        <v>2850</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t="e">
        <f ca="1">1-C80</f>
        <v>#N/A</v>
      </c>
    </row>
    <row r="80" spans="1:18">
      <c r="B80" s="2912" t="s">
        <v>3112</v>
      </c>
      <c r="C80" s="655" t="e">
        <f ca="1">ROUND(C75/C39,3)</f>
        <v>#N/A</v>
      </c>
    </row>
    <row r="81" spans="2:3">
      <c r="B81" s="651" t="s">
        <v>556</v>
      </c>
      <c r="C81" s="652"/>
    </row>
    <row r="82" spans="2:3">
      <c r="B82" s="2911" t="s">
        <v>3109</v>
      </c>
      <c r="C82" s="656" t="e">
        <f ca="1">1-C83</f>
        <v>#N/A</v>
      </c>
    </row>
    <row r="83" spans="2:3">
      <c r="B83" s="2911" t="s">
        <v>3108</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26" t="s">
        <v>2953</v>
      </c>
      <c r="B1" s="3627"/>
      <c r="C1" s="3628"/>
      <c r="D1" s="3629">
        <f>SUM(I10,I15,I20,I21,I23)</f>
        <v>0</v>
      </c>
      <c r="E1" s="3629"/>
      <c r="F1" s="3629"/>
      <c r="G1" s="3629"/>
      <c r="H1" s="3629"/>
      <c r="I1" s="3630"/>
    </row>
    <row r="2" spans="1:9">
      <c r="A2" s="3616" t="s">
        <v>2954</v>
      </c>
      <c r="B2" s="3617" t="s">
        <v>2955</v>
      </c>
      <c r="C2" s="3617"/>
      <c r="D2" s="2673" t="s">
        <v>2956</v>
      </c>
      <c r="E2" s="2673" t="s">
        <v>2957</v>
      </c>
      <c r="F2" s="2673" t="s">
        <v>2958</v>
      </c>
      <c r="G2" s="2673" t="s">
        <v>2959</v>
      </c>
      <c r="H2" s="2673" t="s">
        <v>2960</v>
      </c>
      <c r="I2" s="2674" t="s">
        <v>2961</v>
      </c>
    </row>
    <row r="3" spans="1:9">
      <c r="A3" s="3616"/>
      <c r="B3" s="3617" t="s">
        <v>2962</v>
      </c>
      <c r="C3" s="3617"/>
      <c r="D3" s="2675"/>
      <c r="E3" s="2673"/>
      <c r="F3" s="2676"/>
      <c r="G3" s="2676"/>
      <c r="H3" s="2677"/>
      <c r="I3" s="2678">
        <f>ROUND(D3*E3*F3*G3*H3/10000,0)</f>
        <v>0</v>
      </c>
    </row>
    <row r="4" spans="1:9">
      <c r="A4" s="3616"/>
      <c r="B4" s="3617" t="s">
        <v>2963</v>
      </c>
      <c r="C4" s="3617"/>
      <c r="D4" s="2675"/>
      <c r="E4" s="2673"/>
      <c r="F4" s="2676"/>
      <c r="G4" s="2676"/>
      <c r="H4" s="2677"/>
      <c r="I4" s="2678">
        <f t="shared" ref="I4:I9" si="0">ROUND(D4*E4*F4*G4*H4/10000,0)</f>
        <v>0</v>
      </c>
    </row>
    <row r="5" spans="1:9">
      <c r="A5" s="3616"/>
      <c r="B5" s="3617" t="s">
        <v>2964</v>
      </c>
      <c r="C5" s="3617"/>
      <c r="D5" s="2675"/>
      <c r="E5" s="2673"/>
      <c r="F5" s="2676"/>
      <c r="G5" s="2676"/>
      <c r="H5" s="2677"/>
      <c r="I5" s="2678">
        <f t="shared" si="0"/>
        <v>0</v>
      </c>
    </row>
    <row r="6" spans="1:9">
      <c r="A6" s="3616"/>
      <c r="B6" s="3617" t="s">
        <v>2965</v>
      </c>
      <c r="C6" s="3617"/>
      <c r="D6" s="2675"/>
      <c r="E6" s="2673"/>
      <c r="F6" s="2676"/>
      <c r="G6" s="2676"/>
      <c r="H6" s="2677"/>
      <c r="I6" s="2678">
        <f t="shared" si="0"/>
        <v>0</v>
      </c>
    </row>
    <row r="7" spans="1:9">
      <c r="A7" s="3616"/>
      <c r="B7" s="3617" t="s">
        <v>2966</v>
      </c>
      <c r="C7" s="3617"/>
      <c r="D7" s="2675"/>
      <c r="E7" s="2673"/>
      <c r="F7" s="2676"/>
      <c r="G7" s="2676"/>
      <c r="H7" s="2677"/>
      <c r="I7" s="2678">
        <f t="shared" si="0"/>
        <v>0</v>
      </c>
    </row>
    <row r="8" spans="1:9">
      <c r="A8" s="3616"/>
      <c r="B8" s="3617" t="s">
        <v>2967</v>
      </c>
      <c r="C8" s="3617"/>
      <c r="D8" s="2675"/>
      <c r="E8" s="2673"/>
      <c r="F8" s="2676"/>
      <c r="G8" s="2676"/>
      <c r="H8" s="2677"/>
      <c r="I8" s="2678">
        <f t="shared" si="0"/>
        <v>0</v>
      </c>
    </row>
    <row r="9" spans="1:9">
      <c r="A9" s="3616"/>
      <c r="B9" s="3617" t="s">
        <v>2968</v>
      </c>
      <c r="C9" s="3617"/>
      <c r="D9" s="2675"/>
      <c r="E9" s="2673"/>
      <c r="F9" s="2676"/>
      <c r="G9" s="2676"/>
      <c r="H9" s="2677"/>
      <c r="I9" s="2678">
        <f t="shared" si="0"/>
        <v>0</v>
      </c>
    </row>
    <row r="10" spans="1:9">
      <c r="A10" s="3616"/>
      <c r="B10" s="3618" t="s">
        <v>2969</v>
      </c>
      <c r="C10" s="3618"/>
      <c r="D10" s="2679">
        <v>527</v>
      </c>
      <c r="E10" s="2679" t="e">
        <f>ROUND(D1*10000/D10/H9,0)</f>
        <v>#DIV/0!</v>
      </c>
      <c r="F10" s="2680"/>
      <c r="G10" s="2680"/>
      <c r="H10" s="2681"/>
      <c r="I10" s="2682">
        <f>SUM(I3:I9)</f>
        <v>0</v>
      </c>
    </row>
    <row r="11" spans="1:9" ht="14.25">
      <c r="A11" s="3616" t="s">
        <v>2970</v>
      </c>
      <c r="B11" s="3617" t="s">
        <v>2971</v>
      </c>
      <c r="C11" s="3617"/>
      <c r="D11" s="2675" t="s">
        <v>2972</v>
      </c>
      <c r="E11" s="2675" t="s">
        <v>2973</v>
      </c>
      <c r="F11" s="2676" t="s">
        <v>2974</v>
      </c>
      <c r="G11" s="2676" t="s">
        <v>2960</v>
      </c>
      <c r="H11" s="2683" t="s">
        <v>2975</v>
      </c>
      <c r="I11" s="2674" t="s">
        <v>2961</v>
      </c>
    </row>
    <row r="12" spans="1:9">
      <c r="A12" s="3616"/>
      <c r="B12" s="3617" t="s">
        <v>2976</v>
      </c>
      <c r="C12" s="3617"/>
      <c r="D12" s="2675"/>
      <c r="E12" s="2675"/>
      <c r="F12" s="2676"/>
      <c r="G12" s="2677"/>
      <c r="H12" s="2684"/>
      <c r="I12" s="2674">
        <f>ROUND(D12*E12*F12*G12/10000,0)</f>
        <v>0</v>
      </c>
    </row>
    <row r="13" spans="1:9">
      <c r="A13" s="3616"/>
      <c r="B13" s="3617" t="s">
        <v>2977</v>
      </c>
      <c r="C13" s="3617"/>
      <c r="D13" s="2675"/>
      <c r="E13" s="2675"/>
      <c r="F13" s="2676"/>
      <c r="G13" s="2677"/>
      <c r="H13" s="2684"/>
      <c r="I13" s="2674">
        <f>ROUND(D13*E13*F13*G13/10000,0)</f>
        <v>0</v>
      </c>
    </row>
    <row r="14" spans="1:9">
      <c r="A14" s="3616"/>
      <c r="B14" s="3617" t="s">
        <v>2978</v>
      </c>
      <c r="C14" s="3617"/>
      <c r="D14" s="2675"/>
      <c r="E14" s="2675"/>
      <c r="F14" s="2676"/>
      <c r="G14" s="2677"/>
      <c r="H14" s="2684"/>
      <c r="I14" s="2674">
        <f>ROUND(D14*E14*F14*G14/10000,0)</f>
        <v>0</v>
      </c>
    </row>
    <row r="15" spans="1:9">
      <c r="A15" s="3616"/>
      <c r="B15" s="3618" t="s">
        <v>2969</v>
      </c>
      <c r="C15" s="3618"/>
      <c r="D15" s="2679"/>
      <c r="E15" s="2679">
        <f>SUM(E12:E14)</f>
        <v>0</v>
      </c>
      <c r="F15" s="2680"/>
      <c r="G15" s="2677"/>
      <c r="H15" s="2684"/>
      <c r="I15" s="2685">
        <f>SUM(I12:I14)</f>
        <v>0</v>
      </c>
    </row>
    <row r="16" spans="1:9" ht="24">
      <c r="A16" s="3616" t="s">
        <v>2979</v>
      </c>
      <c r="B16" s="3617" t="s">
        <v>2980</v>
      </c>
      <c r="C16" s="3617"/>
      <c r="D16" s="2675" t="s">
        <v>2956</v>
      </c>
      <c r="E16" s="2686" t="s">
        <v>2981</v>
      </c>
      <c r="F16" s="2676" t="s">
        <v>2982</v>
      </c>
      <c r="G16" s="2677" t="s">
        <v>2960</v>
      </c>
      <c r="H16" s="2683" t="s">
        <v>2975</v>
      </c>
      <c r="I16" s="2674" t="s">
        <v>2961</v>
      </c>
    </row>
    <row r="17" spans="1:9" ht="14.25">
      <c r="A17" s="3616"/>
      <c r="B17" s="3617" t="s">
        <v>2983</v>
      </c>
      <c r="C17" s="3617"/>
      <c r="D17" s="2675"/>
      <c r="E17" s="2675"/>
      <c r="F17" s="2676"/>
      <c r="G17" s="2677"/>
      <c r="H17" s="2687"/>
      <c r="I17" s="2688">
        <f>ROUND(D17*E17*F17*G17/10000,0)</f>
        <v>0</v>
      </c>
    </row>
    <row r="18" spans="1:9" ht="14.25">
      <c r="A18" s="3616"/>
      <c r="B18" s="3617" t="s">
        <v>2984</v>
      </c>
      <c r="C18" s="3617"/>
      <c r="D18" s="2675"/>
      <c r="E18" s="2675"/>
      <c r="F18" s="2676"/>
      <c r="G18" s="2677"/>
      <c r="H18" s="2687"/>
      <c r="I18" s="2688">
        <f>ROUND(D18*E18*F18*G18/10000,0)</f>
        <v>0</v>
      </c>
    </row>
    <row r="19" spans="1:9" ht="14.25">
      <c r="A19" s="3616"/>
      <c r="B19" s="3617" t="s">
        <v>2985</v>
      </c>
      <c r="C19" s="3617"/>
      <c r="D19" s="2675"/>
      <c r="E19" s="2675"/>
      <c r="F19" s="2676"/>
      <c r="G19" s="2677"/>
      <c r="H19" s="2687"/>
      <c r="I19" s="2688">
        <f>ROUND(D19*E19*F19*G19/10000,0)</f>
        <v>0</v>
      </c>
    </row>
    <row r="20" spans="1:9">
      <c r="A20" s="3616"/>
      <c r="B20" s="3618" t="s">
        <v>2969</v>
      </c>
      <c r="C20" s="3618"/>
      <c r="D20" s="2679">
        <f>SUM(D17:D19)</f>
        <v>0</v>
      </c>
      <c r="E20" s="2679"/>
      <c r="F20" s="2680"/>
      <c r="G20" s="2677"/>
      <c r="H20" s="2684"/>
      <c r="I20" s="2685">
        <f>SUM(I17:I19)</f>
        <v>0</v>
      </c>
    </row>
    <row r="21" spans="1:9">
      <c r="A21" s="3616" t="s">
        <v>2986</v>
      </c>
      <c r="B21" s="3619"/>
      <c r="C21" s="3619"/>
      <c r="D21" s="3619"/>
      <c r="E21" s="3619"/>
      <c r="F21" s="3619"/>
      <c r="G21" s="3619"/>
      <c r="H21" s="2689">
        <v>0.1</v>
      </c>
      <c r="I21" s="2682">
        <f>ROUND(I10*H21,0)</f>
        <v>0</v>
      </c>
    </row>
    <row r="22" spans="1:9" ht="14.25">
      <c r="A22" s="3620" t="s">
        <v>2987</v>
      </c>
      <c r="B22" s="3621"/>
      <c r="C22" s="3622"/>
      <c r="D22" s="2690" t="s">
        <v>2988</v>
      </c>
      <c r="E22" s="2690" t="s">
        <v>2989</v>
      </c>
      <c r="F22" s="2691" t="s">
        <v>2990</v>
      </c>
      <c r="G22" s="2691" t="s">
        <v>2991</v>
      </c>
      <c r="H22" s="2683" t="s">
        <v>2992</v>
      </c>
      <c r="I22" s="2674" t="s">
        <v>2993</v>
      </c>
    </row>
    <row r="23" spans="1:9" ht="14.25" thickBot="1">
      <c r="A23" s="3623"/>
      <c r="B23" s="3624"/>
      <c r="C23" s="3625"/>
      <c r="D23" s="2692"/>
      <c r="E23" s="2692"/>
      <c r="F23" s="2692"/>
      <c r="G23" s="2693"/>
      <c r="H23" s="2694"/>
      <c r="I23" s="2695">
        <f>ROUND(E23*D23*F23*(1-G23)/10000,0)</f>
        <v>0</v>
      </c>
    </row>
    <row r="26" spans="1:9">
      <c r="A26" s="2696" t="s">
        <v>2994</v>
      </c>
      <c r="B26" s="2696"/>
      <c r="C26" s="2696"/>
      <c r="D26" s="2696"/>
      <c r="E26" s="3613">
        <f>C27-C30-C31-C32</f>
        <v>0</v>
      </c>
      <c r="F26" s="3613"/>
      <c r="G26" s="3613"/>
      <c r="H26" s="3293" t="s">
        <v>3372</v>
      </c>
    </row>
    <row r="27" spans="1:9">
      <c r="A27" s="2697">
        <v>1</v>
      </c>
      <c r="B27" s="2698" t="s">
        <v>2995</v>
      </c>
      <c r="C27" s="2698">
        <f>C28+C29</f>
        <v>0</v>
      </c>
      <c r="D27" s="2698"/>
      <c r="E27" s="3614"/>
      <c r="F27" s="3614"/>
      <c r="G27" s="3614"/>
    </row>
    <row r="28" spans="1:9">
      <c r="A28" s="2699" t="s">
        <v>2996</v>
      </c>
      <c r="B28" s="2698" t="s">
        <v>2997</v>
      </c>
      <c r="C28" s="2698"/>
      <c r="D28" s="2698"/>
      <c r="E28" s="3614"/>
      <c r="F28" s="3614"/>
      <c r="G28" s="3614"/>
    </row>
    <row r="29" spans="1:9">
      <c r="A29" s="2699" t="s">
        <v>2998</v>
      </c>
      <c r="B29" s="2698" t="s">
        <v>2999</v>
      </c>
      <c r="C29" s="2698"/>
      <c r="D29" s="2698"/>
      <c r="E29" s="2698" t="s">
        <v>3000</v>
      </c>
      <c r="F29" s="2698"/>
      <c r="G29" s="2698"/>
    </row>
    <row r="30" spans="1:9">
      <c r="A30" s="2697">
        <v>2</v>
      </c>
      <c r="B30" s="2698" t="s">
        <v>3001</v>
      </c>
      <c r="C30" s="2698">
        <f>C27*D30</f>
        <v>0</v>
      </c>
      <c r="D30" s="2700">
        <v>0.2</v>
      </c>
      <c r="E30" s="2698" t="s">
        <v>3002</v>
      </c>
      <c r="F30" s="2698"/>
      <c r="G30" s="2698"/>
    </row>
    <row r="31" spans="1:9">
      <c r="A31" s="2697">
        <v>3</v>
      </c>
      <c r="B31" s="2698" t="s">
        <v>3003</v>
      </c>
      <c r="C31" s="2698">
        <f>C25*D31</f>
        <v>0</v>
      </c>
      <c r="D31" s="2700">
        <v>0.15</v>
      </c>
      <c r="E31" s="2698" t="s">
        <v>3004</v>
      </c>
      <c r="F31" s="2698"/>
      <c r="G31" s="2698"/>
    </row>
    <row r="32" spans="1:9">
      <c r="A32" s="2697">
        <v>4</v>
      </c>
      <c r="B32" s="2698" t="s">
        <v>3005</v>
      </c>
      <c r="C32" s="2698">
        <f>C27*D32</f>
        <v>0</v>
      </c>
      <c r="D32" s="2700">
        <v>0.05</v>
      </c>
      <c r="E32" s="3615"/>
      <c r="F32" s="3615"/>
      <c r="G32" s="3615"/>
    </row>
    <row r="33" spans="1:7" hidden="1">
      <c r="A33" s="3610" t="s">
        <v>3006</v>
      </c>
      <c r="B33" s="3611"/>
      <c r="C33" s="3611"/>
      <c r="D33" s="3612"/>
      <c r="E33" s="3613"/>
      <c r="F33" s="3613"/>
      <c r="G33" s="3613"/>
    </row>
    <row r="34" spans="1:7" hidden="1">
      <c r="A34" s="2701">
        <v>1</v>
      </c>
      <c r="B34" s="2698" t="s">
        <v>3007</v>
      </c>
      <c r="C34" s="2698"/>
      <c r="D34" s="2698"/>
      <c r="E34" s="3614"/>
      <c r="F34" s="3614"/>
      <c r="G34" s="3614"/>
    </row>
    <row r="35" spans="1:7" hidden="1">
      <c r="A35" s="2701">
        <v>2</v>
      </c>
      <c r="B35" s="2698" t="s">
        <v>3008</v>
      </c>
      <c r="C35" s="2698"/>
      <c r="D35" s="2698"/>
      <c r="E35" s="3614"/>
      <c r="F35" s="3614"/>
      <c r="G35" s="3614"/>
    </row>
    <row r="36" spans="1:7" hidden="1">
      <c r="A36" s="2701">
        <v>3</v>
      </c>
      <c r="B36" s="2698" t="s">
        <v>3009</v>
      </c>
      <c r="C36" s="2698"/>
      <c r="D36" s="2698"/>
      <c r="E36" s="3614"/>
      <c r="F36" s="3614"/>
      <c r="G36" s="3614"/>
    </row>
    <row r="37" spans="1:7" hidden="1">
      <c r="A37" s="2701">
        <v>4</v>
      </c>
      <c r="B37" s="2698" t="s">
        <v>3010</v>
      </c>
      <c r="C37" s="2698"/>
      <c r="D37" s="2698"/>
      <c r="E37" s="3614"/>
      <c r="F37" s="3614"/>
      <c r="G37" s="3614"/>
    </row>
    <row r="38" spans="1:7" hidden="1">
      <c r="A38" s="3610" t="s">
        <v>3011</v>
      </c>
      <c r="B38" s="3611"/>
      <c r="C38" s="3611"/>
      <c r="D38" s="3612"/>
      <c r="E38" s="3613"/>
      <c r="F38" s="3613"/>
      <c r="G38" s="36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1220</v>
      </c>
      <c r="B1" s="3143" t="s">
        <v>1221</v>
      </c>
      <c r="C1" s="3144" t="s">
        <v>1222</v>
      </c>
      <c r="D1" s="3145" t="s">
        <v>372</v>
      </c>
      <c r="E1" s="3146"/>
      <c r="F1" s="3147" t="s">
        <v>3103</v>
      </c>
      <c r="G1" s="3149" t="s">
        <v>1223</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1224</v>
      </c>
      <c r="B2" s="2883" t="e">
        <f ca="1">IF(C2="——",ROUND(B3*D3/10000,0),ROUND(B3*D3/10000,0)-D2)</f>
        <v>#DIV/0!</v>
      </c>
      <c r="C2" s="3139" t="s">
        <v>3105</v>
      </c>
      <c r="D2" s="2760" t="e">
        <f ca="1">SUMIF(INDIRECT("'"&amp;F2&amp;"'"&amp;"!A:A"),"承租人权益价值",INDIRECT("'"&amp;F2&amp;"'"&amp;"!c:c"))</f>
        <v>#N/A</v>
      </c>
      <c r="E2" s="3140" t="s">
        <v>1109</v>
      </c>
      <c r="F2" s="3141" t="s">
        <v>3077</v>
      </c>
      <c r="G2" s="2317"/>
      <c r="H2" s="2317"/>
      <c r="I2" s="2317"/>
      <c r="J2" s="2317"/>
      <c r="K2" s="2319"/>
      <c r="L2" s="2320"/>
      <c r="M2" s="2321"/>
      <c r="N2" s="2321"/>
      <c r="O2" s="2321"/>
      <c r="P2" s="1343"/>
      <c r="Q2" s="1342"/>
      <c r="R2" s="1342"/>
      <c r="S2" s="1342"/>
      <c r="T2" s="1342"/>
      <c r="U2" s="1342"/>
      <c r="V2" s="1342"/>
      <c r="W2" s="1342"/>
      <c r="X2" s="1342"/>
      <c r="Y2" s="1342"/>
      <c r="Z2" s="1342"/>
      <c r="AA2" s="1342"/>
      <c r="AB2" s="1342"/>
      <c r="AC2" s="1344"/>
    </row>
    <row r="3" spans="1:29" s="89" customFormat="1" ht="28.5" customHeight="1" thickBot="1">
      <c r="A3" s="87" t="s">
        <v>1225</v>
      </c>
      <c r="B3" s="747" t="e">
        <f>C49</f>
        <v>#DIV/0!</v>
      </c>
      <c r="C3" s="142" t="s">
        <v>1226</v>
      </c>
      <c r="D3" s="747">
        <f>IF(D1="",'数据-汇总表'!E3,SUMIF('数据-汇总表'!$C19:$C33,D1,'数据-汇总表'!$E19:$E33))</f>
        <v>0</v>
      </c>
      <c r="E3" s="2317"/>
      <c r="F3" s="2318"/>
      <c r="G3" s="2317"/>
      <c r="H3" s="2317"/>
      <c r="I3" s="2317"/>
      <c r="J3" s="2317"/>
      <c r="K3" s="2319"/>
      <c r="L3" s="2320"/>
      <c r="M3" s="2321"/>
      <c r="N3" s="2321"/>
      <c r="O3" s="2321"/>
      <c r="P3" s="1343"/>
      <c r="Q3" s="1342"/>
      <c r="R3" s="1342"/>
      <c r="S3" s="1342"/>
      <c r="T3" s="1342"/>
      <c r="U3" s="1342"/>
      <c r="V3" s="1342"/>
      <c r="W3" s="1342"/>
      <c r="X3" s="1342"/>
      <c r="Y3" s="1342"/>
      <c r="Z3" s="1342"/>
      <c r="AA3" s="1342"/>
      <c r="AB3" s="1342"/>
      <c r="AC3" s="1345"/>
    </row>
    <row r="4" spans="1:29">
      <c r="A4" s="143" t="s">
        <v>1227</v>
      </c>
      <c r="B4" s="144"/>
      <c r="C4" s="3649" t="s">
        <v>1228</v>
      </c>
      <c r="D4" s="3650"/>
      <c r="E4" s="3651" t="s">
        <v>1229</v>
      </c>
      <c r="F4" s="3652"/>
      <c r="G4" s="3649" t="s">
        <v>1230</v>
      </c>
      <c r="H4" s="3650"/>
      <c r="I4" s="3649" t="s">
        <v>1231</v>
      </c>
      <c r="J4" s="3650"/>
      <c r="K4" s="145" t="s">
        <v>1232</v>
      </c>
      <c r="L4" s="2322"/>
      <c r="M4" s="2323"/>
      <c r="N4" s="2323"/>
      <c r="O4" s="2323"/>
      <c r="P4" s="3653" t="s">
        <v>1227</v>
      </c>
      <c r="Q4" s="3654"/>
      <c r="R4" s="3659" t="s">
        <v>1229</v>
      </c>
      <c r="S4" s="3660"/>
      <c r="T4" s="3659" t="s">
        <v>1230</v>
      </c>
      <c r="U4" s="3660"/>
      <c r="V4" s="3665" t="s">
        <v>1231</v>
      </c>
      <c r="W4" s="3665"/>
      <c r="X4" s="1346"/>
      <c r="Y4" s="3659" t="s">
        <v>1227</v>
      </c>
      <c r="Z4" s="3660"/>
      <c r="AA4" s="3646" t="s">
        <v>1229</v>
      </c>
      <c r="AB4" s="3646" t="s">
        <v>1230</v>
      </c>
      <c r="AC4" s="3646" t="s">
        <v>1231</v>
      </c>
    </row>
    <row r="5" spans="1:29">
      <c r="A5" s="146"/>
      <c r="B5" s="147"/>
      <c r="C5" s="3575" t="s">
        <v>1233</v>
      </c>
      <c r="D5" s="3576"/>
      <c r="E5" s="3582" t="s">
        <v>1234</v>
      </c>
      <c r="F5" s="3583"/>
      <c r="G5" s="3575" t="s">
        <v>1235</v>
      </c>
      <c r="H5" s="3576"/>
      <c r="I5" s="3575" t="s">
        <v>1236</v>
      </c>
      <c r="J5" s="3576"/>
      <c r="K5" s="152"/>
      <c r="L5" s="2322"/>
      <c r="M5" s="2323"/>
      <c r="N5" s="2323"/>
      <c r="O5" s="2323"/>
      <c r="P5" s="3655"/>
      <c r="Q5" s="3656"/>
      <c r="R5" s="3661"/>
      <c r="S5" s="3662"/>
      <c r="T5" s="3661"/>
      <c r="U5" s="3662"/>
      <c r="V5" s="3665"/>
      <c r="W5" s="3665"/>
      <c r="X5" s="1346"/>
      <c r="Y5" s="3661"/>
      <c r="Z5" s="3662"/>
      <c r="AA5" s="3647"/>
      <c r="AB5" s="3647"/>
      <c r="AC5" s="3647"/>
    </row>
    <row r="6" spans="1:29" ht="14.25" thickBot="1">
      <c r="A6" s="148"/>
      <c r="B6" s="149"/>
      <c r="C6" s="3580" t="s">
        <v>1237</v>
      </c>
      <c r="D6" s="3581"/>
      <c r="E6" s="3669" t="s">
        <v>1237</v>
      </c>
      <c r="F6" s="3670"/>
      <c r="G6" s="3580" t="s">
        <v>1237</v>
      </c>
      <c r="H6" s="3581"/>
      <c r="I6" s="3580" t="s">
        <v>1237</v>
      </c>
      <c r="J6" s="3581"/>
      <c r="K6" s="152" t="s">
        <v>1238</v>
      </c>
      <c r="L6" s="2322"/>
      <c r="M6" s="2323"/>
      <c r="N6" s="2323"/>
      <c r="O6" s="2323"/>
      <c r="P6" s="3657"/>
      <c r="Q6" s="3658"/>
      <c r="R6" s="3661"/>
      <c r="S6" s="3662"/>
      <c r="T6" s="3663"/>
      <c r="U6" s="3664"/>
      <c r="V6" s="3665"/>
      <c r="W6" s="3665"/>
      <c r="X6" s="1346"/>
      <c r="Y6" s="3663"/>
      <c r="Z6" s="3664"/>
      <c r="AA6" s="3648"/>
      <c r="AB6" s="3648"/>
      <c r="AC6" s="3648"/>
    </row>
    <row r="7" spans="1:29" s="40" customFormat="1" ht="15" thickBot="1">
      <c r="A7" s="1019" t="s">
        <v>1239</v>
      </c>
      <c r="B7" s="1020"/>
      <c r="C7" s="1021">
        <f>'数据-取费表'!B2</f>
        <v>42930</v>
      </c>
      <c r="D7" s="759">
        <v>100</v>
      </c>
      <c r="E7" s="1022">
        <v>42401</v>
      </c>
      <c r="F7" s="761">
        <f>SUMIF(58:58,YEAR(E7)&amp;"-"&amp;MONTH(E7),59:59)</f>
        <v>0</v>
      </c>
      <c r="G7" s="1023">
        <v>42309</v>
      </c>
      <c r="H7" s="759">
        <f>SUMIF(58:58,YEAR(G7)&amp;"-"&amp;MONTH(G7),59:59)</f>
        <v>0</v>
      </c>
      <c r="I7" s="1023">
        <v>42370</v>
      </c>
      <c r="J7" s="759">
        <f>SUMIF(58:58,YEAR(I7)&amp;"-"&amp;MONTH(I7),59:59)</f>
        <v>0</v>
      </c>
      <c r="K7" s="1347"/>
      <c r="L7" s="2324"/>
      <c r="M7" s="2286"/>
      <c r="N7" s="2286"/>
      <c r="O7" s="2286"/>
      <c r="P7" s="3666" t="s">
        <v>1239</v>
      </c>
      <c r="Q7" s="3668"/>
      <c r="R7" s="1348" t="s">
        <v>165</v>
      </c>
      <c r="S7" s="1349">
        <f t="shared" ref="S7:S15" si="0">F7</f>
        <v>0</v>
      </c>
      <c r="T7" s="1348" t="s">
        <v>165</v>
      </c>
      <c r="U7" s="1349">
        <f t="shared" ref="U7:U15" si="1">H7</f>
        <v>0</v>
      </c>
      <c r="V7" s="1348" t="s">
        <v>165</v>
      </c>
      <c r="W7" s="1349">
        <f t="shared" ref="W7:W15" si="2">J7</f>
        <v>0</v>
      </c>
      <c r="X7" s="293"/>
      <c r="Y7" s="3666" t="s">
        <v>1239</v>
      </c>
      <c r="Z7" s="3667"/>
      <c r="AA7" s="1350" t="e">
        <f>D7/F7</f>
        <v>#DIV/0!</v>
      </c>
      <c r="AB7" s="1350" t="e">
        <f>D7/H7</f>
        <v>#DIV/0!</v>
      </c>
      <c r="AC7" s="1350" t="e">
        <f>D7/J7</f>
        <v>#DIV/0!</v>
      </c>
    </row>
    <row r="8" spans="1:29" s="40" customFormat="1" ht="15" thickBot="1">
      <c r="A8" s="1019" t="s">
        <v>1240</v>
      </c>
      <c r="B8" s="1020"/>
      <c r="C8" s="1025" t="s">
        <v>260</v>
      </c>
      <c r="D8" s="759">
        <v>100</v>
      </c>
      <c r="E8" s="1351" t="s">
        <v>259</v>
      </c>
      <c r="F8" s="761">
        <f>SUMIF(61:61,E8,62:62)-SUMIF(61:61,C8,62:62)+100</f>
        <v>102</v>
      </c>
      <c r="G8" s="1025" t="s">
        <v>259</v>
      </c>
      <c r="H8" s="759">
        <f>SUMIF(61:61,G8,62:62)-SUMIF(61:61,C8,62:62)+100</f>
        <v>102</v>
      </c>
      <c r="I8" s="1351" t="s">
        <v>259</v>
      </c>
      <c r="J8" s="759">
        <f>SUMIF(61:61,I8,62:62)-SUMIF(61:61,C8,62:62)+100</f>
        <v>102</v>
      </c>
      <c r="K8" s="1347"/>
      <c r="L8" s="2324"/>
      <c r="M8" s="2286"/>
      <c r="N8" s="2286"/>
      <c r="O8" s="2286"/>
      <c r="P8" s="3666" t="s">
        <v>1240</v>
      </c>
      <c r="Q8" s="3667"/>
      <c r="R8" s="1348" t="s">
        <v>165</v>
      </c>
      <c r="S8" s="1349">
        <f t="shared" si="0"/>
        <v>102</v>
      </c>
      <c r="T8" s="1348" t="s">
        <v>165</v>
      </c>
      <c r="U8" s="1349">
        <f t="shared" si="1"/>
        <v>102</v>
      </c>
      <c r="V8" s="1348" t="s">
        <v>165</v>
      </c>
      <c r="W8" s="1349">
        <f t="shared" si="2"/>
        <v>102</v>
      </c>
      <c r="X8" s="293"/>
      <c r="Y8" s="3666" t="s">
        <v>1240</v>
      </c>
      <c r="Z8" s="3667"/>
      <c r="AA8" s="1350">
        <f t="shared" ref="AA8:AA19" si="3">D8/F8</f>
        <v>0.98039215686274506</v>
      </c>
      <c r="AB8" s="1350">
        <f t="shared" ref="AB8:AB19" si="4">D8/H8</f>
        <v>0.98039215686274506</v>
      </c>
      <c r="AC8" s="1350">
        <f t="shared" ref="AC8:AC19" si="5">D8/J8</f>
        <v>0.98039215686274506</v>
      </c>
    </row>
    <row r="9" spans="1:29" s="40" customFormat="1" ht="14.25">
      <c r="A9" s="1026" t="s">
        <v>1241</v>
      </c>
      <c r="B9" s="62" t="s">
        <v>1242</v>
      </c>
      <c r="C9" s="1352" t="s">
        <v>42</v>
      </c>
      <c r="D9" s="430">
        <v>100</v>
      </c>
      <c r="E9" s="1353" t="s">
        <v>280</v>
      </c>
      <c r="F9" s="767">
        <f>SUMIF(63:63,E9,64:64)-SUMIF(63:63,C9,64:64)+100</f>
        <v>95</v>
      </c>
      <c r="G9" s="1354" t="s">
        <v>280</v>
      </c>
      <c r="H9" s="430">
        <f>SUMIF(63:63,G9,64:64)-SUMIF(63:63,C9,64:64)+100</f>
        <v>95</v>
      </c>
      <c r="I9" s="1354" t="s">
        <v>280</v>
      </c>
      <c r="J9" s="430">
        <f>SUMIF(63:63,I9,64:64)-SUMIF(63:63,C9,64:64)+100</f>
        <v>95</v>
      </c>
      <c r="K9" s="1347"/>
      <c r="L9" s="2324"/>
      <c r="M9" s="2286"/>
      <c r="N9" s="2286"/>
      <c r="O9" s="2286"/>
      <c r="P9" s="3645" t="s">
        <v>72</v>
      </c>
      <c r="Q9" s="7" t="str">
        <f t="shared" ref="Q9:Q15" si="6">B9</f>
        <v>用途</v>
      </c>
      <c r="R9" s="1348" t="s">
        <v>70</v>
      </c>
      <c r="S9" s="1349">
        <f t="shared" si="0"/>
        <v>95</v>
      </c>
      <c r="T9" s="1348" t="s">
        <v>70</v>
      </c>
      <c r="U9" s="1349">
        <f t="shared" si="1"/>
        <v>95</v>
      </c>
      <c r="V9" s="1348" t="s">
        <v>70</v>
      </c>
      <c r="W9" s="1349">
        <f t="shared" si="2"/>
        <v>95</v>
      </c>
      <c r="X9" s="293"/>
      <c r="Y9" s="3396" t="s">
        <v>72</v>
      </c>
      <c r="Z9" s="294" t="str">
        <f t="shared" ref="Z9:Z15" si="7">Q9</f>
        <v>用途</v>
      </c>
      <c r="AA9" s="1350">
        <f t="shared" si="3"/>
        <v>1.0526315789473684</v>
      </c>
      <c r="AB9" s="1350">
        <f t="shared" si="4"/>
        <v>1.0526315789473684</v>
      </c>
      <c r="AC9" s="1350">
        <f t="shared" si="5"/>
        <v>1.0526315789473684</v>
      </c>
    </row>
    <row r="10" spans="1:29" s="92" customFormat="1" ht="27">
      <c r="A10" s="150"/>
      <c r="B10" s="12" t="s">
        <v>125</v>
      </c>
      <c r="C10" s="1355" t="s">
        <v>286</v>
      </c>
      <c r="D10" s="431">
        <v>100</v>
      </c>
      <c r="E10" s="1356" t="s">
        <v>171</v>
      </c>
      <c r="F10" s="774">
        <f>SUMIF(65:65,E10,66:66)-SUMIF(65:65,C10,66:66)+100</f>
        <v>102</v>
      </c>
      <c r="G10" s="1355" t="s">
        <v>2797</v>
      </c>
      <c r="H10" s="431">
        <f>SUMIF(65:65,G10,66:66)-SUMIF(65:65,C10,66:66)+100</f>
        <v>101</v>
      </c>
      <c r="I10" s="1355" t="s">
        <v>2797</v>
      </c>
      <c r="J10" s="431">
        <f>SUMIF(65:65,I10,66:66)-SUMIF(65:65,C10,66:66)+100</f>
        <v>101</v>
      </c>
      <c r="K10" s="775">
        <v>1</v>
      </c>
      <c r="L10" s="2325"/>
      <c r="M10" s="2326"/>
      <c r="N10" s="2326"/>
      <c r="O10" s="2326"/>
      <c r="P10" s="3645"/>
      <c r="Q10" s="7" t="str">
        <f t="shared" si="6"/>
        <v>土地使用年限（年）</v>
      </c>
      <c r="R10" s="1348" t="s">
        <v>70</v>
      </c>
      <c r="S10" s="1349">
        <f t="shared" si="0"/>
        <v>102</v>
      </c>
      <c r="T10" s="1348" t="s">
        <v>70</v>
      </c>
      <c r="U10" s="1349">
        <f t="shared" si="1"/>
        <v>101</v>
      </c>
      <c r="V10" s="1348" t="s">
        <v>70</v>
      </c>
      <c r="W10" s="1349">
        <f t="shared" si="2"/>
        <v>101</v>
      </c>
      <c r="X10" s="293"/>
      <c r="Y10" s="3396"/>
      <c r="Z10" s="294" t="str">
        <f t="shared" si="7"/>
        <v>土地使用年限（年）</v>
      </c>
      <c r="AA10" s="1350">
        <f t="shared" si="3"/>
        <v>0.98039215686274506</v>
      </c>
      <c r="AB10" s="1350">
        <f t="shared" si="4"/>
        <v>0.99009900990099009</v>
      </c>
      <c r="AC10" s="1350">
        <f t="shared" si="5"/>
        <v>0.99009900990099009</v>
      </c>
    </row>
    <row r="11" spans="1:29" ht="15">
      <c r="A11" s="151"/>
      <c r="B11" s="12" t="s">
        <v>98</v>
      </c>
      <c r="C11" s="778">
        <v>0.72</v>
      </c>
      <c r="D11" s="431">
        <v>100</v>
      </c>
      <c r="E11" s="779">
        <v>0.42</v>
      </c>
      <c r="F11" s="774">
        <f>LOOKUP(E11,68:68,69:69)-LOOKUP(C11,68:68,69:69)+100</f>
        <v>100</v>
      </c>
      <c r="G11" s="778">
        <v>1.08</v>
      </c>
      <c r="H11" s="431">
        <f>LOOKUP(G11,68:68,69:69)-LOOKUP(C11,68:68,69:69)+100</f>
        <v>98</v>
      </c>
      <c r="I11" s="778">
        <v>0.7</v>
      </c>
      <c r="J11" s="431">
        <f>LOOKUP(I11,68:68,69:69)-LOOKUP(C11,68:68,69:69)+100</f>
        <v>100</v>
      </c>
      <c r="K11" s="775">
        <v>2</v>
      </c>
      <c r="L11" s="2327"/>
      <c r="M11" s="2323"/>
      <c r="N11" s="2323"/>
      <c r="O11" s="2323"/>
      <c r="P11" s="3645"/>
      <c r="Q11" s="7" t="str">
        <f t="shared" si="6"/>
        <v>容积率</v>
      </c>
      <c r="R11" s="1348" t="s">
        <v>120</v>
      </c>
      <c r="S11" s="1349">
        <f t="shared" si="0"/>
        <v>100</v>
      </c>
      <c r="T11" s="1348" t="s">
        <v>120</v>
      </c>
      <c r="U11" s="1349">
        <f t="shared" si="1"/>
        <v>98</v>
      </c>
      <c r="V11" s="1348" t="s">
        <v>120</v>
      </c>
      <c r="W11" s="1349">
        <f t="shared" si="2"/>
        <v>100</v>
      </c>
      <c r="X11" s="293"/>
      <c r="Y11" s="3396"/>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4"/>
      <c r="M12" s="2286"/>
      <c r="N12" s="2286"/>
      <c r="O12" s="2286"/>
      <c r="P12" s="3645"/>
      <c r="Q12" s="7">
        <f t="shared" si="6"/>
        <v>111</v>
      </c>
      <c r="R12" s="1348" t="s">
        <v>120</v>
      </c>
      <c r="S12" s="1349">
        <f t="shared" si="0"/>
        <v>100</v>
      </c>
      <c r="T12" s="1348" t="s">
        <v>120</v>
      </c>
      <c r="U12" s="1349">
        <f t="shared" si="1"/>
        <v>100</v>
      </c>
      <c r="V12" s="1348" t="s">
        <v>120</v>
      </c>
      <c r="W12" s="1349">
        <f t="shared" si="2"/>
        <v>100</v>
      </c>
      <c r="X12" s="293"/>
      <c r="Y12" s="3396"/>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28"/>
      <c r="M13" s="2323"/>
      <c r="N13" s="2323"/>
      <c r="O13" s="2323"/>
      <c r="P13" s="3645"/>
      <c r="Q13" s="7">
        <f t="shared" si="6"/>
        <v>111</v>
      </c>
      <c r="R13" s="1348" t="s">
        <v>120</v>
      </c>
      <c r="S13" s="1349">
        <f t="shared" si="0"/>
        <v>100</v>
      </c>
      <c r="T13" s="1348" t="s">
        <v>120</v>
      </c>
      <c r="U13" s="1349">
        <f t="shared" si="1"/>
        <v>100</v>
      </c>
      <c r="V13" s="1348" t="s">
        <v>120</v>
      </c>
      <c r="W13" s="1349">
        <f t="shared" si="2"/>
        <v>100</v>
      </c>
      <c r="X13" s="293"/>
      <c r="Y13" s="3396"/>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28"/>
      <c r="M14" s="2323"/>
      <c r="N14" s="2323"/>
      <c r="O14" s="2323"/>
      <c r="P14" s="3645"/>
      <c r="Q14" s="7">
        <f t="shared" si="6"/>
        <v>111</v>
      </c>
      <c r="R14" s="1348" t="s">
        <v>120</v>
      </c>
      <c r="S14" s="1349">
        <f t="shared" si="0"/>
        <v>100</v>
      </c>
      <c r="T14" s="1348" t="s">
        <v>120</v>
      </c>
      <c r="U14" s="1349">
        <f t="shared" si="1"/>
        <v>100</v>
      </c>
      <c r="V14" s="1348" t="s">
        <v>120</v>
      </c>
      <c r="W14" s="1349">
        <f t="shared" si="2"/>
        <v>100</v>
      </c>
      <c r="X14" s="293"/>
      <c r="Y14" s="3396"/>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28"/>
      <c r="M15" s="2323"/>
      <c r="N15" s="2323"/>
      <c r="O15" s="2323"/>
      <c r="P15" s="3643" t="s">
        <v>74</v>
      </c>
      <c r="Q15" s="1357" t="str">
        <f t="shared" si="6"/>
        <v>居住社区成熟度</v>
      </c>
      <c r="R15" s="1358" t="s">
        <v>120</v>
      </c>
      <c r="S15" s="1359">
        <f t="shared" si="0"/>
        <v>102</v>
      </c>
      <c r="T15" s="1358" t="s">
        <v>120</v>
      </c>
      <c r="U15" s="1359">
        <f t="shared" si="1"/>
        <v>102</v>
      </c>
      <c r="V15" s="1358" t="s">
        <v>120</v>
      </c>
      <c r="W15" s="1359">
        <f t="shared" si="2"/>
        <v>100</v>
      </c>
      <c r="X15" s="1346"/>
      <c r="Y15" s="3636" t="s">
        <v>74</v>
      </c>
      <c r="Z15" s="1360" t="str">
        <f t="shared" si="7"/>
        <v>居住社区成熟度</v>
      </c>
      <c r="AA15" s="1361">
        <f t="shared" si="3"/>
        <v>0.98039215686274506</v>
      </c>
      <c r="AB15" s="1361">
        <f t="shared" si="4"/>
        <v>0.98039215686274506</v>
      </c>
      <c r="AC15" s="1361">
        <f t="shared" si="5"/>
        <v>1</v>
      </c>
    </row>
    <row r="16" spans="1:29" ht="14.25">
      <c r="A16" s="151"/>
      <c r="B16" s="156"/>
      <c r="C16" s="97" t="s">
        <v>124</v>
      </c>
      <c r="D16" s="797"/>
      <c r="E16" s="99" t="s">
        <v>123</v>
      </c>
      <c r="F16" s="797"/>
      <c r="G16" s="98" t="s">
        <v>123</v>
      </c>
      <c r="H16" s="799"/>
      <c r="I16" s="98" t="s">
        <v>124</v>
      </c>
      <c r="J16" s="797"/>
      <c r="K16" s="159"/>
      <c r="L16" s="2328"/>
      <c r="M16" s="2323"/>
      <c r="N16" s="2323"/>
      <c r="O16" s="2323"/>
      <c r="P16" s="3644"/>
      <c r="Q16" s="1357"/>
      <c r="R16" s="1358"/>
      <c r="S16" s="1359"/>
      <c r="T16" s="1358"/>
      <c r="U16" s="1359"/>
      <c r="V16" s="1358"/>
      <c r="W16" s="1359"/>
      <c r="X16" s="1346"/>
      <c r="Y16" s="3637"/>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28"/>
      <c r="M17" s="2323"/>
      <c r="N17" s="2323"/>
      <c r="O17" s="2323"/>
      <c r="P17" s="3644"/>
      <c r="Q17" s="1357" t="str">
        <f>B17</f>
        <v>交通便捷度</v>
      </c>
      <c r="R17" s="1358" t="s">
        <v>120</v>
      </c>
      <c r="S17" s="1359">
        <f>F17</f>
        <v>102</v>
      </c>
      <c r="T17" s="1358" t="s">
        <v>120</v>
      </c>
      <c r="U17" s="1359">
        <f>H17</f>
        <v>102</v>
      </c>
      <c r="V17" s="1358" t="s">
        <v>120</v>
      </c>
      <c r="W17" s="1359">
        <f>J17</f>
        <v>104</v>
      </c>
      <c r="X17" s="1346"/>
      <c r="Y17" s="3637"/>
      <c r="Z17" s="1360" t="str">
        <f>Q17</f>
        <v>交通便捷度</v>
      </c>
      <c r="AA17" s="1361">
        <f t="shared" si="3"/>
        <v>0.98039215686274506</v>
      </c>
      <c r="AB17" s="1361">
        <f t="shared" si="4"/>
        <v>0.98039215686274506</v>
      </c>
      <c r="AC17" s="1361">
        <f t="shared" si="5"/>
        <v>0.96153846153846156</v>
      </c>
    </row>
    <row r="18" spans="1:29" ht="14.25">
      <c r="A18" s="151"/>
      <c r="B18" s="1046"/>
      <c r="C18" s="102" t="s">
        <v>124</v>
      </c>
      <c r="D18" s="799"/>
      <c r="E18" s="104" t="s">
        <v>123</v>
      </c>
      <c r="F18" s="799"/>
      <c r="G18" s="103" t="s">
        <v>123</v>
      </c>
      <c r="H18" s="797"/>
      <c r="I18" s="103" t="s">
        <v>122</v>
      </c>
      <c r="J18" s="797"/>
      <c r="K18" s="159"/>
      <c r="L18" s="2328"/>
      <c r="M18" s="2323"/>
      <c r="N18" s="2323"/>
      <c r="O18" s="2323"/>
      <c r="P18" s="3644"/>
      <c r="Q18" s="1357"/>
      <c r="R18" s="1358"/>
      <c r="S18" s="1359"/>
      <c r="T18" s="1358"/>
      <c r="U18" s="1359"/>
      <c r="V18" s="1358"/>
      <c r="W18" s="1359"/>
      <c r="X18" s="1346"/>
      <c r="Y18" s="3637"/>
      <c r="Z18" s="1360"/>
      <c r="AA18" s="1361">
        <v>1</v>
      </c>
      <c r="AB18" s="1361">
        <v>1</v>
      </c>
      <c r="AC18" s="1361">
        <v>1</v>
      </c>
    </row>
    <row r="19" spans="1:29" ht="40.5">
      <c r="A19" s="151"/>
      <c r="B19" s="1362" t="s">
        <v>3038</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28"/>
      <c r="M19" s="2323"/>
      <c r="N19" s="2323"/>
      <c r="O19" s="2323"/>
      <c r="P19" s="3644"/>
      <c r="Q19" s="1357" t="str">
        <f>B19</f>
        <v>公共配套设施</v>
      </c>
      <c r="R19" s="1358" t="s">
        <v>120</v>
      </c>
      <c r="S19" s="1359">
        <f>F19</f>
        <v>102</v>
      </c>
      <c r="T19" s="1358" t="s">
        <v>120</v>
      </c>
      <c r="U19" s="1359">
        <f>H19</f>
        <v>102</v>
      </c>
      <c r="V19" s="1358" t="s">
        <v>120</v>
      </c>
      <c r="W19" s="1359">
        <f>J19</f>
        <v>100</v>
      </c>
      <c r="X19" s="1346"/>
      <c r="Y19" s="3637"/>
      <c r="Z19" s="1360" t="str">
        <f>Q19</f>
        <v>公共配套设施</v>
      </c>
      <c r="AA19" s="1361">
        <f t="shared" si="3"/>
        <v>0.98039215686274506</v>
      </c>
      <c r="AB19" s="1361">
        <f t="shared" si="4"/>
        <v>0.98039215686274506</v>
      </c>
      <c r="AC19" s="1361">
        <f t="shared" si="5"/>
        <v>1</v>
      </c>
    </row>
    <row r="20" spans="1:29" ht="14.25">
      <c r="A20" s="151"/>
      <c r="B20" s="1046"/>
      <c r="C20" s="97" t="s">
        <v>123</v>
      </c>
      <c r="D20" s="797"/>
      <c r="E20" s="99" t="s">
        <v>122</v>
      </c>
      <c r="F20" s="797"/>
      <c r="G20" s="98" t="s">
        <v>122</v>
      </c>
      <c r="H20" s="797"/>
      <c r="I20" s="98" t="s">
        <v>123</v>
      </c>
      <c r="J20" s="797"/>
      <c r="K20" s="159"/>
      <c r="L20" s="2328"/>
      <c r="M20" s="2323"/>
      <c r="N20" s="2323"/>
      <c r="O20" s="2323"/>
      <c r="P20" s="3644"/>
      <c r="Q20" s="1357"/>
      <c r="R20" s="1358"/>
      <c r="S20" s="1359"/>
      <c r="T20" s="1358"/>
      <c r="U20" s="1359"/>
      <c r="V20" s="1358"/>
      <c r="W20" s="1359"/>
      <c r="X20" s="1346"/>
      <c r="Y20" s="3637"/>
      <c r="Z20" s="1360"/>
      <c r="AA20" s="1361">
        <v>1</v>
      </c>
      <c r="AB20" s="1361">
        <v>1</v>
      </c>
      <c r="AC20" s="1361">
        <v>1</v>
      </c>
    </row>
    <row r="21" spans="1:29" ht="27">
      <c r="A21" s="151"/>
      <c r="B21" s="1418" t="s">
        <v>3049</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28"/>
      <c r="M21" s="2323"/>
      <c r="N21" s="2323"/>
      <c r="O21" s="2323"/>
      <c r="P21" s="3644"/>
      <c r="Q21" s="2782" t="str">
        <f>B21</f>
        <v>基础设施水平</v>
      </c>
      <c r="R21" s="1358" t="s">
        <v>70</v>
      </c>
      <c r="S21" s="1359">
        <f>F21</f>
        <v>99</v>
      </c>
      <c r="T21" s="1358" t="s">
        <v>70</v>
      </c>
      <c r="U21" s="1359">
        <f>H21</f>
        <v>98</v>
      </c>
      <c r="V21" s="1358" t="s">
        <v>70</v>
      </c>
      <c r="W21" s="1359">
        <f>J21</f>
        <v>97</v>
      </c>
      <c r="X21" s="2784"/>
      <c r="Y21" s="3637"/>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7"/>
      <c r="G22" s="192" t="s">
        <v>162</v>
      </c>
      <c r="H22" s="797"/>
      <c r="I22" s="97" t="s">
        <v>258</v>
      </c>
      <c r="J22" s="797"/>
      <c r="K22" s="2799"/>
      <c r="L22" s="2328"/>
      <c r="M22" s="2323"/>
      <c r="N22" s="2323"/>
      <c r="O22" s="2323"/>
      <c r="P22" s="3644"/>
      <c r="Q22" s="2782"/>
      <c r="R22" s="1358"/>
      <c r="S22" s="1359"/>
      <c r="T22" s="1358"/>
      <c r="U22" s="1359"/>
      <c r="V22" s="1358"/>
      <c r="W22" s="1359"/>
      <c r="X22" s="2784"/>
      <c r="Y22" s="3637"/>
      <c r="Z22" s="2783"/>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28"/>
      <c r="M23" s="2323"/>
      <c r="N23" s="2323"/>
      <c r="O23" s="2323"/>
      <c r="P23" s="3644"/>
      <c r="Q23" s="1357" t="str">
        <f>B23</f>
        <v>自然及人文环境</v>
      </c>
      <c r="R23" s="1358" t="s">
        <v>120</v>
      </c>
      <c r="S23" s="1359">
        <f>F23</f>
        <v>102</v>
      </c>
      <c r="T23" s="1358" t="s">
        <v>120</v>
      </c>
      <c r="U23" s="1359">
        <f>H23</f>
        <v>100</v>
      </c>
      <c r="V23" s="1358" t="s">
        <v>120</v>
      </c>
      <c r="W23" s="1359">
        <f>J23</f>
        <v>100</v>
      </c>
      <c r="X23" s="1346"/>
      <c r="Y23" s="3637"/>
      <c r="Z23" s="1360" t="str">
        <f>Q23</f>
        <v>自然及人文环境</v>
      </c>
      <c r="AA23" s="1361">
        <f>D23/F23</f>
        <v>0.98039215686274506</v>
      </c>
      <c r="AB23" s="1361">
        <f>D23/H23</f>
        <v>1</v>
      </c>
      <c r="AC23" s="1361">
        <f>D23/J23</f>
        <v>1</v>
      </c>
    </row>
    <row r="24" spans="1:29" ht="14.25">
      <c r="A24" s="151"/>
      <c r="B24" s="1046"/>
      <c r="C24" s="97" t="s">
        <v>124</v>
      </c>
      <c r="D24" s="797"/>
      <c r="E24" s="99" t="s">
        <v>123</v>
      </c>
      <c r="F24" s="797"/>
      <c r="G24" s="98" t="s">
        <v>124</v>
      </c>
      <c r="H24" s="797"/>
      <c r="I24" s="98" t="s">
        <v>124</v>
      </c>
      <c r="J24" s="797"/>
      <c r="K24" s="159"/>
      <c r="L24" s="2328"/>
      <c r="M24" s="2323"/>
      <c r="N24" s="2323"/>
      <c r="O24" s="2323"/>
      <c r="P24" s="3644"/>
      <c r="Q24" s="1357"/>
      <c r="R24" s="1358"/>
      <c r="S24" s="1359"/>
      <c r="T24" s="1358"/>
      <c r="U24" s="1359"/>
      <c r="V24" s="1358"/>
      <c r="W24" s="1359"/>
      <c r="X24" s="1346"/>
      <c r="Y24" s="3637"/>
      <c r="Z24" s="1360"/>
      <c r="AA24" s="1361">
        <v>1</v>
      </c>
      <c r="AB24" s="1361">
        <v>1</v>
      </c>
      <c r="AC24" s="1361">
        <v>1</v>
      </c>
    </row>
    <row r="25" spans="1:29" ht="15">
      <c r="A25" s="151"/>
      <c r="B25" s="12" t="s">
        <v>2667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28"/>
      <c r="M25" s="2323"/>
      <c r="N25" s="2323"/>
      <c r="O25" s="2323"/>
      <c r="P25" s="3644"/>
      <c r="Q25" s="1357" t="str">
        <f t="shared" ref="Q25:Q46" si="11">B25</f>
        <v>楼层-1</v>
      </c>
      <c r="R25" s="1358" t="s">
        <v>120</v>
      </c>
      <c r="S25" s="1359">
        <f t="shared" ref="S25:S46" si="12">F25</f>
        <v>97.5</v>
      </c>
      <c r="T25" s="1358" t="s">
        <v>120</v>
      </c>
      <c r="U25" s="1359">
        <f t="shared" ref="U25:U46" si="13">H25</f>
        <v>96.5</v>
      </c>
      <c r="V25" s="1358" t="s">
        <v>120</v>
      </c>
      <c r="W25" s="1359">
        <f t="shared" ref="W25:W46" si="14">J25</f>
        <v>94</v>
      </c>
      <c r="X25" s="1346"/>
      <c r="Y25" s="3637"/>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79</v>
      </c>
      <c r="C26" s="107" t="s">
        <v>315</v>
      </c>
      <c r="D26" s="784">
        <v>100</v>
      </c>
      <c r="E26" s="109" t="s">
        <v>315</v>
      </c>
      <c r="F26" s="784">
        <f>SUMIF(88:88,E26,89:89)-SUMIF(88:88,C26,89:89)+100</f>
        <v>100</v>
      </c>
      <c r="G26" s="108" t="s">
        <v>315</v>
      </c>
      <c r="H26" s="784">
        <f>SUMIF(88:88,G26,89:89)-SUMIF(88:88,C26,89:89)+100</f>
        <v>100</v>
      </c>
      <c r="I26" s="108" t="s">
        <v>315</v>
      </c>
      <c r="J26" s="784">
        <f>SUMIF(88:88,I26,89:89)-SUMIF(88:88,C26,89:89)+100</f>
        <v>100</v>
      </c>
      <c r="K26" s="775">
        <v>1</v>
      </c>
      <c r="L26" s="2328"/>
      <c r="M26" s="2323"/>
      <c r="N26" s="2323"/>
      <c r="O26" s="2323"/>
      <c r="P26" s="3644"/>
      <c r="Q26" s="1357" t="str">
        <f t="shared" si="11"/>
        <v>朝向</v>
      </c>
      <c r="R26" s="1358" t="s">
        <v>120</v>
      </c>
      <c r="S26" s="1359">
        <f t="shared" si="12"/>
        <v>100</v>
      </c>
      <c r="T26" s="1358" t="s">
        <v>120</v>
      </c>
      <c r="U26" s="1359">
        <f t="shared" si="13"/>
        <v>100</v>
      </c>
      <c r="V26" s="1358" t="s">
        <v>120</v>
      </c>
      <c r="W26" s="1359">
        <f t="shared" si="14"/>
        <v>100</v>
      </c>
      <c r="X26" s="1346"/>
      <c r="Y26" s="3637"/>
      <c r="Z26" s="1360" t="str">
        <f>Q26</f>
        <v>朝向</v>
      </c>
      <c r="AA26" s="1361">
        <f t="shared" si="15"/>
        <v>1</v>
      </c>
      <c r="AB26" s="1361">
        <f t="shared" si="16"/>
        <v>1</v>
      </c>
      <c r="AC26" s="1361">
        <f t="shared" si="17"/>
        <v>1</v>
      </c>
    </row>
    <row r="27" spans="1:29" s="40" customFormat="1" ht="14.25">
      <c r="A27" s="1035"/>
      <c r="B27" s="1036" t="s">
        <v>1243</v>
      </c>
      <c r="C27" s="1029" t="s">
        <v>1244</v>
      </c>
      <c r="D27" s="811">
        <v>100</v>
      </c>
      <c r="E27" s="1031" t="s">
        <v>1244</v>
      </c>
      <c r="F27" s="811">
        <f>SUMIF(90:90,E27,91:91)-SUMIF(90:90,C27,91:91)+100</f>
        <v>100</v>
      </c>
      <c r="G27" s="1032" t="s">
        <v>1245</v>
      </c>
      <c r="H27" s="811">
        <f>SUMIF(90:90,G27,91:91)-SUMIF(90:90,C27,91:91)+100</f>
        <v>102</v>
      </c>
      <c r="I27" s="1032" t="s">
        <v>1246</v>
      </c>
      <c r="J27" s="811">
        <f>SUMIF(90:90,I27,91:91)-SUMIF(90:90,C27,91:91)+100</f>
        <v>99</v>
      </c>
      <c r="K27" s="153"/>
      <c r="L27" s="2324"/>
      <c r="M27" s="2286"/>
      <c r="N27" s="2286"/>
      <c r="O27" s="2286"/>
      <c r="P27" s="3644"/>
      <c r="Q27" s="7" t="str">
        <f t="shared" si="11"/>
        <v>道路级别</v>
      </c>
      <c r="R27" s="1348" t="s">
        <v>120</v>
      </c>
      <c r="S27" s="1349">
        <f t="shared" si="12"/>
        <v>100</v>
      </c>
      <c r="T27" s="1348" t="s">
        <v>120</v>
      </c>
      <c r="U27" s="1349">
        <f t="shared" si="13"/>
        <v>102</v>
      </c>
      <c r="V27" s="1348" t="s">
        <v>120</v>
      </c>
      <c r="W27" s="1349">
        <f t="shared" si="14"/>
        <v>99</v>
      </c>
      <c r="X27" s="293"/>
      <c r="Y27" s="3637"/>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28"/>
      <c r="M28" s="2323"/>
      <c r="N28" s="2323"/>
      <c r="O28" s="2323"/>
      <c r="P28" s="3644"/>
      <c r="Q28" s="1357">
        <f t="shared" si="11"/>
        <v>111</v>
      </c>
      <c r="R28" s="1358" t="s">
        <v>120</v>
      </c>
      <c r="S28" s="1359">
        <f t="shared" si="12"/>
        <v>100</v>
      </c>
      <c r="T28" s="1358" t="s">
        <v>120</v>
      </c>
      <c r="U28" s="1359">
        <f t="shared" si="13"/>
        <v>100</v>
      </c>
      <c r="V28" s="1358" t="s">
        <v>120</v>
      </c>
      <c r="W28" s="1359">
        <f t="shared" si="14"/>
        <v>100</v>
      </c>
      <c r="X28" s="1346"/>
      <c r="Y28" s="3637"/>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28"/>
      <c r="M29" s="2323"/>
      <c r="N29" s="2323"/>
      <c r="O29" s="2323"/>
      <c r="P29" s="3644"/>
      <c r="Q29" s="1357">
        <f t="shared" si="11"/>
        <v>111</v>
      </c>
      <c r="R29" s="1358" t="s">
        <v>120</v>
      </c>
      <c r="S29" s="1359">
        <f t="shared" si="12"/>
        <v>100</v>
      </c>
      <c r="T29" s="1358" t="s">
        <v>120</v>
      </c>
      <c r="U29" s="1359">
        <f t="shared" si="13"/>
        <v>100</v>
      </c>
      <c r="V29" s="1358" t="s">
        <v>120</v>
      </c>
      <c r="W29" s="1359">
        <f t="shared" si="14"/>
        <v>100</v>
      </c>
      <c r="X29" s="1346"/>
      <c r="Y29" s="3637"/>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28"/>
      <c r="M30" s="2323"/>
      <c r="N30" s="2323"/>
      <c r="O30" s="2323"/>
      <c r="P30" s="3644"/>
      <c r="Q30" s="1357">
        <f t="shared" si="11"/>
        <v>111</v>
      </c>
      <c r="R30" s="1358" t="s">
        <v>120</v>
      </c>
      <c r="S30" s="1359">
        <f t="shared" si="12"/>
        <v>100</v>
      </c>
      <c r="T30" s="1358" t="s">
        <v>120</v>
      </c>
      <c r="U30" s="1359">
        <f t="shared" si="13"/>
        <v>100</v>
      </c>
      <c r="V30" s="1358" t="s">
        <v>120</v>
      </c>
      <c r="W30" s="1359">
        <f t="shared" si="14"/>
        <v>100</v>
      </c>
      <c r="X30" s="1346"/>
      <c r="Y30" s="3637"/>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28"/>
      <c r="M31" s="2323"/>
      <c r="N31" s="2323"/>
      <c r="O31" s="2323"/>
      <c r="P31" s="3644"/>
      <c r="Q31" s="1357">
        <f t="shared" si="11"/>
        <v>111</v>
      </c>
      <c r="R31" s="1358" t="s">
        <v>120</v>
      </c>
      <c r="S31" s="1359">
        <f t="shared" si="12"/>
        <v>100</v>
      </c>
      <c r="T31" s="1358" t="s">
        <v>120</v>
      </c>
      <c r="U31" s="1359">
        <f t="shared" si="13"/>
        <v>100</v>
      </c>
      <c r="V31" s="1358" t="s">
        <v>120</v>
      </c>
      <c r="W31" s="1359">
        <f t="shared" si="14"/>
        <v>100</v>
      </c>
      <c r="X31" s="1346"/>
      <c r="Y31" s="3637"/>
      <c r="Z31" s="1360">
        <f t="shared" si="18"/>
        <v>111</v>
      </c>
      <c r="AA31" s="1361">
        <f t="shared" si="15"/>
        <v>1</v>
      </c>
      <c r="AB31" s="1361">
        <f t="shared" si="16"/>
        <v>1</v>
      </c>
      <c r="AC31" s="1361">
        <f t="shared" si="17"/>
        <v>1</v>
      </c>
    </row>
    <row r="32" spans="1:29" ht="15">
      <c r="A32" s="155" t="s">
        <v>1247</v>
      </c>
      <c r="B32" s="62" t="s">
        <v>80</v>
      </c>
      <c r="C32" s="110" t="s">
        <v>163</v>
      </c>
      <c r="D32" s="815">
        <v>100</v>
      </c>
      <c r="E32" s="111" t="s">
        <v>163</v>
      </c>
      <c r="F32" s="810">
        <f>SUMIF(100:100,E32,101:101)-SUMIF(100:100,C32,101:101)+100</f>
        <v>100</v>
      </c>
      <c r="G32" s="110" t="s">
        <v>322</v>
      </c>
      <c r="H32" s="815">
        <f>SUMIF(100:100,G32,101:101)-SUMIF(100:100,C32,101:101)+100</f>
        <v>115</v>
      </c>
      <c r="I32" s="111" t="s">
        <v>163</v>
      </c>
      <c r="J32" s="784">
        <f>SUMIF(100:100,I32,101:101)-SUMIF(100:100,C32,101:101)+100</f>
        <v>100</v>
      </c>
      <c r="K32" s="775">
        <v>15</v>
      </c>
      <c r="L32" s="2328"/>
      <c r="M32" s="2323"/>
      <c r="N32" s="2323"/>
      <c r="O32" s="2323"/>
      <c r="P32" s="3638" t="s">
        <v>75</v>
      </c>
      <c r="Q32" s="1357" t="str">
        <f t="shared" si="11"/>
        <v>建筑类型</v>
      </c>
      <c r="R32" s="1358" t="s">
        <v>120</v>
      </c>
      <c r="S32" s="1359">
        <f t="shared" si="12"/>
        <v>100</v>
      </c>
      <c r="T32" s="1358" t="s">
        <v>120</v>
      </c>
      <c r="U32" s="1359">
        <f t="shared" si="13"/>
        <v>115</v>
      </c>
      <c r="V32" s="1358" t="s">
        <v>120</v>
      </c>
      <c r="W32" s="1359">
        <f t="shared" si="14"/>
        <v>100</v>
      </c>
      <c r="X32" s="1346"/>
      <c r="Y32" s="3641" t="s">
        <v>75</v>
      </c>
      <c r="Z32" s="1360" t="str">
        <f t="shared" si="18"/>
        <v>建筑类型</v>
      </c>
      <c r="AA32" s="1361">
        <f t="shared" si="15"/>
        <v>1</v>
      </c>
      <c r="AB32" s="1361">
        <f t="shared" si="16"/>
        <v>0.86956521739130432</v>
      </c>
      <c r="AC32" s="1361">
        <f t="shared" si="17"/>
        <v>1</v>
      </c>
    </row>
    <row r="33" spans="1:29" s="1045" customFormat="1" ht="14.25">
      <c r="A33" s="1049"/>
      <c r="B33" s="12" t="s">
        <v>81</v>
      </c>
      <c r="C33" s="817">
        <v>430.95</v>
      </c>
      <c r="D33" s="431">
        <v>100</v>
      </c>
      <c r="E33" s="779">
        <v>358.71</v>
      </c>
      <c r="F33" s="774">
        <f>LOOKUP(E33,103:103,104:104)-LOOKUP(C33,103:103,104:104)+100</f>
        <v>100</v>
      </c>
      <c r="G33" s="778">
        <v>557.86</v>
      </c>
      <c r="H33" s="431">
        <f>LOOKUP(G33,103:103,104:104)-LOOKUP(C33,103:103,104:104)+100</f>
        <v>102</v>
      </c>
      <c r="I33" s="779">
        <v>355</v>
      </c>
      <c r="J33" s="431">
        <f>LOOKUP(I33,103:103,104:104)-LOOKUP(C33,103:103,104:104)+100</f>
        <v>100</v>
      </c>
      <c r="K33" s="153"/>
      <c r="L33" s="2327"/>
      <c r="M33" s="2329"/>
      <c r="N33" s="2329"/>
      <c r="O33" s="2329"/>
      <c r="P33" s="3639"/>
      <c r="Q33" s="1365" t="str">
        <f t="shared" si="11"/>
        <v>项目建筑规模</v>
      </c>
      <c r="R33" s="1366" t="s">
        <v>120</v>
      </c>
      <c r="S33" s="1367">
        <f t="shared" si="12"/>
        <v>100</v>
      </c>
      <c r="T33" s="1366" t="s">
        <v>120</v>
      </c>
      <c r="U33" s="1367">
        <f t="shared" si="13"/>
        <v>102</v>
      </c>
      <c r="V33" s="1366" t="s">
        <v>120</v>
      </c>
      <c r="W33" s="1367">
        <f t="shared" si="14"/>
        <v>100</v>
      </c>
      <c r="X33" s="1368"/>
      <c r="Y33" s="3641"/>
      <c r="Z33" s="1369" t="str">
        <f t="shared" si="18"/>
        <v>项目建筑规模</v>
      </c>
      <c r="AA33" s="1361">
        <f t="shared" si="15"/>
        <v>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28"/>
      <c r="M34" s="2323"/>
      <c r="N34" s="2323"/>
      <c r="O34" s="2323"/>
      <c r="P34" s="3639"/>
      <c r="Q34" s="1357" t="str">
        <f t="shared" si="11"/>
        <v>建筑结构</v>
      </c>
      <c r="R34" s="1358" t="s">
        <v>120</v>
      </c>
      <c r="S34" s="1359">
        <f t="shared" si="12"/>
        <v>100</v>
      </c>
      <c r="T34" s="1358" t="s">
        <v>120</v>
      </c>
      <c r="U34" s="1359">
        <f t="shared" si="13"/>
        <v>100</v>
      </c>
      <c r="V34" s="1358" t="s">
        <v>120</v>
      </c>
      <c r="W34" s="1359">
        <f t="shared" si="14"/>
        <v>100</v>
      </c>
      <c r="X34" s="1346"/>
      <c r="Y34" s="3641"/>
      <c r="Z34" s="1360" t="str">
        <f t="shared" si="18"/>
        <v>建筑结构</v>
      </c>
      <c r="AA34" s="1361">
        <f t="shared" si="15"/>
        <v>1</v>
      </c>
      <c r="AB34" s="1361">
        <f t="shared" si="16"/>
        <v>1</v>
      </c>
      <c r="AC34" s="1361">
        <f t="shared" si="17"/>
        <v>1</v>
      </c>
    </row>
    <row r="35" spans="1:29" ht="15">
      <c r="A35" s="161"/>
      <c r="B35" s="12" t="s">
        <v>83</v>
      </c>
      <c r="C35" s="109" t="s">
        <v>2798</v>
      </c>
      <c r="D35" s="784">
        <v>100</v>
      </c>
      <c r="E35" s="108" t="s">
        <v>2798</v>
      </c>
      <c r="F35" s="810">
        <f>SUMIF(107:107,E35,108:108)-SUMIF(107:107,C35,108:108)+100</f>
        <v>100</v>
      </c>
      <c r="G35" s="109" t="s">
        <v>2799</v>
      </c>
      <c r="H35" s="784">
        <f>SUMIF(107:107,G35,108:108)-SUMIF(107:107,C35,108:108)+100</f>
        <v>105</v>
      </c>
      <c r="I35" s="108" t="s">
        <v>2798</v>
      </c>
      <c r="J35" s="784">
        <f>SUMIF(107:107,I35,108:108)-SUMIF(107:107,C35,108:108)+100</f>
        <v>100</v>
      </c>
      <c r="K35" s="775">
        <v>5</v>
      </c>
      <c r="L35" s="2328"/>
      <c r="M35" s="2323"/>
      <c r="N35" s="2323"/>
      <c r="O35" s="2323"/>
      <c r="P35" s="3639"/>
      <c r="Q35" s="1357" t="str">
        <f t="shared" si="11"/>
        <v>建筑品质</v>
      </c>
      <c r="R35" s="1358" t="s">
        <v>120</v>
      </c>
      <c r="S35" s="1359">
        <f t="shared" si="12"/>
        <v>100</v>
      </c>
      <c r="T35" s="1358" t="s">
        <v>120</v>
      </c>
      <c r="U35" s="1359">
        <f t="shared" si="13"/>
        <v>105</v>
      </c>
      <c r="V35" s="1358" t="s">
        <v>120</v>
      </c>
      <c r="W35" s="1359">
        <f t="shared" si="14"/>
        <v>100</v>
      </c>
      <c r="X35" s="1346"/>
      <c r="Y35" s="3641"/>
      <c r="Z35" s="1360" t="str">
        <f t="shared" si="18"/>
        <v>建筑品质</v>
      </c>
      <c r="AA35" s="1361">
        <f t="shared" si="15"/>
        <v>1</v>
      </c>
      <c r="AB35" s="1361">
        <f t="shared" si="16"/>
        <v>0.95238095238095233</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28"/>
      <c r="M36" s="2323"/>
      <c r="N36" s="2323"/>
      <c r="O36" s="2323"/>
      <c r="P36" s="3639"/>
      <c r="Q36" s="1357" t="str">
        <f t="shared" si="11"/>
        <v>公共部分装修</v>
      </c>
      <c r="R36" s="1358" t="s">
        <v>120</v>
      </c>
      <c r="S36" s="1359">
        <f t="shared" si="12"/>
        <v>100</v>
      </c>
      <c r="T36" s="1358" t="s">
        <v>120</v>
      </c>
      <c r="U36" s="1359">
        <f t="shared" si="13"/>
        <v>100</v>
      </c>
      <c r="V36" s="1358" t="s">
        <v>120</v>
      </c>
      <c r="W36" s="1359">
        <f t="shared" si="14"/>
        <v>100</v>
      </c>
      <c r="X36" s="1346"/>
      <c r="Y36" s="3641"/>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4"/>
      <c r="M37" s="2286"/>
      <c r="N37" s="2286"/>
      <c r="O37" s="2286"/>
      <c r="P37" s="3639"/>
      <c r="Q37" s="7" t="str">
        <f t="shared" si="11"/>
        <v>成新度</v>
      </c>
      <c r="R37" s="1348" t="s">
        <v>120</v>
      </c>
      <c r="S37" s="1349">
        <f t="shared" si="12"/>
        <v>100</v>
      </c>
      <c r="T37" s="1348" t="s">
        <v>120</v>
      </c>
      <c r="U37" s="1349">
        <f t="shared" si="13"/>
        <v>100</v>
      </c>
      <c r="V37" s="1348" t="s">
        <v>120</v>
      </c>
      <c r="W37" s="1349">
        <f t="shared" si="14"/>
        <v>100</v>
      </c>
      <c r="X37" s="293"/>
      <c r="Y37" s="3641"/>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28"/>
      <c r="M38" s="2323"/>
      <c r="N38" s="2323"/>
      <c r="O38" s="2323"/>
      <c r="P38" s="3639" t="s">
        <v>75</v>
      </c>
      <c r="Q38" s="1357" t="str">
        <f t="shared" si="11"/>
        <v>物业管理</v>
      </c>
      <c r="R38" s="1358" t="s">
        <v>120</v>
      </c>
      <c r="S38" s="1359">
        <f t="shared" si="12"/>
        <v>100</v>
      </c>
      <c r="T38" s="1358" t="s">
        <v>120</v>
      </c>
      <c r="U38" s="1359">
        <f t="shared" si="13"/>
        <v>100</v>
      </c>
      <c r="V38" s="1358" t="s">
        <v>120</v>
      </c>
      <c r="W38" s="1359">
        <f t="shared" si="14"/>
        <v>100</v>
      </c>
      <c r="X38" s="1346"/>
      <c r="Y38" s="3641" t="s">
        <v>75</v>
      </c>
      <c r="Z38" s="1360" t="str">
        <f t="shared" si="18"/>
        <v>物业管理</v>
      </c>
      <c r="AA38" s="1361">
        <f t="shared" si="15"/>
        <v>1</v>
      </c>
      <c r="AB38" s="1361">
        <f t="shared" si="16"/>
        <v>1</v>
      </c>
      <c r="AC38" s="1361">
        <f t="shared" si="17"/>
        <v>1</v>
      </c>
    </row>
    <row r="39" spans="1:29" ht="15">
      <c r="A39" s="161"/>
      <c r="B39" s="12" t="s">
        <v>3050</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28"/>
      <c r="M39" s="2323"/>
      <c r="N39" s="2323"/>
      <c r="O39" s="2323"/>
      <c r="P39" s="3639"/>
      <c r="Q39" s="1357" t="str">
        <f t="shared" si="11"/>
        <v>市政基础设施</v>
      </c>
      <c r="R39" s="1358" t="s">
        <v>120</v>
      </c>
      <c r="S39" s="1359">
        <f t="shared" si="12"/>
        <v>100</v>
      </c>
      <c r="T39" s="1358" t="s">
        <v>120</v>
      </c>
      <c r="U39" s="1359">
        <f t="shared" si="13"/>
        <v>100</v>
      </c>
      <c r="V39" s="1358" t="s">
        <v>120</v>
      </c>
      <c r="W39" s="1359">
        <f t="shared" si="14"/>
        <v>100</v>
      </c>
      <c r="X39" s="1346"/>
      <c r="Y39" s="3641"/>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28"/>
      <c r="M40" s="2323"/>
      <c r="N40" s="2323"/>
      <c r="O40" s="2323"/>
      <c r="P40" s="3639"/>
      <c r="Q40" s="1357" t="str">
        <f t="shared" si="11"/>
        <v>房型</v>
      </c>
      <c r="R40" s="1358" t="s">
        <v>120</v>
      </c>
      <c r="S40" s="1359">
        <f t="shared" si="12"/>
        <v>100</v>
      </c>
      <c r="T40" s="1358" t="s">
        <v>120</v>
      </c>
      <c r="U40" s="1359">
        <f t="shared" si="13"/>
        <v>100</v>
      </c>
      <c r="V40" s="1358" t="s">
        <v>120</v>
      </c>
      <c r="W40" s="1359">
        <f t="shared" si="14"/>
        <v>100</v>
      </c>
      <c r="X40" s="1346"/>
      <c r="Y40" s="3641"/>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27"/>
      <c r="M41" s="2329"/>
      <c r="N41" s="2329"/>
      <c r="O41" s="2329"/>
      <c r="P41" s="3639"/>
      <c r="Q41" s="1365" t="str">
        <f t="shared" si="11"/>
        <v>单套/主力户型建筑面积</v>
      </c>
      <c r="R41" s="1366" t="s">
        <v>120</v>
      </c>
      <c r="S41" s="1367">
        <f t="shared" si="12"/>
        <v>100</v>
      </c>
      <c r="T41" s="1366" t="s">
        <v>120</v>
      </c>
      <c r="U41" s="1367">
        <f t="shared" si="13"/>
        <v>100</v>
      </c>
      <c r="V41" s="1366" t="s">
        <v>120</v>
      </c>
      <c r="W41" s="1367">
        <f t="shared" si="14"/>
        <v>100</v>
      </c>
      <c r="X41" s="1368"/>
      <c r="Y41" s="3641"/>
      <c r="Z41" s="1369" t="str">
        <f t="shared" si="18"/>
        <v>单套/主力户型建筑面积</v>
      </c>
      <c r="AA41" s="1361">
        <f t="shared" si="15"/>
        <v>1</v>
      </c>
      <c r="AB41" s="1361">
        <f t="shared" si="16"/>
        <v>1</v>
      </c>
      <c r="AC41" s="1361">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28"/>
      <c r="M42" s="2323"/>
      <c r="N42" s="2323"/>
      <c r="O42" s="2323"/>
      <c r="P42" s="3639"/>
      <c r="Q42" s="1357" t="str">
        <f t="shared" si="11"/>
        <v>内部装修</v>
      </c>
      <c r="R42" s="1358" t="s">
        <v>120</v>
      </c>
      <c r="S42" s="1359">
        <f t="shared" si="12"/>
        <v>100</v>
      </c>
      <c r="T42" s="1358" t="s">
        <v>120</v>
      </c>
      <c r="U42" s="1359">
        <f t="shared" si="13"/>
        <v>100</v>
      </c>
      <c r="V42" s="1358" t="s">
        <v>120</v>
      </c>
      <c r="W42" s="1359">
        <f t="shared" si="14"/>
        <v>100</v>
      </c>
      <c r="X42" s="1346"/>
      <c r="Y42" s="3641"/>
      <c r="Z42" s="1360" t="str">
        <f t="shared" si="18"/>
        <v>内部装修</v>
      </c>
      <c r="AA42" s="1361">
        <f t="shared" si="15"/>
        <v>1</v>
      </c>
      <c r="AB42" s="1361">
        <f t="shared" si="16"/>
        <v>1</v>
      </c>
      <c r="AC42" s="1361">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28"/>
      <c r="M43" s="2323"/>
      <c r="N43" s="2323"/>
      <c r="O43" s="2323"/>
      <c r="P43" s="3639"/>
      <c r="Q43" s="1357" t="str">
        <f t="shared" si="11"/>
        <v>内部装修维护情况</v>
      </c>
      <c r="R43" s="1358" t="s">
        <v>120</v>
      </c>
      <c r="S43" s="1359">
        <f t="shared" si="12"/>
        <v>100</v>
      </c>
      <c r="T43" s="1358" t="s">
        <v>120</v>
      </c>
      <c r="U43" s="1359">
        <f t="shared" si="13"/>
        <v>100</v>
      </c>
      <c r="V43" s="1358" t="s">
        <v>120</v>
      </c>
      <c r="W43" s="1359">
        <f t="shared" si="14"/>
        <v>100</v>
      </c>
      <c r="X43" s="1346"/>
      <c r="Y43" s="3641"/>
      <c r="Z43" s="1360" t="str">
        <f t="shared" si="18"/>
        <v>内部装修维护情况</v>
      </c>
      <c r="AA43" s="1361">
        <f t="shared" si="15"/>
        <v>1</v>
      </c>
      <c r="AB43" s="1361">
        <f t="shared" si="16"/>
        <v>1</v>
      </c>
      <c r="AC43" s="1361">
        <f t="shared" si="17"/>
        <v>1</v>
      </c>
    </row>
    <row r="44" spans="1:29" s="40" customFormat="1" ht="14.25">
      <c r="A44" s="1047"/>
      <c r="B44" s="1363">
        <v>111</v>
      </c>
      <c r="C44" s="1364" t="s">
        <v>325</v>
      </c>
      <c r="D44" s="431">
        <v>100</v>
      </c>
      <c r="E44" s="1364" t="s">
        <v>326</v>
      </c>
      <c r="F44" s="774">
        <f>SUMIF(126:126,E44,127:127)-SUMIF(126:126,C44,127:127)+100</f>
        <v>95</v>
      </c>
      <c r="G44" s="1364" t="s">
        <v>326</v>
      </c>
      <c r="H44" s="431">
        <f>SUMIF(126:126,G44,127:127)-SUMIF(126:126,C44,127:127)+100</f>
        <v>95</v>
      </c>
      <c r="I44" s="1364" t="s">
        <v>326</v>
      </c>
      <c r="J44" s="431">
        <f>SUMIF(126:126,I44,127:127)-SUMIF(126:126,C44,127:127)+100</f>
        <v>95</v>
      </c>
      <c r="K44" s="153"/>
      <c r="L44" s="2324"/>
      <c r="M44" s="2286"/>
      <c r="N44" s="2286"/>
      <c r="O44" s="2286"/>
      <c r="P44" s="3639"/>
      <c r="Q44" s="7">
        <f t="shared" si="11"/>
        <v>111</v>
      </c>
      <c r="R44" s="1348" t="s">
        <v>120</v>
      </c>
      <c r="S44" s="1349">
        <f t="shared" si="12"/>
        <v>95</v>
      </c>
      <c r="T44" s="1348" t="s">
        <v>120</v>
      </c>
      <c r="U44" s="1349">
        <f t="shared" si="13"/>
        <v>95</v>
      </c>
      <c r="V44" s="1348" t="s">
        <v>120</v>
      </c>
      <c r="W44" s="1349">
        <f t="shared" si="14"/>
        <v>95</v>
      </c>
      <c r="X44" s="293"/>
      <c r="Y44" s="3641"/>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28"/>
      <c r="M45" s="2323"/>
      <c r="N45" s="2323"/>
      <c r="O45" s="2323"/>
      <c r="P45" s="3639"/>
      <c r="Q45" s="1357">
        <f t="shared" si="11"/>
        <v>111</v>
      </c>
      <c r="R45" s="1358" t="s">
        <v>120</v>
      </c>
      <c r="S45" s="1359">
        <f t="shared" si="12"/>
        <v>100</v>
      </c>
      <c r="T45" s="1358" t="s">
        <v>120</v>
      </c>
      <c r="U45" s="1359">
        <f t="shared" si="13"/>
        <v>100</v>
      </c>
      <c r="V45" s="1358" t="s">
        <v>120</v>
      </c>
      <c r="W45" s="1359">
        <f t="shared" si="14"/>
        <v>100</v>
      </c>
      <c r="X45" s="1346"/>
      <c r="Y45" s="3641"/>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28"/>
      <c r="M46" s="2323"/>
      <c r="N46" s="2323"/>
      <c r="O46" s="2323"/>
      <c r="P46" s="3640"/>
      <c r="Q46" s="1357">
        <f t="shared" si="11"/>
        <v>111</v>
      </c>
      <c r="R46" s="1358" t="s">
        <v>119</v>
      </c>
      <c r="S46" s="1359">
        <f t="shared" si="12"/>
        <v>100</v>
      </c>
      <c r="T46" s="1358" t="s">
        <v>119</v>
      </c>
      <c r="U46" s="1359">
        <f t="shared" si="13"/>
        <v>100</v>
      </c>
      <c r="V46" s="1358" t="s">
        <v>119</v>
      </c>
      <c r="W46" s="1359">
        <f t="shared" si="14"/>
        <v>100</v>
      </c>
      <c r="X46" s="1346"/>
      <c r="Y46" s="3642"/>
      <c r="Z46" s="1360">
        <f t="shared" si="18"/>
        <v>111</v>
      </c>
      <c r="AA46" s="1361">
        <f t="shared" si="15"/>
        <v>1</v>
      </c>
      <c r="AB46" s="1361">
        <f t="shared" si="16"/>
        <v>1</v>
      </c>
      <c r="AC46" s="1361">
        <f t="shared" si="17"/>
        <v>1</v>
      </c>
    </row>
    <row r="47" spans="1:29" ht="15">
      <c r="A47" s="163" t="s">
        <v>118</v>
      </c>
      <c r="B47" s="164"/>
      <c r="C47" s="2872" t="s">
        <v>117</v>
      </c>
      <c r="D47" s="2873"/>
      <c r="E47" s="2874">
        <v>50000</v>
      </c>
      <c r="F47" s="2875"/>
      <c r="G47" s="2876">
        <v>68802</v>
      </c>
      <c r="H47" s="2877"/>
      <c r="I47" s="2874">
        <v>49458</v>
      </c>
      <c r="J47" s="2877"/>
      <c r="K47" s="1370"/>
      <c r="L47" s="2330"/>
      <c r="M47" s="2331"/>
      <c r="N47" s="2323"/>
      <c r="O47" s="2331"/>
      <c r="P47" s="3634" t="str">
        <f>A47</f>
        <v>成交单价（元/平方米）</v>
      </c>
      <c r="Q47" s="3634"/>
      <c r="R47" s="3635">
        <f>E47</f>
        <v>50000</v>
      </c>
      <c r="S47" s="3635"/>
      <c r="T47" s="3635">
        <f>G47</f>
        <v>68802</v>
      </c>
      <c r="U47" s="3635"/>
      <c r="V47" s="3635">
        <f>I47</f>
        <v>49458</v>
      </c>
      <c r="W47" s="3635"/>
      <c r="X47" s="1371"/>
      <c r="Y47" s="1372"/>
      <c r="Z47" s="1371"/>
      <c r="AA47" s="1371"/>
      <c r="AB47" s="1371"/>
      <c r="AC47" s="1371"/>
    </row>
    <row r="48" spans="1:29" ht="15.75" thickBot="1">
      <c r="A48" s="165" t="s">
        <v>116</v>
      </c>
      <c r="B48" s="166"/>
      <c r="C48" s="2878" t="e">
        <f>R49</f>
        <v>#DIV/0!</v>
      </c>
      <c r="D48" s="2879"/>
      <c r="E48" s="2880" t="e">
        <f>R48</f>
        <v>#DIV/0!</v>
      </c>
      <c r="F48" s="2880"/>
      <c r="G48" s="2878" t="e">
        <f>T48</f>
        <v>#DIV/0!</v>
      </c>
      <c r="H48" s="2879"/>
      <c r="I48" s="2880" t="e">
        <f>V48</f>
        <v>#DIV/0!</v>
      </c>
      <c r="J48" s="2879"/>
      <c r="K48" s="1373"/>
      <c r="L48" s="2330"/>
      <c r="M48" s="2331"/>
      <c r="N48" s="2331"/>
      <c r="O48" s="2331"/>
      <c r="P48" s="3634" t="str">
        <f>A48</f>
        <v>比较价值（元/平方米）</v>
      </c>
      <c r="Q48" s="3634"/>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371"/>
      <c r="Y48" s="1371"/>
      <c r="Z48" s="1371"/>
      <c r="AA48" s="1371"/>
      <c r="AB48" s="1371"/>
      <c r="AC48" s="1371"/>
    </row>
    <row r="49" spans="1:29" ht="15.75" thickBot="1">
      <c r="A49" s="115" t="s">
        <v>115</v>
      </c>
      <c r="B49" s="116"/>
      <c r="C49" s="2881" t="e">
        <f>R49</f>
        <v>#DIV/0!</v>
      </c>
      <c r="D49" s="2882"/>
      <c r="E49" s="2882"/>
      <c r="F49" s="2882"/>
      <c r="G49" s="2882"/>
      <c r="H49" s="2882"/>
      <c r="I49" s="2882"/>
      <c r="J49" s="2882"/>
      <c r="K49" s="1374"/>
      <c r="L49" s="2330"/>
      <c r="M49" s="2331"/>
      <c r="N49" s="2331"/>
      <c r="O49" s="2331"/>
      <c r="P49" s="3631" t="str">
        <f>A49</f>
        <v>估价对象XX用房的比较价值（楼面单价，元/平方米）</v>
      </c>
      <c r="Q49" s="3632"/>
      <c r="R49" s="3633" t="e">
        <f>IF(F1="售价",ROUND(AVERAGE(R48:V48),0),ROUND(AVERAGE(R48:V48),1))</f>
        <v>#DIV/0!</v>
      </c>
      <c r="S49" s="3633"/>
      <c r="T49" s="3633"/>
      <c r="U49" s="3633"/>
      <c r="V49" s="3633"/>
      <c r="W49" s="3633"/>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row>
    <row r="54" spans="1:29" s="119" customFormat="1" ht="13.5" customHeight="1">
      <c r="A54" s="2336"/>
      <c r="B54" s="2336"/>
      <c r="C54" s="845" t="s">
        <v>1253</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34"/>
      <c r="L54" s="2335"/>
      <c r="M54" s="2336"/>
      <c r="N54" s="2336"/>
      <c r="O54" s="2336"/>
      <c r="P54" s="1377"/>
    </row>
    <row r="55" spans="1:29" s="119" customFormat="1">
      <c r="A55" s="2336"/>
      <c r="B55" s="2341"/>
      <c r="C55" s="2342"/>
      <c r="D55" s="2336"/>
      <c r="E55" s="2336"/>
      <c r="F55" s="2336"/>
      <c r="G55" s="2336"/>
      <c r="H55" s="2336"/>
      <c r="I55" s="2336"/>
      <c r="J55" s="2336"/>
      <c r="K55" s="2334"/>
      <c r="L55" s="2335"/>
      <c r="M55" s="2336"/>
      <c r="N55" s="2336"/>
      <c r="O55" s="2336"/>
      <c r="P55" s="1377"/>
    </row>
    <row r="56" spans="1:29">
      <c r="A56" s="2331"/>
      <c r="B56" s="2341"/>
      <c r="C56" s="2342"/>
      <c r="D56" s="2331"/>
      <c r="E56" s="2331"/>
      <c r="F56" s="2331"/>
      <c r="G56" s="2331"/>
      <c r="H56" s="2331"/>
      <c r="I56" s="2331"/>
      <c r="J56" s="2331"/>
      <c r="K56" s="2332"/>
      <c r="L56" s="2333"/>
      <c r="M56" s="2331"/>
      <c r="N56" s="2331"/>
      <c r="O56" s="2331"/>
    </row>
    <row r="57" spans="1:29" ht="21" thickBot="1">
      <c r="A57" s="1378" t="s">
        <v>189</v>
      </c>
      <c r="B57" s="1371"/>
      <c r="C57" s="1379"/>
      <c r="D57" s="1379"/>
      <c r="E57" s="1379"/>
      <c r="F57" s="1380"/>
      <c r="G57" s="1380"/>
      <c r="H57" s="1379"/>
      <c r="I57" s="1379"/>
      <c r="J57" s="1379"/>
      <c r="K57" s="2337"/>
      <c r="L57" s="2338"/>
      <c r="M57" s="2339"/>
      <c r="N57" s="2339"/>
      <c r="O57" s="2339"/>
      <c r="P57" s="1382"/>
      <c r="Q57" s="121"/>
    </row>
    <row r="58" spans="1:29" s="856" customFormat="1" ht="15">
      <c r="A58" s="853" t="s">
        <v>3206</v>
      </c>
      <c r="B58" s="854"/>
      <c r="C58" s="3084" t="str">
        <f>YEAR(C7)&amp;"-"&amp;MONTH(C7)</f>
        <v>2017-7</v>
      </c>
      <c r="D58" s="3083">
        <f>EDATE(C58,-1)</f>
        <v>42887</v>
      </c>
      <c r="E58" s="3083">
        <f>EDATE(D58,-1)</f>
        <v>42856</v>
      </c>
      <c r="F58" s="3083">
        <f t="shared" ref="F58:O58" si="19">EDATE(E58,-1)</f>
        <v>42826</v>
      </c>
      <c r="G58" s="3083">
        <f t="shared" si="19"/>
        <v>42795</v>
      </c>
      <c r="H58" s="3083">
        <f t="shared" si="19"/>
        <v>42767</v>
      </c>
      <c r="I58" s="3083">
        <f t="shared" si="19"/>
        <v>42736</v>
      </c>
      <c r="J58" s="3083">
        <f t="shared" si="19"/>
        <v>42705</v>
      </c>
      <c r="K58" s="3083">
        <f t="shared" si="19"/>
        <v>42675</v>
      </c>
      <c r="L58" s="3083">
        <f t="shared" si="19"/>
        <v>42644</v>
      </c>
      <c r="M58" s="3083">
        <f t="shared" si="19"/>
        <v>42614</v>
      </c>
      <c r="N58" s="3083">
        <f t="shared" si="19"/>
        <v>42583</v>
      </c>
      <c r="O58" s="3083">
        <f t="shared" si="19"/>
        <v>42552</v>
      </c>
      <c r="P58" s="3076"/>
    </row>
    <row r="59" spans="1:29" s="40" customFormat="1" ht="14.25">
      <c r="A59" s="1051"/>
      <c r="B59" s="3079"/>
      <c r="C59" s="3080">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173</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166</v>
      </c>
      <c r="D61" s="140" t="s">
        <v>188</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312</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97</v>
      </c>
      <c r="C78" s="926" t="s">
        <v>1261</v>
      </c>
      <c r="D78" s="926" t="s">
        <v>1262</v>
      </c>
      <c r="E78" s="926" t="s">
        <v>1263</v>
      </c>
      <c r="F78" s="926" t="s">
        <v>1264</v>
      </c>
      <c r="G78" s="926" t="s">
        <v>1265</v>
      </c>
      <c r="H78" s="887"/>
      <c r="I78" s="887"/>
      <c r="J78" s="887"/>
      <c r="K78" s="888"/>
      <c r="L78" s="889"/>
      <c r="M78" s="890"/>
      <c r="N78" s="1395"/>
      <c r="O78" s="1395"/>
      <c r="P78" s="1385"/>
      <c r="Q78" s="121"/>
    </row>
    <row r="79" spans="1:17" ht="15" thickBot="1">
      <c r="A79" s="173"/>
      <c r="B79" s="1061"/>
      <c r="C79" s="892">
        <v>100</v>
      </c>
      <c r="D79" s="892">
        <f>C79-$K17</f>
        <v>98</v>
      </c>
      <c r="E79" s="892">
        <f>D79-$K17</f>
        <v>96</v>
      </c>
      <c r="F79" s="892">
        <f>E79-$K17</f>
        <v>94</v>
      </c>
      <c r="G79" s="892">
        <f>F79-$K17</f>
        <v>92</v>
      </c>
      <c r="H79" s="892"/>
      <c r="I79" s="892"/>
      <c r="J79" s="892"/>
      <c r="K79" s="892"/>
      <c r="L79" s="892"/>
      <c r="M79" s="893"/>
      <c r="N79" s="1396"/>
      <c r="O79" s="1396"/>
      <c r="P79" s="1385"/>
      <c r="Q79" s="121"/>
    </row>
    <row r="80" spans="1:17" ht="15" thickTop="1">
      <c r="A80" s="173"/>
      <c r="B80" s="1060" t="s">
        <v>3042</v>
      </c>
      <c r="C80" s="926" t="s">
        <v>1261</v>
      </c>
      <c r="D80" s="926" t="s">
        <v>1262</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3052</v>
      </c>
      <c r="C82" s="177" t="s">
        <v>3053</v>
      </c>
      <c r="D82" s="177" t="s">
        <v>3057</v>
      </c>
      <c r="E82" s="177" t="s">
        <v>3054</v>
      </c>
      <c r="F82" s="177" t="s">
        <v>3055</v>
      </c>
      <c r="G82" s="177" t="s">
        <v>3056</v>
      </c>
      <c r="H82" s="887"/>
      <c r="I82" s="887"/>
      <c r="J82" s="887"/>
      <c r="K82" s="887"/>
      <c r="L82" s="887"/>
      <c r="M82" s="2801"/>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2668</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1"/>
    </row>
    <row r="88" spans="1:17" s="40" customFormat="1" ht="14.25" thickTop="1">
      <c r="A88" s="1078"/>
      <c r="B88" s="1060" t="s">
        <v>102</v>
      </c>
      <c r="C88" s="139" t="s">
        <v>142</v>
      </c>
      <c r="D88" s="139" t="s">
        <v>143</v>
      </c>
      <c r="E88" s="139" t="s">
        <v>130</v>
      </c>
      <c r="F88" s="1392" t="s">
        <v>167</v>
      </c>
      <c r="G88" s="139" t="s">
        <v>144</v>
      </c>
      <c r="H88" s="139" t="s">
        <v>145</v>
      </c>
      <c r="I88" s="139" t="s">
        <v>146</v>
      </c>
      <c r="J88" s="139" t="s">
        <v>147</v>
      </c>
      <c r="K88" s="139" t="s">
        <v>148</v>
      </c>
      <c r="L88" s="139" t="s">
        <v>168</v>
      </c>
      <c r="M88" s="1391" t="s">
        <v>169</v>
      </c>
      <c r="N88" s="1394"/>
      <c r="O88" s="1394"/>
      <c r="P88" s="1385"/>
      <c r="Q88" s="121"/>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1"/>
    </row>
    <row r="90" spans="1:17" s="1045" customFormat="1" ht="14.25" thickTop="1">
      <c r="A90" s="1064"/>
      <c r="B90" s="1060" t="str">
        <f>B27</f>
        <v>道路级别</v>
      </c>
      <c r="C90" s="139" t="s">
        <v>319</v>
      </c>
      <c r="D90" s="139" t="s">
        <v>321</v>
      </c>
      <c r="E90" s="139" t="s">
        <v>318</v>
      </c>
      <c r="F90" s="139" t="s">
        <v>320</v>
      </c>
      <c r="G90" s="139" t="s">
        <v>317</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183</v>
      </c>
      <c r="C100" s="122" t="s">
        <v>323</v>
      </c>
      <c r="D100" s="122" t="s">
        <v>324</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185</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186</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3044</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172</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271</v>
      </c>
      <c r="D120" s="139" t="s">
        <v>274</v>
      </c>
      <c r="E120" s="139" t="s">
        <v>272</v>
      </c>
      <c r="F120" s="139" t="s">
        <v>273</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187</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604</v>
      </c>
      <c r="D124" s="926" t="s">
        <v>605</v>
      </c>
      <c r="E124" s="926" t="s">
        <v>606</v>
      </c>
      <c r="F124" s="926" t="s">
        <v>607</v>
      </c>
      <c r="G124" s="926" t="s">
        <v>608</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325</v>
      </c>
      <c r="D126" s="139" t="s">
        <v>326</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4" t="s">
        <v>2669</v>
      </c>
    </row>
    <row r="137" spans="1:17" ht="14.25">
      <c r="B137" s="2165" t="s">
        <v>2670</v>
      </c>
      <c r="C137" s="2166"/>
      <c r="D137" s="2166"/>
      <c r="E137" s="2166"/>
      <c r="F137" s="2166"/>
      <c r="G137" s="2167"/>
      <c r="H137" s="2168"/>
      <c r="I137" s="2169" t="s">
        <v>2671</v>
      </c>
      <c r="J137" s="2166"/>
      <c r="K137" s="2170"/>
    </row>
    <row r="138" spans="1:17" ht="14.25">
      <c r="B138" s="2171"/>
      <c r="C138" s="1801" t="s">
        <v>2672</v>
      </c>
      <c r="D138" s="1801" t="s">
        <v>2673</v>
      </c>
      <c r="E138" s="2172" t="s">
        <v>2674</v>
      </c>
      <c r="F138" s="2173" t="s">
        <v>2675</v>
      </c>
      <c r="G138" s="1801" t="s">
        <v>2673</v>
      </c>
      <c r="H138" s="2174" t="s">
        <v>2674</v>
      </c>
      <c r="I138" s="2175"/>
      <c r="J138" s="1801" t="s">
        <v>2676</v>
      </c>
      <c r="K138" s="2174" t="s">
        <v>2677</v>
      </c>
    </row>
    <row r="139" spans="1:17" ht="15">
      <c r="B139" s="2176">
        <v>6</v>
      </c>
      <c r="C139" s="2177">
        <v>96</v>
      </c>
      <c r="D139" s="2178" t="s">
        <v>2678</v>
      </c>
      <c r="E139" s="2179">
        <v>100</v>
      </c>
      <c r="F139" s="2180">
        <v>102.5</v>
      </c>
      <c r="G139" s="2178" t="s">
        <v>2678</v>
      </c>
      <c r="H139" s="2181">
        <v>105</v>
      </c>
      <c r="I139" s="2182" t="s">
        <v>2679</v>
      </c>
      <c r="J139" s="2177">
        <v>20</v>
      </c>
      <c r="K139" s="2183">
        <f>C145/(J139-2)</f>
        <v>4.0555555555555553E-3</v>
      </c>
    </row>
    <row r="140" spans="1:17" ht="15">
      <c r="B140" s="2184">
        <v>5</v>
      </c>
      <c r="C140" s="2185">
        <v>100</v>
      </c>
      <c r="D140" s="2186"/>
      <c r="E140" s="2187"/>
      <c r="F140" s="2188">
        <v>102</v>
      </c>
      <c r="G140" s="2186"/>
      <c r="H140" s="2189"/>
      <c r="I140" s="2190" t="s">
        <v>2680</v>
      </c>
      <c r="J140" s="652">
        <f>ROUNDUP((J139-1)/2,0)</f>
        <v>10</v>
      </c>
      <c r="K140" s="2191">
        <v>100</v>
      </c>
    </row>
    <row r="141" spans="1:17" ht="15">
      <c r="B141" s="2184">
        <v>4</v>
      </c>
      <c r="C141" s="2185">
        <v>102</v>
      </c>
      <c r="D141" s="2186"/>
      <c r="E141" s="2187"/>
      <c r="F141" s="2188">
        <v>101.5</v>
      </c>
      <c r="G141" s="2186"/>
      <c r="H141" s="2189"/>
      <c r="I141" s="2190" t="s">
        <v>2681</v>
      </c>
      <c r="J141" s="652">
        <v>1</v>
      </c>
      <c r="K141" s="2192">
        <f>ROUND(100+(J141-J140)*K139*100,1)</f>
        <v>96.4</v>
      </c>
    </row>
    <row r="142" spans="1:17" ht="15">
      <c r="B142" s="2184">
        <v>3</v>
      </c>
      <c r="C142" s="2185">
        <v>103</v>
      </c>
      <c r="D142" s="2186"/>
      <c r="E142" s="2187"/>
      <c r="F142" s="2188">
        <v>101</v>
      </c>
      <c r="G142" s="2186"/>
      <c r="H142" s="2189"/>
      <c r="I142" s="2190" t="s">
        <v>2682</v>
      </c>
      <c r="J142" s="652">
        <f>J139</f>
        <v>20</v>
      </c>
      <c r="K142" s="2193">
        <v>95</v>
      </c>
    </row>
    <row r="143" spans="1:17" ht="15">
      <c r="B143" s="2184">
        <v>2</v>
      </c>
      <c r="C143" s="2185">
        <v>100</v>
      </c>
      <c r="D143" s="2186"/>
      <c r="E143" s="2187"/>
      <c r="F143" s="2188">
        <v>100.5</v>
      </c>
      <c r="G143" s="2186"/>
      <c r="H143" s="2189"/>
      <c r="I143" s="2190" t="s">
        <v>2683</v>
      </c>
      <c r="J143" s="2185">
        <v>15</v>
      </c>
      <c r="K143" s="2192">
        <f>ROUND(100+(J143-J140)*K139*100,1)</f>
        <v>102</v>
      </c>
    </row>
    <row r="144" spans="1:17" ht="15">
      <c r="B144" s="2184">
        <v>1</v>
      </c>
      <c r="C144" s="2185">
        <v>98</v>
      </c>
      <c r="D144" s="1166" t="s">
        <v>2684</v>
      </c>
      <c r="E144" s="2187">
        <v>102</v>
      </c>
      <c r="F144" s="2194">
        <v>100</v>
      </c>
      <c r="G144" s="1166" t="s">
        <v>2684</v>
      </c>
      <c r="H144" s="2189">
        <v>105</v>
      </c>
      <c r="I144" s="2190" t="s">
        <v>2683</v>
      </c>
      <c r="J144" s="2185">
        <v>18</v>
      </c>
      <c r="K144" s="2192">
        <f>ROUND(100+(J144-J140)*K139*100,1)</f>
        <v>103.2</v>
      </c>
    </row>
    <row r="145" spans="2:11" ht="15.75" thickBot="1">
      <c r="B145" s="2195" t="s">
        <v>2685</v>
      </c>
      <c r="C145" s="2196">
        <f>ROUND(MAX(C139:C144)/MIN(C139:C144)-1,3)</f>
        <v>7.2999999999999995E-2</v>
      </c>
      <c r="D145" s="2197"/>
      <c r="E145" s="2198"/>
      <c r="F145" s="2199" t="s">
        <v>2686</v>
      </c>
      <c r="G145" s="2200"/>
      <c r="H145" s="2201"/>
      <c r="I145" s="2202" t="s">
        <v>2687</v>
      </c>
      <c r="J145" s="2203">
        <v>8</v>
      </c>
      <c r="K145" s="2204">
        <f>ROUND(100+(J145-J140)*K139*100,1)</f>
        <v>99.2</v>
      </c>
    </row>
    <row r="147" spans="2:11">
      <c r="B147" s="2164" t="s">
        <v>2695</v>
      </c>
    </row>
    <row r="148" spans="2:11">
      <c r="B148" s="2164" t="s">
        <v>2696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192</v>
      </c>
      <c r="D1" s="3145" t="s">
        <v>371</v>
      </c>
      <c r="E1" s="3148"/>
      <c r="F1" s="3147" t="s">
        <v>3103</v>
      </c>
      <c r="G1" s="3149" t="s">
        <v>193</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340</v>
      </c>
      <c r="B2" s="2883" t="e">
        <f ca="1">IF(C2="——",ROUND(B3*D3/10000,0),ROUND(B3*D3/10000,0)-D2)</f>
        <v>#DIV/0!</v>
      </c>
      <c r="C2" s="3139" t="s">
        <v>3105</v>
      </c>
      <c r="D2" s="2760" t="e">
        <f ca="1">SUMIF(INDIRECT("'"&amp;F2&amp;"'"&amp;"!A:A"),"承租人权益价值",INDIRECT("'"&amp;F2&amp;"'"&amp;"!c:c"))</f>
        <v>#N/A</v>
      </c>
      <c r="E2" s="3140" t="s">
        <v>1109</v>
      </c>
      <c r="F2" s="3141" t="s">
        <v>3077</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341</v>
      </c>
      <c r="B3" s="957" t="e">
        <f>C49</f>
        <v>#DIV/0!</v>
      </c>
      <c r="C3" s="142" t="s">
        <v>335</v>
      </c>
      <c r="D3" s="747">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649" t="s">
        <v>59</v>
      </c>
      <c r="D4" s="3650"/>
      <c r="E4" s="3651" t="s">
        <v>60</v>
      </c>
      <c r="F4" s="3652"/>
      <c r="G4" s="3649" t="s">
        <v>61</v>
      </c>
      <c r="H4" s="3650"/>
      <c r="I4" s="3649" t="s">
        <v>62</v>
      </c>
      <c r="J4" s="3650"/>
      <c r="K4" s="187" t="s">
        <v>63</v>
      </c>
      <c r="L4" s="2322"/>
      <c r="M4" s="2323"/>
      <c r="N4" s="2323"/>
      <c r="O4" s="2323"/>
      <c r="P4" s="3653" t="s">
        <v>58</v>
      </c>
      <c r="Q4" s="3654"/>
      <c r="R4" s="3659" t="s">
        <v>60</v>
      </c>
      <c r="S4" s="3660"/>
      <c r="T4" s="3659" t="s">
        <v>61</v>
      </c>
      <c r="U4" s="3660"/>
      <c r="V4" s="3665" t="s">
        <v>62</v>
      </c>
      <c r="W4" s="3665"/>
      <c r="X4" s="1346"/>
      <c r="Y4" s="3659" t="s">
        <v>58</v>
      </c>
      <c r="Z4" s="3660"/>
      <c r="AA4" s="3646" t="s">
        <v>60</v>
      </c>
      <c r="AB4" s="3665" t="s">
        <v>61</v>
      </c>
      <c r="AC4" s="3646" t="s">
        <v>62</v>
      </c>
    </row>
    <row r="5" spans="1:29">
      <c r="A5" s="146"/>
      <c r="B5" s="147"/>
      <c r="C5" s="3575" t="s">
        <v>64</v>
      </c>
      <c r="D5" s="3576"/>
      <c r="E5" s="3582" t="s">
        <v>65</v>
      </c>
      <c r="F5" s="3583"/>
      <c r="G5" s="3575" t="s">
        <v>66</v>
      </c>
      <c r="H5" s="3576"/>
      <c r="I5" s="3575" t="s">
        <v>67</v>
      </c>
      <c r="J5" s="3576"/>
      <c r="K5" s="187"/>
      <c r="L5" s="2322"/>
      <c r="M5" s="2323"/>
      <c r="N5" s="2323"/>
      <c r="O5" s="2323"/>
      <c r="P5" s="3655"/>
      <c r="Q5" s="3656"/>
      <c r="R5" s="3661"/>
      <c r="S5" s="3662"/>
      <c r="T5" s="3661"/>
      <c r="U5" s="3662"/>
      <c r="V5" s="3665"/>
      <c r="W5" s="3665"/>
      <c r="X5" s="1346"/>
      <c r="Y5" s="3661"/>
      <c r="Z5" s="3662"/>
      <c r="AA5" s="3647"/>
      <c r="AB5" s="3665"/>
      <c r="AC5" s="3647"/>
    </row>
    <row r="6" spans="1:29" ht="14.25" thickBot="1">
      <c r="A6" s="148"/>
      <c r="B6" s="149"/>
      <c r="C6" s="3580" t="s">
        <v>68</v>
      </c>
      <c r="D6" s="3581"/>
      <c r="E6" s="3669" t="s">
        <v>68</v>
      </c>
      <c r="F6" s="3670"/>
      <c r="G6" s="3580" t="s">
        <v>68</v>
      </c>
      <c r="H6" s="3581"/>
      <c r="I6" s="3580" t="s">
        <v>68</v>
      </c>
      <c r="J6" s="3581"/>
      <c r="K6" s="187" t="s">
        <v>170</v>
      </c>
      <c r="L6" s="2322"/>
      <c r="M6" s="2323"/>
      <c r="N6" s="2323"/>
      <c r="O6" s="2323"/>
      <c r="P6" s="3657"/>
      <c r="Q6" s="3658"/>
      <c r="R6" s="3661"/>
      <c r="S6" s="3662"/>
      <c r="T6" s="3663"/>
      <c r="U6" s="3664"/>
      <c r="V6" s="3665"/>
      <c r="W6" s="3665"/>
      <c r="X6" s="1346"/>
      <c r="Y6" s="3663"/>
      <c r="Z6" s="3664"/>
      <c r="AA6" s="3648"/>
      <c r="AB6" s="3665"/>
      <c r="AC6" s="3648"/>
    </row>
    <row r="7" spans="1:29" s="40" customFormat="1" ht="15" thickBot="1">
      <c r="A7" s="1019" t="s">
        <v>69</v>
      </c>
      <c r="B7" s="1020"/>
      <c r="C7" s="1021">
        <f>'数据-取费表'!B2</f>
        <v>42930</v>
      </c>
      <c r="D7" s="759">
        <v>100</v>
      </c>
      <c r="E7" s="1022">
        <v>42007</v>
      </c>
      <c r="F7" s="761">
        <f>SUMIF(58:58,YEAR(E7)&amp;"-"&amp;MONTH(E7),59:59)</f>
        <v>0</v>
      </c>
      <c r="G7" s="1023">
        <v>41918</v>
      </c>
      <c r="H7" s="759">
        <f>SUMIF(58:58,YEAR(G7)&amp;"-"&amp;MONTH(G7),59:59)</f>
        <v>0</v>
      </c>
      <c r="I7" s="1023">
        <v>42003</v>
      </c>
      <c r="J7" s="759">
        <f>SUMIF(58:58,YEAR(I7)&amp;"-"&amp;MONTH(I7),59:59)</f>
        <v>0</v>
      </c>
      <c r="K7" s="1024"/>
      <c r="L7" s="2324"/>
      <c r="M7" s="2286"/>
      <c r="N7" s="2286"/>
      <c r="O7" s="2286"/>
      <c r="P7" s="3666" t="s">
        <v>69</v>
      </c>
      <c r="Q7" s="3668"/>
      <c r="R7" s="1348" t="s">
        <v>70</v>
      </c>
      <c r="S7" s="1349">
        <f t="shared" ref="S7:S15" si="0">F7</f>
        <v>0</v>
      </c>
      <c r="T7" s="1348" t="s">
        <v>70</v>
      </c>
      <c r="U7" s="1349">
        <f t="shared" ref="U7:U15" si="1">H7</f>
        <v>0</v>
      </c>
      <c r="V7" s="1348" t="s">
        <v>70</v>
      </c>
      <c r="W7" s="1349">
        <f t="shared" ref="W7:W15" si="2">J7</f>
        <v>0</v>
      </c>
      <c r="X7" s="293"/>
      <c r="Y7" s="3666" t="s">
        <v>69</v>
      </c>
      <c r="Z7" s="3667"/>
      <c r="AA7" s="1350" t="e">
        <f>D7/F7</f>
        <v>#DIV/0!</v>
      </c>
      <c r="AB7" s="1350" t="e">
        <f>D7/H7</f>
        <v>#DIV/0!</v>
      </c>
      <c r="AC7" s="1350" t="e">
        <f>D7/J7</f>
        <v>#DIV/0!</v>
      </c>
    </row>
    <row r="8" spans="1:29" s="40" customFormat="1" ht="15" thickBot="1">
      <c r="A8" s="1019" t="s">
        <v>71</v>
      </c>
      <c r="B8" s="1020"/>
      <c r="C8" s="1025" t="s">
        <v>166</v>
      </c>
      <c r="D8" s="759">
        <v>100</v>
      </c>
      <c r="E8" s="1025" t="s">
        <v>259</v>
      </c>
      <c r="F8" s="761">
        <f>SUMIF(61:61,E8,62:62)-SUMIF(61:61,C8,62:62)+100</f>
        <v>102</v>
      </c>
      <c r="G8" s="1025" t="s">
        <v>1266</v>
      </c>
      <c r="H8" s="759">
        <f>SUMIF(61:61,G8,62:62)-SUMIF(61:61,C8,62:62)+100</f>
        <v>100</v>
      </c>
      <c r="I8" s="1025" t="s">
        <v>1266</v>
      </c>
      <c r="J8" s="759">
        <f>SUMIF(61:61,I8,62:62)-SUMIF(61:61,C8,62:62)+100</f>
        <v>100</v>
      </c>
      <c r="K8" s="1024"/>
      <c r="L8" s="2324"/>
      <c r="M8" s="2286"/>
      <c r="N8" s="2286"/>
      <c r="O8" s="2286"/>
      <c r="P8" s="3666" t="s">
        <v>1267</v>
      </c>
      <c r="Q8" s="3667"/>
      <c r="R8" s="1348" t="s">
        <v>70</v>
      </c>
      <c r="S8" s="1349">
        <f t="shared" si="0"/>
        <v>102</v>
      </c>
      <c r="T8" s="1348" t="s">
        <v>70</v>
      </c>
      <c r="U8" s="1349">
        <f t="shared" si="1"/>
        <v>100</v>
      </c>
      <c r="V8" s="1348" t="s">
        <v>70</v>
      </c>
      <c r="W8" s="1349">
        <f t="shared" si="2"/>
        <v>100</v>
      </c>
      <c r="X8" s="293"/>
      <c r="Y8" s="3666" t="s">
        <v>1267</v>
      </c>
      <c r="Z8" s="3667"/>
      <c r="AA8" s="1350">
        <f t="shared" ref="AA8:AA46" si="3">D8/F8</f>
        <v>0.98039215686274506</v>
      </c>
      <c r="AB8" s="1350">
        <f t="shared" ref="AB8:AB46" si="4">D8/H8</f>
        <v>1</v>
      </c>
      <c r="AC8" s="1350">
        <f t="shared" ref="AC8:AC46" si="5">D8/J8</f>
        <v>1</v>
      </c>
    </row>
    <row r="9" spans="1:29" s="40" customFormat="1" ht="14.25">
      <c r="A9" s="1026" t="s">
        <v>1268</v>
      </c>
      <c r="B9" s="62" t="s">
        <v>1269</v>
      </c>
      <c r="C9" s="1352" t="s">
        <v>1270</v>
      </c>
      <c r="D9" s="430">
        <v>100</v>
      </c>
      <c r="E9" s="1353" t="s">
        <v>43</v>
      </c>
      <c r="F9" s="767">
        <f>SUMIF(63:63,E9,64:64)-SUMIF(63:63,C9,64:64)+100</f>
        <v>100</v>
      </c>
      <c r="G9" s="1353" t="s">
        <v>280</v>
      </c>
      <c r="H9" s="430">
        <f>SUMIF(63:63,G9,64:64)-SUMIF(63:63,C9,64:64)+100</f>
        <v>95</v>
      </c>
      <c r="I9" s="1353" t="s">
        <v>43</v>
      </c>
      <c r="J9" s="430">
        <f>SUMIF(63:63,I9,64:64)-SUMIF(63:63,C9,64:64)+100</f>
        <v>100</v>
      </c>
      <c r="K9" s="1024"/>
      <c r="L9" s="2324"/>
      <c r="M9" s="2286"/>
      <c r="N9" s="2286"/>
      <c r="O9" s="2286"/>
      <c r="P9" s="3645" t="s">
        <v>72</v>
      </c>
      <c r="Q9" s="7" t="str">
        <f t="shared" ref="Q9:Q15" si="6">B9</f>
        <v>用途</v>
      </c>
      <c r="R9" s="1348" t="s">
        <v>70</v>
      </c>
      <c r="S9" s="1349">
        <f t="shared" si="0"/>
        <v>100</v>
      </c>
      <c r="T9" s="1348" t="s">
        <v>70</v>
      </c>
      <c r="U9" s="1349">
        <f t="shared" si="1"/>
        <v>95</v>
      </c>
      <c r="V9" s="1348" t="s">
        <v>70</v>
      </c>
      <c r="W9" s="1349">
        <f t="shared" si="2"/>
        <v>100</v>
      </c>
      <c r="X9" s="293"/>
      <c r="Y9" s="3396" t="s">
        <v>72</v>
      </c>
      <c r="Z9" s="294" t="str">
        <f t="shared" ref="Z9:Z15" si="7">Q9</f>
        <v>用途</v>
      </c>
      <c r="AA9" s="1350">
        <f t="shared" si="3"/>
        <v>1</v>
      </c>
      <c r="AB9" s="1350">
        <f t="shared" si="4"/>
        <v>1.0526315789473684</v>
      </c>
      <c r="AC9" s="1350">
        <f t="shared" si="5"/>
        <v>1</v>
      </c>
    </row>
    <row r="10" spans="1:29" s="92" customFormat="1" ht="27">
      <c r="A10" s="150"/>
      <c r="B10" s="12" t="s">
        <v>125</v>
      </c>
      <c r="C10" s="1355" t="s">
        <v>287</v>
      </c>
      <c r="D10" s="431">
        <v>100</v>
      </c>
      <c r="E10" s="1356" t="s">
        <v>288</v>
      </c>
      <c r="F10" s="774">
        <f>SUMIF(65:65,E10,66:66)-SUMIF(65:65,C10,66:66)+100</f>
        <v>99</v>
      </c>
      <c r="G10" s="1355" t="s">
        <v>2801</v>
      </c>
      <c r="H10" s="431">
        <f>SUMIF(65:65,G10,66:66)-SUMIF(65:65,C10,66:66)+100</f>
        <v>98</v>
      </c>
      <c r="I10" s="1355" t="s">
        <v>290</v>
      </c>
      <c r="J10" s="431">
        <f>SUMIF(65:65,I10,66:66)-SUMIF(65:65,C10,66:66)+100</f>
        <v>97</v>
      </c>
      <c r="K10" s="960">
        <v>1</v>
      </c>
      <c r="L10" s="2325"/>
      <c r="M10" s="2326"/>
      <c r="N10" s="2326"/>
      <c r="O10" s="2326"/>
      <c r="P10" s="3645"/>
      <c r="Q10" s="7" t="str">
        <f t="shared" si="6"/>
        <v>土地使用年限（年）</v>
      </c>
      <c r="R10" s="1348" t="s">
        <v>70</v>
      </c>
      <c r="S10" s="1349">
        <f t="shared" si="0"/>
        <v>99</v>
      </c>
      <c r="T10" s="1348" t="s">
        <v>70</v>
      </c>
      <c r="U10" s="1349">
        <f t="shared" si="1"/>
        <v>98</v>
      </c>
      <c r="V10" s="1348" t="s">
        <v>70</v>
      </c>
      <c r="W10" s="1349">
        <f t="shared" si="2"/>
        <v>97</v>
      </c>
      <c r="X10" s="293"/>
      <c r="Y10" s="3396"/>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27"/>
      <c r="M11" s="2323"/>
      <c r="N11" s="2323"/>
      <c r="O11" s="2323"/>
      <c r="P11" s="3645"/>
      <c r="Q11" s="7" t="str">
        <f t="shared" si="6"/>
        <v>容积率</v>
      </c>
      <c r="R11" s="1348" t="s">
        <v>70</v>
      </c>
      <c r="S11" s="1349">
        <f t="shared" si="0"/>
        <v>98</v>
      </c>
      <c r="T11" s="1348" t="s">
        <v>70</v>
      </c>
      <c r="U11" s="1349">
        <f t="shared" si="1"/>
        <v>96</v>
      </c>
      <c r="V11" s="1348" t="s">
        <v>70</v>
      </c>
      <c r="W11" s="1349">
        <f t="shared" si="2"/>
        <v>94</v>
      </c>
      <c r="X11" s="293"/>
      <c r="Y11" s="3396"/>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4"/>
      <c r="M12" s="2286"/>
      <c r="N12" s="2286"/>
      <c r="O12" s="2286"/>
      <c r="P12" s="3645"/>
      <c r="Q12" s="7">
        <f t="shared" si="6"/>
        <v>111</v>
      </c>
      <c r="R12" s="1348" t="s">
        <v>70</v>
      </c>
      <c r="S12" s="1349">
        <f t="shared" si="0"/>
        <v>100</v>
      </c>
      <c r="T12" s="1348" t="s">
        <v>70</v>
      </c>
      <c r="U12" s="1349">
        <f t="shared" si="1"/>
        <v>100</v>
      </c>
      <c r="V12" s="1348" t="s">
        <v>70</v>
      </c>
      <c r="W12" s="1349">
        <f t="shared" si="2"/>
        <v>100</v>
      </c>
      <c r="X12" s="293"/>
      <c r="Y12" s="3396"/>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28"/>
      <c r="M13" s="2323"/>
      <c r="N13" s="2323"/>
      <c r="O13" s="2323"/>
      <c r="P13" s="3645"/>
      <c r="Q13" s="7">
        <f t="shared" si="6"/>
        <v>111</v>
      </c>
      <c r="R13" s="1348" t="s">
        <v>70</v>
      </c>
      <c r="S13" s="1349">
        <f t="shared" si="0"/>
        <v>100</v>
      </c>
      <c r="T13" s="1348" t="s">
        <v>70</v>
      </c>
      <c r="U13" s="1349">
        <f t="shared" si="1"/>
        <v>100</v>
      </c>
      <c r="V13" s="1348" t="s">
        <v>70</v>
      </c>
      <c r="W13" s="1349">
        <f t="shared" si="2"/>
        <v>100</v>
      </c>
      <c r="X13" s="293"/>
      <c r="Y13" s="3396"/>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28"/>
      <c r="M14" s="2323"/>
      <c r="N14" s="2323"/>
      <c r="O14" s="2323"/>
      <c r="P14" s="3645"/>
      <c r="Q14" s="7">
        <f t="shared" si="6"/>
        <v>111</v>
      </c>
      <c r="R14" s="1348" t="s">
        <v>70</v>
      </c>
      <c r="S14" s="1349">
        <f t="shared" si="0"/>
        <v>100</v>
      </c>
      <c r="T14" s="1348" t="s">
        <v>70</v>
      </c>
      <c r="U14" s="1349">
        <f t="shared" si="1"/>
        <v>100</v>
      </c>
      <c r="V14" s="1348" t="s">
        <v>70</v>
      </c>
      <c r="W14" s="1349">
        <f t="shared" si="2"/>
        <v>100</v>
      </c>
      <c r="X14" s="293"/>
      <c r="Y14" s="3396"/>
      <c r="Z14" s="294">
        <f t="shared" si="7"/>
        <v>111</v>
      </c>
      <c r="AA14" s="1350">
        <f t="shared" si="3"/>
        <v>1</v>
      </c>
      <c r="AB14" s="1350">
        <f t="shared" si="4"/>
        <v>1</v>
      </c>
      <c r="AC14" s="1350">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28"/>
      <c r="M15" s="2323"/>
      <c r="N15" s="2323"/>
      <c r="O15" s="2323"/>
      <c r="P15" s="3643" t="s">
        <v>74</v>
      </c>
      <c r="Q15" s="1357" t="str">
        <f t="shared" si="6"/>
        <v>商业繁华度</v>
      </c>
      <c r="R15" s="1358" t="s">
        <v>70</v>
      </c>
      <c r="S15" s="1359">
        <f t="shared" si="0"/>
        <v>100</v>
      </c>
      <c r="T15" s="1358" t="s">
        <v>70</v>
      </c>
      <c r="U15" s="1359">
        <f t="shared" si="1"/>
        <v>100</v>
      </c>
      <c r="V15" s="1358" t="s">
        <v>70</v>
      </c>
      <c r="W15" s="1359">
        <f t="shared" si="2"/>
        <v>100</v>
      </c>
      <c r="X15" s="1346"/>
      <c r="Y15" s="3636"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28"/>
      <c r="M16" s="2323"/>
      <c r="N16" s="2323"/>
      <c r="O16" s="2323"/>
      <c r="P16" s="3644"/>
      <c r="Q16" s="1357"/>
      <c r="R16" s="1358"/>
      <c r="S16" s="1359"/>
      <c r="T16" s="1358"/>
      <c r="U16" s="1359"/>
      <c r="V16" s="1358"/>
      <c r="W16" s="1359"/>
      <c r="X16" s="1346"/>
      <c r="Y16" s="3637"/>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28"/>
      <c r="M17" s="2323"/>
      <c r="N17" s="2323"/>
      <c r="O17" s="2323"/>
      <c r="P17" s="3644"/>
      <c r="Q17" s="1357" t="str">
        <f>B17</f>
        <v>交通便捷度</v>
      </c>
      <c r="R17" s="1358" t="s">
        <v>70</v>
      </c>
      <c r="S17" s="1359">
        <f>F17</f>
        <v>97</v>
      </c>
      <c r="T17" s="1358" t="s">
        <v>70</v>
      </c>
      <c r="U17" s="1359">
        <f>H17</f>
        <v>94</v>
      </c>
      <c r="V17" s="1358" t="s">
        <v>70</v>
      </c>
      <c r="W17" s="1359">
        <f>J17</f>
        <v>106</v>
      </c>
      <c r="X17" s="1346"/>
      <c r="Y17" s="3637"/>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184</v>
      </c>
      <c r="H18" s="797"/>
      <c r="I18" s="103" t="s">
        <v>122</v>
      </c>
      <c r="J18" s="797"/>
      <c r="K18" s="189"/>
      <c r="L18" s="2328"/>
      <c r="M18" s="2323"/>
      <c r="N18" s="2323"/>
      <c r="O18" s="2323"/>
      <c r="P18" s="3644"/>
      <c r="Q18" s="1357"/>
      <c r="R18" s="1358"/>
      <c r="S18" s="1359"/>
      <c r="T18" s="1358"/>
      <c r="U18" s="1359"/>
      <c r="V18" s="1358"/>
      <c r="W18" s="1359"/>
      <c r="X18" s="1346"/>
      <c r="Y18" s="3637"/>
      <c r="Z18" s="1360"/>
      <c r="AA18" s="1361">
        <v>1</v>
      </c>
      <c r="AB18" s="1361">
        <v>1</v>
      </c>
      <c r="AC18" s="1361">
        <v>1</v>
      </c>
    </row>
    <row r="19" spans="1:29" ht="40.5">
      <c r="A19" s="151"/>
      <c r="B19" s="1362" t="s">
        <v>3058</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28"/>
      <c r="M19" s="2323"/>
      <c r="N19" s="2323"/>
      <c r="O19" s="2323"/>
      <c r="P19" s="3644"/>
      <c r="Q19" s="1357" t="str">
        <f>B19</f>
        <v>公共配套设施</v>
      </c>
      <c r="R19" s="1358" t="s">
        <v>70</v>
      </c>
      <c r="S19" s="1359">
        <f>F19</f>
        <v>98</v>
      </c>
      <c r="T19" s="1358" t="s">
        <v>70</v>
      </c>
      <c r="U19" s="1359">
        <f>H19</f>
        <v>96</v>
      </c>
      <c r="V19" s="1358" t="s">
        <v>70</v>
      </c>
      <c r="W19" s="1359">
        <f>J19</f>
        <v>100</v>
      </c>
      <c r="X19" s="1346"/>
      <c r="Y19" s="3637"/>
      <c r="Z19" s="1360" t="str">
        <f>Q19</f>
        <v>公共配套设施</v>
      </c>
      <c r="AA19" s="1361">
        <f t="shared" si="3"/>
        <v>1.0204081632653061</v>
      </c>
      <c r="AB19" s="1361">
        <f t="shared" si="4"/>
        <v>1.0416666666666667</v>
      </c>
      <c r="AC19" s="1361">
        <f t="shared" si="5"/>
        <v>1</v>
      </c>
    </row>
    <row r="20" spans="1:29" ht="14.25">
      <c r="A20" s="151"/>
      <c r="B20" s="1046"/>
      <c r="C20" s="97" t="s">
        <v>2800</v>
      </c>
      <c r="D20" s="797"/>
      <c r="E20" s="98" t="s">
        <v>124</v>
      </c>
      <c r="F20" s="798"/>
      <c r="G20" s="99" t="s">
        <v>153</v>
      </c>
      <c r="H20" s="797"/>
      <c r="I20" s="98" t="s">
        <v>123</v>
      </c>
      <c r="J20" s="797"/>
      <c r="K20" s="189"/>
      <c r="L20" s="2328"/>
      <c r="M20" s="2323"/>
      <c r="N20" s="2323"/>
      <c r="O20" s="2323"/>
      <c r="P20" s="3644"/>
      <c r="Q20" s="1357"/>
      <c r="R20" s="1358"/>
      <c r="S20" s="1359"/>
      <c r="T20" s="1358"/>
      <c r="U20" s="1359"/>
      <c r="V20" s="1358"/>
      <c r="W20" s="1359"/>
      <c r="X20" s="1346"/>
      <c r="Y20" s="3637"/>
      <c r="Z20" s="1360"/>
      <c r="AA20" s="1361">
        <v>1</v>
      </c>
      <c r="AB20" s="1361">
        <v>1</v>
      </c>
      <c r="AC20" s="1361">
        <v>1</v>
      </c>
    </row>
    <row r="21" spans="1:29" ht="27">
      <c r="A21" s="151"/>
      <c r="B21" s="1418" t="s">
        <v>3059</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28"/>
      <c r="M21" s="2323"/>
      <c r="N21" s="2323"/>
      <c r="O21" s="2323"/>
      <c r="P21" s="3644"/>
      <c r="Q21" s="2782" t="str">
        <f>B21</f>
        <v>基础设施水平</v>
      </c>
      <c r="R21" s="1358" t="s">
        <v>70</v>
      </c>
      <c r="S21" s="1359">
        <f>F21</f>
        <v>99</v>
      </c>
      <c r="T21" s="1358" t="s">
        <v>70</v>
      </c>
      <c r="U21" s="1359">
        <f>H21</f>
        <v>98</v>
      </c>
      <c r="V21" s="1358" t="s">
        <v>70</v>
      </c>
      <c r="W21" s="1359">
        <f>J21</f>
        <v>97</v>
      </c>
      <c r="X21" s="2784"/>
      <c r="Y21" s="3637"/>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258</v>
      </c>
      <c r="J22" s="797"/>
      <c r="K22" s="2802"/>
      <c r="L22" s="2328"/>
      <c r="M22" s="2323"/>
      <c r="N22" s="2323"/>
      <c r="O22" s="2323"/>
      <c r="P22" s="3644"/>
      <c r="Q22" s="2782"/>
      <c r="R22" s="1358"/>
      <c r="S22" s="1359"/>
      <c r="T22" s="1358"/>
      <c r="U22" s="1359"/>
      <c r="V22" s="1358"/>
      <c r="W22" s="1359"/>
      <c r="X22" s="2784"/>
      <c r="Y22" s="3637"/>
      <c r="Z22" s="2783"/>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28"/>
      <c r="M23" s="2323"/>
      <c r="N23" s="2323"/>
      <c r="O23" s="2323"/>
      <c r="P23" s="3644"/>
      <c r="Q23" s="1357" t="str">
        <f>B23</f>
        <v>自然及人文环境</v>
      </c>
      <c r="R23" s="1358" t="s">
        <v>70</v>
      </c>
      <c r="S23" s="1359">
        <f>F23</f>
        <v>98.5</v>
      </c>
      <c r="T23" s="1358" t="s">
        <v>70</v>
      </c>
      <c r="U23" s="1359">
        <f>H23</f>
        <v>103</v>
      </c>
      <c r="V23" s="1358" t="s">
        <v>70</v>
      </c>
      <c r="W23" s="1359">
        <f>J23</f>
        <v>101.5</v>
      </c>
      <c r="X23" s="1346"/>
      <c r="Y23" s="3637"/>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28"/>
      <c r="M24" s="2323"/>
      <c r="N24" s="2323"/>
      <c r="O24" s="2323"/>
      <c r="P24" s="3644"/>
      <c r="Q24" s="1357"/>
      <c r="R24" s="1358"/>
      <c r="S24" s="1359"/>
      <c r="T24" s="1358"/>
      <c r="U24" s="1359"/>
      <c r="V24" s="1358"/>
      <c r="W24" s="1359"/>
      <c r="X24" s="1346"/>
      <c r="Y24" s="3637"/>
      <c r="Z24" s="1360"/>
      <c r="AA24" s="1361">
        <v>1</v>
      </c>
      <c r="AB24" s="1361">
        <v>1</v>
      </c>
      <c r="AC24" s="1361">
        <v>1</v>
      </c>
    </row>
    <row r="25" spans="1:29" ht="15">
      <c r="A25" s="151"/>
      <c r="B25" s="12" t="s">
        <v>195</v>
      </c>
      <c r="C25" s="182" t="s">
        <v>179</v>
      </c>
      <c r="D25" s="784">
        <v>100</v>
      </c>
      <c r="E25" s="182" t="s">
        <v>276</v>
      </c>
      <c r="F25" s="810">
        <f>SUMIF(86:86,E25,87:87)-SUMIF(86:86,C25,87:87)+100</f>
        <v>104</v>
      </c>
      <c r="G25" s="182" t="s">
        <v>261</v>
      </c>
      <c r="H25" s="784">
        <f>SUMIF(86:86,G25,87:87)-SUMIF(86:86,C25,87:87)+100</f>
        <v>102</v>
      </c>
      <c r="I25" s="182" t="s">
        <v>262</v>
      </c>
      <c r="J25" s="784">
        <f>SUMIF(86:86,I25,87:87)-SUMIF(86:86,C25,87:87)+100</f>
        <v>98</v>
      </c>
      <c r="K25" s="960">
        <v>2</v>
      </c>
      <c r="L25" s="2328"/>
      <c r="M25" s="2323"/>
      <c r="N25" s="2323"/>
      <c r="O25" s="2323"/>
      <c r="P25" s="3644"/>
      <c r="Q25" s="1357" t="str">
        <f t="shared" ref="Q25:Q46" si="11">B25</f>
        <v>临街状况</v>
      </c>
      <c r="R25" s="1358" t="s">
        <v>70</v>
      </c>
      <c r="S25" s="1359">
        <f>F25</f>
        <v>104</v>
      </c>
      <c r="T25" s="1358" t="s">
        <v>70</v>
      </c>
      <c r="U25" s="1359">
        <f>H25</f>
        <v>102</v>
      </c>
      <c r="V25" s="1358" t="s">
        <v>70</v>
      </c>
      <c r="W25" s="1359">
        <f>J25</f>
        <v>98</v>
      </c>
      <c r="X25" s="1346"/>
      <c r="Y25" s="3637"/>
      <c r="Z25" s="1360" t="str">
        <f>Q25</f>
        <v>临街状况</v>
      </c>
      <c r="AA25" s="1361">
        <f t="shared" si="3"/>
        <v>0.96153846153846156</v>
      </c>
      <c r="AB25" s="1361">
        <f t="shared" si="4"/>
        <v>0.98039215686274506</v>
      </c>
      <c r="AC25" s="1361">
        <f t="shared" si="5"/>
        <v>1.0204081632653061</v>
      </c>
    </row>
    <row r="26" spans="1:29" ht="14.25">
      <c r="A26" s="151"/>
      <c r="B26" s="1363" t="s">
        <v>1271</v>
      </c>
      <c r="C26" s="93" t="s">
        <v>1272</v>
      </c>
      <c r="D26" s="784">
        <v>100</v>
      </c>
      <c r="E26" s="93" t="s">
        <v>1273</v>
      </c>
      <c r="F26" s="810">
        <f>SUMIF(88:88,E26,89:89)-SUMIF(88:88,C26,89:89)+100</f>
        <v>98</v>
      </c>
      <c r="G26" s="93" t="s">
        <v>1274</v>
      </c>
      <c r="H26" s="784">
        <f>SUMIF(88:88,G26,89:89)-SUMIF(88:88,C26,89:89)+100</f>
        <v>96</v>
      </c>
      <c r="I26" s="93" t="s">
        <v>1275</v>
      </c>
      <c r="J26" s="784">
        <f>SUMIF(88:88,I26,89:89)-SUMIF(88:88,C26,89:89)+100</f>
        <v>92</v>
      </c>
      <c r="K26" s="188"/>
      <c r="L26" s="2328"/>
      <c r="M26" s="2323"/>
      <c r="N26" s="2323"/>
      <c r="O26" s="2323"/>
      <c r="P26" s="3644"/>
      <c r="Q26" s="1357" t="str">
        <f t="shared" si="11"/>
        <v>平面位置/可视性</v>
      </c>
      <c r="R26" s="1358" t="s">
        <v>70</v>
      </c>
      <c r="S26" s="1359">
        <f>F26</f>
        <v>98</v>
      </c>
      <c r="T26" s="1358" t="s">
        <v>70</v>
      </c>
      <c r="U26" s="1359">
        <f>H26</f>
        <v>96</v>
      </c>
      <c r="V26" s="1358" t="s">
        <v>70</v>
      </c>
      <c r="W26" s="1359">
        <f>J26</f>
        <v>92</v>
      </c>
      <c r="X26" s="1346"/>
      <c r="Y26" s="3637"/>
      <c r="Z26" s="1360" t="str">
        <f>Q26</f>
        <v>平面位置/可视性</v>
      </c>
      <c r="AA26" s="1361">
        <f t="shared" si="3"/>
        <v>1.0204081632653061</v>
      </c>
      <c r="AB26" s="1361">
        <f t="shared" si="4"/>
        <v>1.0416666666666667</v>
      </c>
      <c r="AC26" s="1361">
        <f t="shared" si="5"/>
        <v>1.0869565217391304</v>
      </c>
    </row>
    <row r="27" spans="1:29" s="40" customFormat="1" ht="15">
      <c r="A27" s="1035"/>
      <c r="B27" s="1362" t="s">
        <v>1276</v>
      </c>
      <c r="C27" s="1393" t="s">
        <v>180</v>
      </c>
      <c r="D27" s="811">
        <v>100</v>
      </c>
      <c r="E27" s="1393" t="s">
        <v>277</v>
      </c>
      <c r="F27" s="812">
        <f>SUMIF(90:90,E27,91:91)-SUMIF(90:90,C27,91:91)+100</f>
        <v>97</v>
      </c>
      <c r="G27" s="1393" t="s">
        <v>124</v>
      </c>
      <c r="H27" s="811">
        <f>SUMIF(90:90,G27,91:91)-SUMIF(90:90,C27,91:91)+100</f>
        <v>94</v>
      </c>
      <c r="I27" s="1393" t="s">
        <v>278</v>
      </c>
      <c r="J27" s="811">
        <f>SUMIF(90:90,I27,91:91)-SUMIF(90:90,C27,91:91)+100</f>
        <v>91</v>
      </c>
      <c r="K27" s="960">
        <v>3</v>
      </c>
      <c r="L27" s="2324"/>
      <c r="M27" s="2286"/>
      <c r="N27" s="2286"/>
      <c r="O27" s="2286"/>
      <c r="P27" s="3644"/>
      <c r="Q27" s="7" t="str">
        <f t="shared" si="11"/>
        <v>人流量</v>
      </c>
      <c r="R27" s="1348" t="s">
        <v>70</v>
      </c>
      <c r="S27" s="1349">
        <f>F27</f>
        <v>97</v>
      </c>
      <c r="T27" s="1348" t="s">
        <v>70</v>
      </c>
      <c r="U27" s="1349">
        <f>H27</f>
        <v>94</v>
      </c>
      <c r="V27" s="1348" t="s">
        <v>70</v>
      </c>
      <c r="W27" s="1349">
        <f>J27</f>
        <v>91</v>
      </c>
      <c r="X27" s="293"/>
      <c r="Y27" s="3637"/>
      <c r="Z27" s="294" t="str">
        <f>Q27</f>
        <v>人流量</v>
      </c>
      <c r="AA27" s="1361">
        <f>D27/F27</f>
        <v>1.0309278350515463</v>
      </c>
      <c r="AB27" s="1361">
        <f>D27/H27</f>
        <v>1.0638297872340425</v>
      </c>
      <c r="AC27" s="1361">
        <f>D27/J27</f>
        <v>1.098901098901099</v>
      </c>
    </row>
    <row r="28" spans="1:29" ht="14.25">
      <c r="A28" s="151"/>
      <c r="B28" s="12" t="s">
        <v>196</v>
      </c>
      <c r="C28" s="182" t="s">
        <v>198</v>
      </c>
      <c r="D28" s="784">
        <v>100</v>
      </c>
      <c r="E28" s="182" t="s">
        <v>279</v>
      </c>
      <c r="F28" s="810">
        <f>SUMIF(92:92,E28,93:93)-SUMIF(92:92,C28,93:93)+100</f>
        <v>90</v>
      </c>
      <c r="G28" s="182" t="s">
        <v>198</v>
      </c>
      <c r="H28" s="784">
        <f>SUMIF(92:92,G28,93:93)-SUMIF(92:92,C28,93:93)+100</f>
        <v>100</v>
      </c>
      <c r="I28" s="182" t="s">
        <v>198</v>
      </c>
      <c r="J28" s="784">
        <f>SUMIF(92:92,I28,93:93)-SUMIF(92:92,C28,93:93)+100</f>
        <v>100</v>
      </c>
      <c r="K28" s="188"/>
      <c r="L28" s="2328"/>
      <c r="M28" s="2323"/>
      <c r="N28" s="2323"/>
      <c r="O28" s="2323"/>
      <c r="P28" s="3644"/>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37"/>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28"/>
      <c r="M29" s="2323"/>
      <c r="N29" s="2323"/>
      <c r="O29" s="2323"/>
      <c r="P29" s="3644"/>
      <c r="Q29" s="1357">
        <f t="shared" si="11"/>
        <v>111</v>
      </c>
      <c r="R29" s="1358" t="s">
        <v>70</v>
      </c>
      <c r="S29" s="1359">
        <f t="shared" si="12"/>
        <v>100</v>
      </c>
      <c r="T29" s="1358" t="s">
        <v>70</v>
      </c>
      <c r="U29" s="1359">
        <f t="shared" si="13"/>
        <v>100</v>
      </c>
      <c r="V29" s="1358" t="s">
        <v>70</v>
      </c>
      <c r="W29" s="1359">
        <f t="shared" si="14"/>
        <v>100</v>
      </c>
      <c r="X29" s="1346"/>
      <c r="Y29" s="3637"/>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28"/>
      <c r="M30" s="2323"/>
      <c r="N30" s="2323"/>
      <c r="O30" s="2323"/>
      <c r="P30" s="3644"/>
      <c r="Q30" s="1357">
        <f t="shared" si="11"/>
        <v>111</v>
      </c>
      <c r="R30" s="1358" t="s">
        <v>70</v>
      </c>
      <c r="S30" s="1359">
        <f t="shared" si="12"/>
        <v>100</v>
      </c>
      <c r="T30" s="1358" t="s">
        <v>70</v>
      </c>
      <c r="U30" s="1359">
        <f t="shared" si="13"/>
        <v>100</v>
      </c>
      <c r="V30" s="1358" t="s">
        <v>70</v>
      </c>
      <c r="W30" s="1359">
        <f t="shared" si="14"/>
        <v>100</v>
      </c>
      <c r="X30" s="1346"/>
      <c r="Y30" s="3637"/>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28"/>
      <c r="M31" s="2323"/>
      <c r="N31" s="2323"/>
      <c r="O31" s="2323"/>
      <c r="P31" s="3644"/>
      <c r="Q31" s="1357">
        <f t="shared" si="11"/>
        <v>111</v>
      </c>
      <c r="R31" s="1358" t="s">
        <v>70</v>
      </c>
      <c r="S31" s="1359">
        <f t="shared" si="12"/>
        <v>100</v>
      </c>
      <c r="T31" s="1358" t="s">
        <v>70</v>
      </c>
      <c r="U31" s="1359">
        <f t="shared" si="13"/>
        <v>100</v>
      </c>
      <c r="V31" s="1358" t="s">
        <v>70</v>
      </c>
      <c r="W31" s="1359">
        <f t="shared" si="14"/>
        <v>100</v>
      </c>
      <c r="X31" s="1346"/>
      <c r="Y31" s="3637"/>
      <c r="Z31" s="1360">
        <f t="shared" si="15"/>
        <v>111</v>
      </c>
      <c r="AA31" s="1361">
        <f t="shared" si="3"/>
        <v>1</v>
      </c>
      <c r="AB31" s="1361">
        <f t="shared" si="4"/>
        <v>1</v>
      </c>
      <c r="AC31" s="1361">
        <f t="shared" si="5"/>
        <v>1</v>
      </c>
    </row>
    <row r="32" spans="1:29" ht="15">
      <c r="A32" s="155" t="s">
        <v>1277</v>
      </c>
      <c r="B32" s="62" t="s">
        <v>1278</v>
      </c>
      <c r="C32" s="110" t="s">
        <v>178</v>
      </c>
      <c r="D32" s="815">
        <v>100</v>
      </c>
      <c r="E32" s="110" t="s">
        <v>182</v>
      </c>
      <c r="F32" s="810">
        <f>SUMIF(100:100,E32,101:101)-SUMIF(100:100,C32,101:101)+100</f>
        <v>102</v>
      </c>
      <c r="G32" s="110" t="s">
        <v>181</v>
      </c>
      <c r="H32" s="784">
        <f>SUMIF(100:100,G32,101:101)-SUMIF(100:100,C32,101:101)+100</f>
        <v>104</v>
      </c>
      <c r="I32" s="110" t="s">
        <v>178</v>
      </c>
      <c r="J32" s="815">
        <f>SUMIF(100:100,I32,101:101)-SUMIF(100:100,C32,101:101)+100</f>
        <v>100</v>
      </c>
      <c r="K32" s="960">
        <v>2</v>
      </c>
      <c r="L32" s="2328"/>
      <c r="M32" s="2323"/>
      <c r="N32" s="2323"/>
      <c r="O32" s="2323"/>
      <c r="P32" s="3638" t="s">
        <v>1279</v>
      </c>
      <c r="Q32" s="1357" t="str">
        <f t="shared" si="11"/>
        <v>商业类型</v>
      </c>
      <c r="R32" s="1358" t="s">
        <v>70</v>
      </c>
      <c r="S32" s="1359">
        <f t="shared" si="12"/>
        <v>102</v>
      </c>
      <c r="T32" s="1358" t="s">
        <v>70</v>
      </c>
      <c r="U32" s="1359">
        <f t="shared" si="13"/>
        <v>104</v>
      </c>
      <c r="V32" s="1358" t="s">
        <v>70</v>
      </c>
      <c r="W32" s="1359">
        <f t="shared" si="14"/>
        <v>100</v>
      </c>
      <c r="X32" s="1346"/>
      <c r="Y32" s="3641" t="s">
        <v>1279</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27"/>
      <c r="M33" s="2329"/>
      <c r="N33" s="2329"/>
      <c r="O33" s="2329"/>
      <c r="P33" s="3639"/>
      <c r="Q33" s="1365" t="str">
        <f t="shared" si="11"/>
        <v>项目建筑规模</v>
      </c>
      <c r="R33" s="1366" t="s">
        <v>70</v>
      </c>
      <c r="S33" s="1367">
        <f t="shared" si="12"/>
        <v>92</v>
      </c>
      <c r="T33" s="1366" t="s">
        <v>70</v>
      </c>
      <c r="U33" s="1367">
        <f t="shared" si="13"/>
        <v>94</v>
      </c>
      <c r="V33" s="1366" t="s">
        <v>70</v>
      </c>
      <c r="W33" s="1367">
        <f t="shared" si="14"/>
        <v>96</v>
      </c>
      <c r="X33" s="1368"/>
      <c r="Y33" s="3641"/>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28"/>
      <c r="M34" s="2323"/>
      <c r="N34" s="2323"/>
      <c r="O34" s="2323"/>
      <c r="P34" s="3639"/>
      <c r="Q34" s="1357" t="str">
        <f t="shared" si="11"/>
        <v>建筑结构</v>
      </c>
      <c r="R34" s="1358" t="s">
        <v>70</v>
      </c>
      <c r="S34" s="1359">
        <f t="shared" si="12"/>
        <v>100</v>
      </c>
      <c r="T34" s="1358" t="s">
        <v>70</v>
      </c>
      <c r="U34" s="1359">
        <f t="shared" si="13"/>
        <v>101</v>
      </c>
      <c r="V34" s="1358" t="s">
        <v>70</v>
      </c>
      <c r="W34" s="1359">
        <f t="shared" si="14"/>
        <v>99</v>
      </c>
      <c r="X34" s="1346"/>
      <c r="Y34" s="3641"/>
      <c r="Z34" s="1360" t="str">
        <f t="shared" si="15"/>
        <v>建筑结构</v>
      </c>
      <c r="AA34" s="1361">
        <f t="shared" si="3"/>
        <v>1</v>
      </c>
      <c r="AB34" s="1361">
        <f t="shared" si="4"/>
        <v>0.99009900990099009</v>
      </c>
      <c r="AC34" s="1361">
        <f t="shared" si="5"/>
        <v>1.0101010101010102</v>
      </c>
    </row>
    <row r="35" spans="1:29" ht="15">
      <c r="A35" s="161"/>
      <c r="B35" s="12" t="s">
        <v>1280</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28"/>
      <c r="M35" s="2323"/>
      <c r="N35" s="2323"/>
      <c r="O35" s="2323"/>
      <c r="P35" s="3639"/>
      <c r="Q35" s="1357" t="str">
        <f t="shared" si="11"/>
        <v>公共部分装修</v>
      </c>
      <c r="R35" s="1358" t="s">
        <v>70</v>
      </c>
      <c r="S35" s="1359">
        <f t="shared" si="12"/>
        <v>97</v>
      </c>
      <c r="T35" s="1358" t="s">
        <v>70</v>
      </c>
      <c r="U35" s="1359">
        <f t="shared" si="13"/>
        <v>103</v>
      </c>
      <c r="V35" s="1358" t="s">
        <v>70</v>
      </c>
      <c r="W35" s="1359">
        <f t="shared" si="14"/>
        <v>94</v>
      </c>
      <c r="X35" s="1346"/>
      <c r="Y35" s="3641"/>
      <c r="Z35" s="1360" t="str">
        <f t="shared" si="15"/>
        <v>公共部分装修</v>
      </c>
      <c r="AA35" s="1361">
        <f t="shared" si="3"/>
        <v>1.0309278350515463</v>
      </c>
      <c r="AB35" s="1361">
        <f t="shared" si="4"/>
        <v>0.970873786407767</v>
      </c>
      <c r="AC35" s="1361">
        <f t="shared" si="5"/>
        <v>1.0638297872340425</v>
      </c>
    </row>
    <row r="36" spans="1:29" ht="15">
      <c r="A36" s="161"/>
      <c r="B36" s="12" t="s">
        <v>1281</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28"/>
      <c r="M36" s="2323"/>
      <c r="N36" s="2323"/>
      <c r="O36" s="2323"/>
      <c r="P36" s="3639"/>
      <c r="Q36" s="1357" t="str">
        <f t="shared" si="11"/>
        <v>成新度</v>
      </c>
      <c r="R36" s="1358" t="s">
        <v>70</v>
      </c>
      <c r="S36" s="1359">
        <f t="shared" si="12"/>
        <v>98</v>
      </c>
      <c r="T36" s="1358" t="s">
        <v>70</v>
      </c>
      <c r="U36" s="1359">
        <f t="shared" si="13"/>
        <v>100</v>
      </c>
      <c r="V36" s="1358" t="s">
        <v>70</v>
      </c>
      <c r="W36" s="1359">
        <f t="shared" si="14"/>
        <v>100</v>
      </c>
      <c r="X36" s="1346"/>
      <c r="Y36" s="3641"/>
      <c r="Z36" s="1360" t="str">
        <f t="shared" si="15"/>
        <v>成新度</v>
      </c>
      <c r="AA36" s="1361">
        <f t="shared" si="3"/>
        <v>1.0204081632653061</v>
      </c>
      <c r="AB36" s="1361">
        <f t="shared" si="4"/>
        <v>1</v>
      </c>
      <c r="AC36" s="1361">
        <f t="shared" si="5"/>
        <v>1</v>
      </c>
    </row>
    <row r="37" spans="1:29" s="40" customFormat="1" ht="15">
      <c r="A37" s="1047"/>
      <c r="B37" s="12" t="s">
        <v>3060</v>
      </c>
      <c r="C37" s="109" t="s">
        <v>56</v>
      </c>
      <c r="D37" s="431">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0">
        <v>1.5</v>
      </c>
      <c r="L37" s="2324"/>
      <c r="M37" s="2286"/>
      <c r="N37" s="2286"/>
      <c r="O37" s="2286"/>
      <c r="P37" s="3639"/>
      <c r="Q37" s="7" t="str">
        <f t="shared" si="11"/>
        <v>市政基础设施</v>
      </c>
      <c r="R37" s="1348" t="s">
        <v>70</v>
      </c>
      <c r="S37" s="1349">
        <f t="shared" si="12"/>
        <v>98.5</v>
      </c>
      <c r="T37" s="1348" t="s">
        <v>70</v>
      </c>
      <c r="U37" s="1349">
        <f t="shared" si="13"/>
        <v>97</v>
      </c>
      <c r="V37" s="1348" t="s">
        <v>70</v>
      </c>
      <c r="W37" s="1349">
        <f t="shared" si="14"/>
        <v>95.5</v>
      </c>
      <c r="X37" s="293"/>
      <c r="Y37" s="3641"/>
      <c r="Z37" s="294" t="str">
        <f t="shared" si="15"/>
        <v>市政基础设施</v>
      </c>
      <c r="AA37" s="1350">
        <f t="shared" si="3"/>
        <v>1.015228426395939</v>
      </c>
      <c r="AB37" s="1350">
        <f t="shared" si="4"/>
        <v>1.0309278350515463</v>
      </c>
      <c r="AC37" s="1350">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0">
        <v>5</v>
      </c>
      <c r="L38" s="2328"/>
      <c r="M38" s="2323"/>
      <c r="N38" s="2323"/>
      <c r="O38" s="2323"/>
      <c r="P38" s="3639" t="s">
        <v>1282</v>
      </c>
      <c r="Q38" s="1357" t="str">
        <f t="shared" si="11"/>
        <v>业态</v>
      </c>
      <c r="R38" s="1358" t="s">
        <v>70</v>
      </c>
      <c r="S38" s="1359">
        <f t="shared" si="12"/>
        <v>100</v>
      </c>
      <c r="T38" s="1358" t="s">
        <v>70</v>
      </c>
      <c r="U38" s="1359">
        <f t="shared" si="13"/>
        <v>95</v>
      </c>
      <c r="V38" s="1358" t="s">
        <v>70</v>
      </c>
      <c r="W38" s="1359">
        <f t="shared" si="14"/>
        <v>100</v>
      </c>
      <c r="X38" s="1346"/>
      <c r="Y38" s="3641" t="s">
        <v>1282</v>
      </c>
      <c r="Z38" s="1360" t="str">
        <f t="shared" si="15"/>
        <v>业态</v>
      </c>
      <c r="AA38" s="1361">
        <f t="shared" si="3"/>
        <v>1</v>
      </c>
      <c r="AB38" s="1361">
        <f t="shared" si="4"/>
        <v>1.0526315789473684</v>
      </c>
      <c r="AC38" s="1361">
        <f t="shared" si="5"/>
        <v>1</v>
      </c>
    </row>
    <row r="39" spans="1:29" ht="15">
      <c r="A39" s="161"/>
      <c r="B39" s="12" t="s">
        <v>1283</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0">
        <v>2</v>
      </c>
      <c r="L39" s="2328"/>
      <c r="M39" s="2323"/>
      <c r="N39" s="2323"/>
      <c r="O39" s="2323"/>
      <c r="P39" s="3639"/>
      <c r="Q39" s="1357" t="str">
        <f t="shared" si="11"/>
        <v>层高</v>
      </c>
      <c r="R39" s="1358" t="s">
        <v>70</v>
      </c>
      <c r="S39" s="1359">
        <f t="shared" si="12"/>
        <v>102</v>
      </c>
      <c r="T39" s="1358" t="s">
        <v>70</v>
      </c>
      <c r="U39" s="1359">
        <f t="shared" si="13"/>
        <v>100</v>
      </c>
      <c r="V39" s="1358" t="s">
        <v>70</v>
      </c>
      <c r="W39" s="1359">
        <f t="shared" si="14"/>
        <v>100</v>
      </c>
      <c r="X39" s="1346"/>
      <c r="Y39" s="3641"/>
      <c r="Z39" s="1360" t="str">
        <f t="shared" si="15"/>
        <v>层高</v>
      </c>
      <c r="AA39" s="1361">
        <f t="shared" si="3"/>
        <v>0.98039215686274506</v>
      </c>
      <c r="AB39" s="1361">
        <f t="shared" si="4"/>
        <v>1</v>
      </c>
      <c r="AC39" s="1361">
        <f t="shared" si="5"/>
        <v>1</v>
      </c>
    </row>
    <row r="40" spans="1:29" ht="14.25">
      <c r="A40" s="161"/>
      <c r="B40" s="12" t="s">
        <v>1284</v>
      </c>
      <c r="C40" s="965" t="s">
        <v>281</v>
      </c>
      <c r="D40" s="784">
        <v>100</v>
      </c>
      <c r="E40" s="966" t="s">
        <v>291</v>
      </c>
      <c r="F40" s="810">
        <f>SUMIF(118:118,E40,119:119)-SUMIF(118:118,C40,119:119)+100</f>
        <v>102</v>
      </c>
      <c r="G40" s="966" t="s">
        <v>285</v>
      </c>
      <c r="H40" s="784">
        <f>SUMIF(118:118,G40,119:119)-SUMIF(118:118,C40,119:119)+100</f>
        <v>105</v>
      </c>
      <c r="I40" s="966" t="s">
        <v>284</v>
      </c>
      <c r="J40" s="784">
        <f>SUMIF(118:118,I40,119:119)-SUMIF(118:118,C40,119:119)+100</f>
        <v>102</v>
      </c>
      <c r="K40" s="188"/>
      <c r="L40" s="2328"/>
      <c r="M40" s="2323"/>
      <c r="N40" s="2323"/>
      <c r="O40" s="2323"/>
      <c r="P40" s="3639"/>
      <c r="Q40" s="1357" t="str">
        <f t="shared" si="11"/>
        <v>单套建筑面积</v>
      </c>
      <c r="R40" s="1358" t="s">
        <v>70</v>
      </c>
      <c r="S40" s="1359">
        <f t="shared" si="12"/>
        <v>102</v>
      </c>
      <c r="T40" s="1358" t="s">
        <v>70</v>
      </c>
      <c r="U40" s="1359">
        <f t="shared" si="13"/>
        <v>105</v>
      </c>
      <c r="V40" s="1358" t="s">
        <v>70</v>
      </c>
      <c r="W40" s="1359">
        <f t="shared" si="14"/>
        <v>102</v>
      </c>
      <c r="X40" s="1346"/>
      <c r="Y40" s="3641"/>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1285</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0">
        <v>2</v>
      </c>
      <c r="L41" s="2327"/>
      <c r="M41" s="2329"/>
      <c r="N41" s="2329"/>
      <c r="O41" s="2329"/>
      <c r="P41" s="3639"/>
      <c r="Q41" s="1365" t="str">
        <f t="shared" si="11"/>
        <v>进深比</v>
      </c>
      <c r="R41" s="1366" t="s">
        <v>70</v>
      </c>
      <c r="S41" s="1367">
        <f t="shared" si="12"/>
        <v>98</v>
      </c>
      <c r="T41" s="1366" t="s">
        <v>70</v>
      </c>
      <c r="U41" s="1367">
        <f t="shared" si="13"/>
        <v>96</v>
      </c>
      <c r="V41" s="1366" t="s">
        <v>70</v>
      </c>
      <c r="W41" s="1367">
        <f t="shared" si="14"/>
        <v>100</v>
      </c>
      <c r="X41" s="1368"/>
      <c r="Y41" s="3641"/>
      <c r="Z41" s="1369" t="str">
        <f t="shared" si="15"/>
        <v>进深比</v>
      </c>
      <c r="AA41" s="1361">
        <f t="shared" si="3"/>
        <v>1.0204081632653061</v>
      </c>
      <c r="AB41" s="1361">
        <f t="shared" si="4"/>
        <v>1.0416666666666667</v>
      </c>
      <c r="AC41" s="1361">
        <f t="shared" si="5"/>
        <v>1</v>
      </c>
    </row>
    <row r="42" spans="1:29" ht="15">
      <c r="A42" s="161"/>
      <c r="B42" s="12" t="s">
        <v>1286</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28"/>
      <c r="M42" s="2323"/>
      <c r="N42" s="2323"/>
      <c r="O42" s="2323"/>
      <c r="P42" s="3639"/>
      <c r="Q42" s="1357" t="str">
        <f t="shared" si="11"/>
        <v>内部装修</v>
      </c>
      <c r="R42" s="1358" t="s">
        <v>70</v>
      </c>
      <c r="S42" s="1359">
        <f t="shared" si="12"/>
        <v>98.5</v>
      </c>
      <c r="T42" s="1358" t="s">
        <v>70</v>
      </c>
      <c r="U42" s="1359">
        <f t="shared" si="13"/>
        <v>97</v>
      </c>
      <c r="V42" s="1358" t="s">
        <v>70</v>
      </c>
      <c r="W42" s="1359">
        <f t="shared" si="14"/>
        <v>100</v>
      </c>
      <c r="X42" s="1346"/>
      <c r="Y42" s="3641"/>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0">
        <v>2</v>
      </c>
      <c r="L43" s="2328"/>
      <c r="M43" s="2323"/>
      <c r="N43" s="2323"/>
      <c r="O43" s="2323"/>
      <c r="P43" s="3639"/>
      <c r="Q43" s="1357" t="str">
        <f t="shared" si="11"/>
        <v>内部装修维护情况</v>
      </c>
      <c r="R43" s="1358" t="s">
        <v>70</v>
      </c>
      <c r="S43" s="1359">
        <f t="shared" si="12"/>
        <v>98</v>
      </c>
      <c r="T43" s="1358" t="s">
        <v>70</v>
      </c>
      <c r="U43" s="1359">
        <f t="shared" si="13"/>
        <v>102</v>
      </c>
      <c r="V43" s="1358" t="s">
        <v>70</v>
      </c>
      <c r="W43" s="1359">
        <f t="shared" si="14"/>
        <v>94</v>
      </c>
      <c r="X43" s="1346"/>
      <c r="Y43" s="3641"/>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4"/>
      <c r="M44" s="2286"/>
      <c r="N44" s="2286"/>
      <c r="O44" s="2286"/>
      <c r="P44" s="3639"/>
      <c r="Q44" s="7">
        <f t="shared" si="11"/>
        <v>111</v>
      </c>
      <c r="R44" s="1348" t="s">
        <v>70</v>
      </c>
      <c r="S44" s="1349">
        <f t="shared" si="12"/>
        <v>100</v>
      </c>
      <c r="T44" s="1348" t="s">
        <v>70</v>
      </c>
      <c r="U44" s="1349">
        <f t="shared" si="13"/>
        <v>100</v>
      </c>
      <c r="V44" s="1348" t="s">
        <v>70</v>
      </c>
      <c r="W44" s="1349">
        <f t="shared" si="14"/>
        <v>100</v>
      </c>
      <c r="X44" s="293"/>
      <c r="Y44" s="3641"/>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28"/>
      <c r="M45" s="2323"/>
      <c r="N45" s="2323"/>
      <c r="O45" s="2323"/>
      <c r="P45" s="3639"/>
      <c r="Q45" s="1357">
        <f t="shared" si="11"/>
        <v>111</v>
      </c>
      <c r="R45" s="1358" t="s">
        <v>70</v>
      </c>
      <c r="S45" s="1359">
        <f t="shared" si="12"/>
        <v>100</v>
      </c>
      <c r="T45" s="1358" t="s">
        <v>70</v>
      </c>
      <c r="U45" s="1359">
        <f t="shared" si="13"/>
        <v>100</v>
      </c>
      <c r="V45" s="1358" t="s">
        <v>70</v>
      </c>
      <c r="W45" s="1359">
        <f t="shared" si="14"/>
        <v>100</v>
      </c>
      <c r="X45" s="1346"/>
      <c r="Y45" s="3641"/>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28"/>
      <c r="M46" s="2323"/>
      <c r="N46" s="2323"/>
      <c r="O46" s="2323"/>
      <c r="P46" s="3640"/>
      <c r="Q46" s="1357">
        <f t="shared" si="11"/>
        <v>111</v>
      </c>
      <c r="R46" s="1358" t="s">
        <v>70</v>
      </c>
      <c r="S46" s="1359">
        <f t="shared" si="12"/>
        <v>100</v>
      </c>
      <c r="T46" s="1358" t="s">
        <v>70</v>
      </c>
      <c r="U46" s="1359">
        <f t="shared" si="13"/>
        <v>100</v>
      </c>
      <c r="V46" s="1358" t="s">
        <v>70</v>
      </c>
      <c r="W46" s="1359">
        <f t="shared" si="14"/>
        <v>100</v>
      </c>
      <c r="X46" s="1346"/>
      <c r="Y46" s="3642"/>
      <c r="Z46" s="1360">
        <f t="shared" si="15"/>
        <v>111</v>
      </c>
      <c r="AA46" s="1361">
        <f t="shared" si="3"/>
        <v>1</v>
      </c>
      <c r="AB46" s="1361">
        <f t="shared" si="4"/>
        <v>1</v>
      </c>
      <c r="AC46" s="1361">
        <f t="shared" si="5"/>
        <v>1</v>
      </c>
    </row>
    <row r="47" spans="1:29" ht="15">
      <c r="A47" s="163" t="s">
        <v>1287</v>
      </c>
      <c r="B47" s="164"/>
      <c r="C47" s="2872" t="s">
        <v>23</v>
      </c>
      <c r="D47" s="2873"/>
      <c r="E47" s="2874">
        <v>30000</v>
      </c>
      <c r="F47" s="2875"/>
      <c r="G47" s="2876">
        <v>35000</v>
      </c>
      <c r="H47" s="2877"/>
      <c r="I47" s="2874">
        <v>32000</v>
      </c>
      <c r="J47" s="2877"/>
      <c r="K47" s="1399"/>
      <c r="L47" s="2330"/>
      <c r="M47" s="2331"/>
      <c r="N47" s="2323"/>
      <c r="O47" s="2331"/>
      <c r="P47" s="3634" t="str">
        <f>A47</f>
        <v>成交单价（元/平方米）</v>
      </c>
      <c r="Q47" s="3634"/>
      <c r="R47" s="3665">
        <f>E47</f>
        <v>30000</v>
      </c>
      <c r="S47" s="3665"/>
      <c r="T47" s="3665">
        <f>G47</f>
        <v>35000</v>
      </c>
      <c r="U47" s="3665"/>
      <c r="V47" s="3665">
        <f>I47</f>
        <v>32000</v>
      </c>
      <c r="W47" s="3665"/>
      <c r="X47" s="1371"/>
      <c r="Y47" s="1372"/>
      <c r="Z47" s="1371"/>
      <c r="AA47" s="1371"/>
      <c r="AB47" s="1371"/>
      <c r="AC47" s="1371"/>
    </row>
    <row r="48" spans="1:29" ht="15.75" thickBot="1">
      <c r="A48" s="165" t="s">
        <v>1288</v>
      </c>
      <c r="B48" s="166"/>
      <c r="C48" s="2878" t="e">
        <f>R49</f>
        <v>#DIV/0!</v>
      </c>
      <c r="D48" s="2879"/>
      <c r="E48" s="2880" t="e">
        <f>R48</f>
        <v>#DIV/0!</v>
      </c>
      <c r="F48" s="2880"/>
      <c r="G48" s="2878" t="e">
        <f>T48</f>
        <v>#DIV/0!</v>
      </c>
      <c r="H48" s="2879"/>
      <c r="I48" s="2880" t="e">
        <f>V48</f>
        <v>#DIV/0!</v>
      </c>
      <c r="J48" s="2879"/>
      <c r="K48" s="1400"/>
      <c r="L48" s="2330"/>
      <c r="M48" s="2331"/>
      <c r="N48" s="2323"/>
      <c r="O48" s="2331"/>
      <c r="P48" s="3634" t="str">
        <f>A48</f>
        <v>比较价值（元/平方米）</v>
      </c>
      <c r="Q48" s="3634"/>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371"/>
      <c r="Y48" s="1371"/>
      <c r="Z48" s="1371"/>
      <c r="AA48" s="1371"/>
      <c r="AB48" s="1371"/>
      <c r="AC48" s="1371"/>
    </row>
    <row r="49" spans="1:29" ht="15.75" thickBot="1">
      <c r="A49" s="115" t="s">
        <v>1289</v>
      </c>
      <c r="B49" s="116"/>
      <c r="C49" s="2882" t="e">
        <f>R49</f>
        <v>#DIV/0!</v>
      </c>
      <c r="D49" s="2882"/>
      <c r="E49" s="2882"/>
      <c r="F49" s="2882"/>
      <c r="G49" s="2882"/>
      <c r="H49" s="2882"/>
      <c r="I49" s="2882"/>
      <c r="J49" s="2882"/>
      <c r="K49" s="1401"/>
      <c r="L49" s="2330"/>
      <c r="M49" s="2331"/>
      <c r="N49" s="2323"/>
      <c r="O49" s="2331"/>
      <c r="P49" s="3631" t="str">
        <f>A49</f>
        <v>估价对象XX用房的比较价值（楼面单价，元/平方米）</v>
      </c>
      <c r="Q49" s="3632"/>
      <c r="R49" s="3633" t="e">
        <f>IF(F1="售价",ROUND(AVERAGE(R48:V48),0),ROUND(AVERAGE(R48:V48),1))</f>
        <v>#DIV/0!</v>
      </c>
      <c r="S49" s="3633"/>
      <c r="T49" s="3633"/>
      <c r="U49" s="3633"/>
      <c r="V49" s="3633"/>
      <c r="W49" s="3633"/>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c r="P50" s="214"/>
      <c r="Q50" s="1371"/>
      <c r="R50" s="1371"/>
      <c r="S50" s="1371"/>
      <c r="T50" s="1371"/>
      <c r="U50" s="1371"/>
      <c r="V50" s="1371"/>
      <c r="W50" s="1371"/>
      <c r="X50" s="1371"/>
      <c r="Y50" s="1371"/>
      <c r="Z50" s="1371"/>
      <c r="AA50" s="1371"/>
      <c r="AB50" s="1371"/>
      <c r="AC50" s="1371"/>
    </row>
    <row r="51" spans="1:29">
      <c r="A51" s="2331"/>
      <c r="B51" s="2331"/>
      <c r="C51" s="2331"/>
      <c r="D51" s="2331"/>
      <c r="E51" s="2331"/>
      <c r="F51" s="2331"/>
      <c r="G51" s="2331"/>
      <c r="H51" s="2331"/>
      <c r="I51" s="2331"/>
      <c r="J51" s="2331"/>
      <c r="K51" s="2332"/>
      <c r="L51" s="2333"/>
      <c r="M51" s="2331"/>
      <c r="N51" s="2331"/>
      <c r="O51" s="2331"/>
      <c r="P51" s="214"/>
      <c r="Q51" s="1371"/>
      <c r="R51" s="1371"/>
      <c r="S51" s="1371"/>
      <c r="T51" s="1371"/>
      <c r="U51" s="1371"/>
      <c r="V51" s="1371"/>
      <c r="W51" s="1371"/>
      <c r="X51" s="1371"/>
      <c r="Y51" s="1371"/>
      <c r="Z51" s="1371"/>
      <c r="AA51" s="1371"/>
      <c r="AB51" s="1371"/>
      <c r="AC51" s="137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c r="P52" s="214"/>
      <c r="Q52" s="1371"/>
      <c r="R52" s="1371"/>
      <c r="S52" s="1371"/>
      <c r="T52" s="1371"/>
      <c r="U52" s="1371"/>
      <c r="V52" s="1371"/>
      <c r="W52" s="1371"/>
      <c r="X52" s="1371"/>
      <c r="Y52" s="1371"/>
      <c r="Z52" s="1371"/>
      <c r="AA52" s="1371"/>
      <c r="AB52" s="1371"/>
      <c r="AC52" s="137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c r="P53" s="214"/>
      <c r="Q53" s="1371"/>
      <c r="R53" s="1371"/>
      <c r="S53" s="1371"/>
      <c r="T53" s="1371"/>
      <c r="U53" s="1371"/>
      <c r="V53" s="1371"/>
      <c r="W53" s="1371"/>
      <c r="X53" s="1371"/>
      <c r="Y53" s="1371"/>
      <c r="Z53" s="1371"/>
      <c r="AA53" s="1371"/>
      <c r="AB53" s="1371"/>
      <c r="AC53" s="1371"/>
    </row>
    <row r="54" spans="1:29" s="119" customFormat="1" ht="13.5" customHeight="1">
      <c r="A54" s="2336"/>
      <c r="B54" s="2336"/>
      <c r="C54" s="845" t="s">
        <v>1253</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4"/>
      <c r="L54" s="2335"/>
      <c r="M54" s="2336"/>
      <c r="N54" s="2336"/>
      <c r="O54" s="2336"/>
      <c r="P54" s="1402"/>
      <c r="Q54" s="1376"/>
      <c r="R54" s="1376"/>
      <c r="S54" s="1376"/>
      <c r="T54" s="1376"/>
      <c r="U54" s="1376"/>
      <c r="V54" s="1376"/>
      <c r="W54" s="1376"/>
      <c r="X54" s="1376"/>
      <c r="Y54" s="1376"/>
      <c r="Z54" s="1376"/>
      <c r="AA54" s="1376"/>
      <c r="AB54" s="1376"/>
      <c r="AC54" s="1376"/>
    </row>
    <row r="55" spans="1:29" s="119" customFormat="1">
      <c r="A55" s="2336"/>
      <c r="B55" s="2341"/>
      <c r="C55" s="2342"/>
      <c r="D55" s="2336"/>
      <c r="E55" s="2336"/>
      <c r="F55" s="2336"/>
      <c r="G55" s="2336"/>
      <c r="H55" s="2336"/>
      <c r="I55" s="2336"/>
      <c r="J55" s="2336"/>
      <c r="K55" s="2334"/>
      <c r="L55" s="2335"/>
      <c r="M55" s="2336"/>
      <c r="N55" s="2336"/>
      <c r="O55" s="2336"/>
      <c r="P55" s="1402"/>
      <c r="Q55" s="1376"/>
      <c r="R55" s="1376"/>
      <c r="S55" s="1376"/>
      <c r="T55" s="1376"/>
      <c r="U55" s="1376"/>
      <c r="V55" s="1376"/>
      <c r="W55" s="1376"/>
      <c r="X55" s="1376"/>
      <c r="Y55" s="1376"/>
      <c r="Z55" s="1376"/>
      <c r="AA55" s="1376"/>
      <c r="AB55" s="1376"/>
      <c r="AC55" s="1376"/>
    </row>
    <row r="56" spans="1:29">
      <c r="A56" s="2331"/>
      <c r="B56" s="2341"/>
      <c r="C56" s="2342"/>
      <c r="D56" s="2331"/>
      <c r="E56" s="2331"/>
      <c r="F56" s="2331"/>
      <c r="G56" s="2331"/>
      <c r="H56" s="2331"/>
      <c r="I56" s="2331"/>
      <c r="J56" s="2331"/>
      <c r="K56" s="2332"/>
      <c r="L56" s="2333"/>
      <c r="M56" s="2331"/>
      <c r="N56" s="2331"/>
      <c r="O56" s="2331"/>
      <c r="P56" s="214"/>
      <c r="Q56" s="1371"/>
      <c r="R56" s="1371"/>
      <c r="S56" s="1371"/>
      <c r="T56" s="1371"/>
      <c r="U56" s="1371"/>
      <c r="V56" s="1371"/>
      <c r="W56" s="1371"/>
      <c r="X56" s="1371"/>
      <c r="Y56" s="1371"/>
      <c r="Z56" s="1371"/>
      <c r="AA56" s="1371"/>
      <c r="AB56" s="1371"/>
      <c r="AC56" s="1371"/>
    </row>
    <row r="57" spans="1:29" ht="21" thickBot="1">
      <c r="A57" s="1378" t="s">
        <v>1290</v>
      </c>
      <c r="B57" s="1371"/>
      <c r="C57" s="1379"/>
      <c r="D57" s="1379"/>
      <c r="E57" s="1379"/>
      <c r="F57" s="1380"/>
      <c r="G57" s="1380"/>
      <c r="H57" s="1379"/>
      <c r="I57" s="1379"/>
      <c r="J57" s="1379"/>
      <c r="K57" s="1381"/>
      <c r="L57" s="2338"/>
      <c r="M57" s="2339"/>
      <c r="N57" s="2339"/>
      <c r="O57" s="2339"/>
      <c r="P57" s="1403"/>
      <c r="Q57" s="1404"/>
      <c r="R57" s="1371"/>
      <c r="S57" s="1371"/>
      <c r="T57" s="1371"/>
      <c r="U57" s="1371"/>
      <c r="V57" s="1371"/>
      <c r="W57" s="1371"/>
      <c r="X57" s="1371"/>
      <c r="Y57" s="1371"/>
      <c r="Z57" s="1371"/>
      <c r="AA57" s="1371"/>
      <c r="AB57" s="1371"/>
      <c r="AC57" s="1371"/>
    </row>
    <row r="58" spans="1:29" s="856" customFormat="1" ht="15">
      <c r="A58" s="853" t="s">
        <v>3202</v>
      </c>
      <c r="B58" s="854"/>
      <c r="C58" s="3082" t="str">
        <f>YEAR(C7)&amp;"-"&amp;MONTH(C7)</f>
        <v>2017-7</v>
      </c>
      <c r="D58" s="3083">
        <f>EDATE(C58,-1)</f>
        <v>42887</v>
      </c>
      <c r="E58" s="3083">
        <f t="shared" ref="E58:N58" si="16">EDATE(D58,-1)</f>
        <v>42856</v>
      </c>
      <c r="F58" s="3083">
        <f t="shared" si="16"/>
        <v>42826</v>
      </c>
      <c r="G58" s="3083">
        <f t="shared" si="16"/>
        <v>42795</v>
      </c>
      <c r="H58" s="3083">
        <f t="shared" si="16"/>
        <v>42767</v>
      </c>
      <c r="I58" s="3083">
        <f t="shared" si="16"/>
        <v>42736</v>
      </c>
      <c r="J58" s="3083">
        <f t="shared" si="16"/>
        <v>42705</v>
      </c>
      <c r="K58" s="3083">
        <f t="shared" si="16"/>
        <v>42675</v>
      </c>
      <c r="L58" s="3083">
        <f t="shared" si="16"/>
        <v>42644</v>
      </c>
      <c r="M58" s="3083">
        <f t="shared" si="16"/>
        <v>42614</v>
      </c>
      <c r="N58" s="3083">
        <f t="shared" si="16"/>
        <v>42583</v>
      </c>
      <c r="O58" s="3083">
        <f>EDATE(N58,-1)</f>
        <v>42552</v>
      </c>
      <c r="P58" s="3076"/>
    </row>
    <row r="59" spans="1:29" s="40" customFormat="1" ht="14.25">
      <c r="A59" s="1051"/>
      <c r="B59" s="1052"/>
      <c r="C59" s="3080">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1291</v>
      </c>
      <c r="B60" s="1054"/>
      <c r="C60" s="865"/>
      <c r="D60" s="866"/>
      <c r="E60" s="866"/>
      <c r="F60" s="866"/>
      <c r="G60" s="866"/>
      <c r="H60" s="866"/>
      <c r="I60" s="866"/>
      <c r="J60" s="866"/>
      <c r="K60" s="866"/>
      <c r="L60" s="866"/>
      <c r="M60" s="867"/>
      <c r="N60" s="866"/>
      <c r="O60" s="867"/>
      <c r="P60" s="1383"/>
      <c r="Q60" s="121"/>
    </row>
    <row r="61" spans="1:29" s="40" customFormat="1">
      <c r="A61" s="1055" t="s">
        <v>1292</v>
      </c>
      <c r="B61" s="1052"/>
      <c r="C61" s="1056" t="s">
        <v>1293</v>
      </c>
      <c r="D61" s="140" t="s">
        <v>1294</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1295</v>
      </c>
      <c r="B63" s="292" t="s">
        <v>1296</v>
      </c>
      <c r="C63" s="176" t="str">
        <f>C9</f>
        <v>商业</v>
      </c>
      <c r="D63" s="122" t="s">
        <v>1297</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1298</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t="s">
        <v>207</v>
      </c>
      <c r="D66" s="892" t="s">
        <v>208</v>
      </c>
      <c r="E66" s="892" t="s">
        <v>209</v>
      </c>
      <c r="F66" s="892">
        <v>100</v>
      </c>
      <c r="G66" s="892">
        <f>F66-$K10</f>
        <v>99</v>
      </c>
      <c r="H66" s="892">
        <f>G66-$K10</f>
        <v>98</v>
      </c>
      <c r="I66" s="892">
        <f>H66-$K10</f>
        <v>97</v>
      </c>
      <c r="J66" s="892"/>
      <c r="K66" s="892"/>
      <c r="L66" s="892"/>
      <c r="M66" s="893"/>
      <c r="N66" s="1396"/>
      <c r="O66" s="1396"/>
      <c r="P66" s="1385"/>
      <c r="Q66" s="121"/>
    </row>
    <row r="67" spans="1:17" ht="15" thickTop="1">
      <c r="A67" s="173"/>
      <c r="B67" s="1062" t="s">
        <v>1299</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1300</v>
      </c>
      <c r="B76" s="292" t="s">
        <v>1301</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1307</v>
      </c>
      <c r="C78" s="926" t="s">
        <v>604</v>
      </c>
      <c r="D78" s="926" t="s">
        <v>605</v>
      </c>
      <c r="E78" s="926" t="s">
        <v>606</v>
      </c>
      <c r="F78" s="926" t="s">
        <v>607</v>
      </c>
      <c r="G78" s="926" t="s">
        <v>608</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3042</v>
      </c>
      <c r="C80" s="926" t="s">
        <v>604</v>
      </c>
      <c r="D80" s="926" t="s">
        <v>605</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3061</v>
      </c>
      <c r="C82" s="213" t="s">
        <v>3062</v>
      </c>
      <c r="D82" s="213" t="s">
        <v>3063</v>
      </c>
      <c r="E82" s="213" t="s">
        <v>3064</v>
      </c>
      <c r="F82" s="213" t="s">
        <v>3065</v>
      </c>
      <c r="G82" s="213" t="s">
        <v>3066</v>
      </c>
      <c r="H82" s="887"/>
      <c r="I82" s="887"/>
      <c r="J82" s="887"/>
      <c r="K82" s="887"/>
      <c r="L82" s="887"/>
      <c r="M82" s="2801"/>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1308</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1309</v>
      </c>
      <c r="C86" s="139" t="s">
        <v>1310</v>
      </c>
      <c r="D86" s="139" t="s">
        <v>1311</v>
      </c>
      <c r="E86" s="139" t="s">
        <v>1312</v>
      </c>
      <c r="F86" s="139" t="s">
        <v>1313</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1314</v>
      </c>
      <c r="D88" s="139" t="s">
        <v>1315</v>
      </c>
      <c r="E88" s="139" t="s">
        <v>1316</v>
      </c>
      <c r="F88" s="1392" t="s">
        <v>1317</v>
      </c>
      <c r="G88" s="139" t="s">
        <v>1318</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1319</v>
      </c>
      <c r="D90" s="139" t="s">
        <v>1320</v>
      </c>
      <c r="E90" s="139" t="s">
        <v>1316</v>
      </c>
      <c r="F90" s="139" t="s">
        <v>1321</v>
      </c>
      <c r="G90" s="139" t="s">
        <v>1322</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1323</v>
      </c>
      <c r="D92" s="139" t="s">
        <v>1324</v>
      </c>
      <c r="E92" s="139" t="s">
        <v>1325</v>
      </c>
      <c r="F92" s="139" t="s">
        <v>1326</v>
      </c>
      <c r="G92" s="139" t="s">
        <v>1327</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1328</v>
      </c>
      <c r="B100" s="292" t="s">
        <v>1329</v>
      </c>
      <c r="C100" s="122" t="s">
        <v>1330</v>
      </c>
      <c r="D100" s="122" t="s">
        <v>1331</v>
      </c>
      <c r="E100" s="122" t="s">
        <v>1332</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1333</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1334</v>
      </c>
      <c r="C105" s="139" t="s">
        <v>1335</v>
      </c>
      <c r="D105" s="139" t="s">
        <v>1336</v>
      </c>
      <c r="E105" s="131" t="s">
        <v>1337</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1338</v>
      </c>
      <c r="C107" s="139" t="s">
        <v>1339</v>
      </c>
      <c r="D107" s="139" t="s">
        <v>1340</v>
      </c>
      <c r="E107" s="139" t="s">
        <v>1341</v>
      </c>
      <c r="F107" s="131" t="s">
        <v>1342</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1343</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3044</v>
      </c>
      <c r="C112" s="139" t="s">
        <v>1344</v>
      </c>
      <c r="D112" s="139" t="s">
        <v>1345</v>
      </c>
      <c r="E112" s="139" t="s">
        <v>1346</v>
      </c>
      <c r="F112" s="139" t="s">
        <v>1347</v>
      </c>
      <c r="G112" s="139" t="s">
        <v>1348</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1349</v>
      </c>
      <c r="C114" s="139" t="s">
        <v>1350</v>
      </c>
      <c r="D114" s="139" t="s">
        <v>1351</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1352</v>
      </c>
      <c r="C116" s="139" t="s">
        <v>1353</v>
      </c>
      <c r="D116" s="139" t="s">
        <v>1354</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1355</v>
      </c>
      <c r="C118" s="975" t="s">
        <v>281</v>
      </c>
      <c r="D118" s="975" t="s">
        <v>282</v>
      </c>
      <c r="E118" s="975" t="s">
        <v>283</v>
      </c>
      <c r="F118" s="975" t="s">
        <v>284</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1356</v>
      </c>
      <c r="C120" s="131" t="s">
        <v>1357</v>
      </c>
      <c r="D120" s="131" t="s">
        <v>1358</v>
      </c>
      <c r="E120" s="131" t="s">
        <v>1359</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1360</v>
      </c>
      <c r="C122" s="139" t="s">
        <v>1339</v>
      </c>
      <c r="D122" s="139" t="s">
        <v>1340</v>
      </c>
      <c r="E122" s="139" t="s">
        <v>1341</v>
      </c>
      <c r="F122" s="131" t="s">
        <v>1342</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1361</v>
      </c>
      <c r="C124" s="181" t="s">
        <v>1302</v>
      </c>
      <c r="D124" s="181" t="s">
        <v>1303</v>
      </c>
      <c r="E124" s="181" t="s">
        <v>1304</v>
      </c>
      <c r="F124" s="181" t="s">
        <v>1305</v>
      </c>
      <c r="G124" s="181" t="s">
        <v>1306</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1362</v>
      </c>
      <c r="B1" s="3160" t="s">
        <v>1363</v>
      </c>
      <c r="C1" s="3154" t="s">
        <v>1364</v>
      </c>
      <c r="D1" s="3145" t="s">
        <v>362</v>
      </c>
      <c r="E1" s="3150"/>
      <c r="F1" s="3147" t="s">
        <v>3103</v>
      </c>
      <c r="G1" s="3149" t="s">
        <v>1365</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1366</v>
      </c>
      <c r="B2" s="2883" t="e">
        <f ca="1">IF(C2="——",ROUND(B3*D3/10000,0),ROUND(B3*D3/10000,0)-D2)</f>
        <v>#DIV/0!</v>
      </c>
      <c r="C2" s="3139" t="s">
        <v>3105</v>
      </c>
      <c r="D2" s="2760" t="e">
        <f ca="1">SUMIF(INDIRECT("'"&amp;F2&amp;"'"&amp;"!A:A"),"承租人权益价值",INDIRECT("'"&amp;F2&amp;"'"&amp;"!c:c"))</f>
        <v>#N/A</v>
      </c>
      <c r="E2" s="3140" t="s">
        <v>1109</v>
      </c>
      <c r="F2" s="3141" t="s">
        <v>3077</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41"/>
    </row>
    <row r="3" spans="1:29" s="90" customFormat="1" ht="28.5" customHeight="1" thickBot="1">
      <c r="A3" s="87" t="s">
        <v>1367</v>
      </c>
      <c r="B3" s="957" t="e">
        <f>C50</f>
        <v>#DIV/0!</v>
      </c>
      <c r="C3" s="142" t="s">
        <v>1368</v>
      </c>
      <c r="D3" s="747">
        <f>IF(D1="",'数据-汇总表'!E3,SUMIF('数据-汇总表'!$C19:$C33,D1,'数据-汇总表'!$E19:$E33))</f>
        <v>0</v>
      </c>
      <c r="E3" s="2343"/>
      <c r="F3" s="2344"/>
      <c r="G3" s="2345"/>
      <c r="H3" s="2345"/>
      <c r="I3" s="2345"/>
      <c r="J3" s="2345"/>
      <c r="K3" s="2348"/>
      <c r="L3" s="2346"/>
      <c r="M3" s="2347"/>
      <c r="N3" s="2347"/>
      <c r="O3" s="2347"/>
      <c r="P3" s="1340"/>
      <c r="Q3" s="1340"/>
      <c r="R3" s="1340"/>
      <c r="S3" s="1340"/>
      <c r="T3" s="1340"/>
      <c r="U3" s="1340"/>
      <c r="V3" s="1340"/>
      <c r="W3" s="1340"/>
      <c r="X3" s="1340"/>
      <c r="Y3" s="1340"/>
      <c r="Z3" s="1340"/>
      <c r="AA3" s="1340"/>
      <c r="AB3" s="1340"/>
      <c r="AC3" s="1341"/>
    </row>
    <row r="4" spans="1:29">
      <c r="A4" s="143" t="s">
        <v>1369</v>
      </c>
      <c r="B4" s="144"/>
      <c r="C4" s="3649" t="s">
        <v>1370</v>
      </c>
      <c r="D4" s="3650"/>
      <c r="E4" s="3651" t="s">
        <v>1371</v>
      </c>
      <c r="F4" s="3652"/>
      <c r="G4" s="3649" t="s">
        <v>1372</v>
      </c>
      <c r="H4" s="3650"/>
      <c r="I4" s="3649" t="s">
        <v>1373</v>
      </c>
      <c r="J4" s="3650"/>
      <c r="K4" s="187" t="s">
        <v>1374</v>
      </c>
      <c r="L4" s="2322"/>
      <c r="M4" s="2323"/>
      <c r="N4" s="2323"/>
      <c r="O4" s="2323"/>
      <c r="P4" s="3677" t="s">
        <v>1369</v>
      </c>
      <c r="Q4" s="3678"/>
      <c r="R4" s="3681" t="s">
        <v>1371</v>
      </c>
      <c r="S4" s="3682"/>
      <c r="T4" s="3681" t="s">
        <v>1372</v>
      </c>
      <c r="U4" s="3682"/>
      <c r="V4" s="3683" t="s">
        <v>1373</v>
      </c>
      <c r="W4" s="3683"/>
      <c r="X4" s="2362"/>
      <c r="Y4" s="3681" t="s">
        <v>1369</v>
      </c>
      <c r="Z4" s="3682"/>
      <c r="AA4" s="3685" t="s">
        <v>1371</v>
      </c>
      <c r="AB4" s="3685" t="s">
        <v>1372</v>
      </c>
      <c r="AC4" s="3674" t="s">
        <v>1373</v>
      </c>
    </row>
    <row r="5" spans="1:29">
      <c r="A5" s="146"/>
      <c r="B5" s="147"/>
      <c r="C5" s="3575" t="s">
        <v>1375</v>
      </c>
      <c r="D5" s="3576"/>
      <c r="E5" s="3582" t="s">
        <v>1376</v>
      </c>
      <c r="F5" s="3583"/>
      <c r="G5" s="3575" t="s">
        <v>1377</v>
      </c>
      <c r="H5" s="3576"/>
      <c r="I5" s="3575" t="s">
        <v>1378</v>
      </c>
      <c r="J5" s="3576"/>
      <c r="K5" s="187"/>
      <c r="L5" s="2322"/>
      <c r="M5" s="2323"/>
      <c r="N5" s="2323"/>
      <c r="O5" s="2323"/>
      <c r="P5" s="3679"/>
      <c r="Q5" s="3656"/>
      <c r="R5" s="3661"/>
      <c r="S5" s="3662"/>
      <c r="T5" s="3661"/>
      <c r="U5" s="3662"/>
      <c r="V5" s="3665"/>
      <c r="W5" s="3665"/>
      <c r="X5" s="2248"/>
      <c r="Y5" s="3661"/>
      <c r="Z5" s="3662"/>
      <c r="AA5" s="3647"/>
      <c r="AB5" s="3647"/>
      <c r="AC5" s="3675"/>
    </row>
    <row r="6" spans="1:29" ht="14.25" thickBot="1">
      <c r="A6" s="148"/>
      <c r="B6" s="149"/>
      <c r="C6" s="3580" t="s">
        <v>1379</v>
      </c>
      <c r="D6" s="3581"/>
      <c r="E6" s="3669" t="s">
        <v>1379</v>
      </c>
      <c r="F6" s="3670"/>
      <c r="G6" s="3580" t="s">
        <v>1379</v>
      </c>
      <c r="H6" s="3581"/>
      <c r="I6" s="3580" t="s">
        <v>1379</v>
      </c>
      <c r="J6" s="3581"/>
      <c r="K6" s="187" t="s">
        <v>1380</v>
      </c>
      <c r="L6" s="2322"/>
      <c r="M6" s="2323"/>
      <c r="N6" s="2323"/>
      <c r="O6" s="2323"/>
      <c r="P6" s="3680"/>
      <c r="Q6" s="3658"/>
      <c r="R6" s="3661"/>
      <c r="S6" s="3662"/>
      <c r="T6" s="3663"/>
      <c r="U6" s="3664"/>
      <c r="V6" s="3665"/>
      <c r="W6" s="3665"/>
      <c r="X6" s="2248"/>
      <c r="Y6" s="3663"/>
      <c r="Z6" s="3664"/>
      <c r="AA6" s="3648"/>
      <c r="AB6" s="3648"/>
      <c r="AC6" s="3676"/>
    </row>
    <row r="7" spans="1:29" s="40" customFormat="1" ht="15" thickBot="1">
      <c r="A7" s="1019" t="s">
        <v>1381</v>
      </c>
      <c r="B7" s="1020"/>
      <c r="C7" s="758">
        <f>'数据-取费表'!B2</f>
        <v>42930</v>
      </c>
      <c r="D7" s="759">
        <v>100</v>
      </c>
      <c r="E7" s="1022">
        <v>42007</v>
      </c>
      <c r="F7" s="761">
        <f>SUMIF(59:59,YEAR(E7)&amp;"-"&amp;MONTH(E7),60:60)</f>
        <v>0</v>
      </c>
      <c r="G7" s="1023">
        <v>41918</v>
      </c>
      <c r="H7" s="759">
        <f>SUMIF(59:59,YEAR(G7)&amp;"-"&amp;MONTH(G7),60:60)</f>
        <v>0</v>
      </c>
      <c r="I7" s="1023">
        <v>42003</v>
      </c>
      <c r="J7" s="759">
        <f>SUMIF(59:59,YEAR(I7)&amp;"-"&amp;MONTH(I7),60:60)</f>
        <v>0</v>
      </c>
      <c r="K7" s="1024"/>
      <c r="L7" s="2324"/>
      <c r="M7" s="2286"/>
      <c r="N7" s="2286"/>
      <c r="O7" s="2286"/>
      <c r="P7" s="3684" t="s">
        <v>1381</v>
      </c>
      <c r="Q7" s="3668"/>
      <c r="R7" s="1348" t="s">
        <v>70</v>
      </c>
      <c r="S7" s="1349">
        <f t="shared" ref="S7:S15" si="0">F7</f>
        <v>0</v>
      </c>
      <c r="T7" s="1348" t="s">
        <v>70</v>
      </c>
      <c r="U7" s="1349">
        <f t="shared" ref="U7:U15" si="1">H7</f>
        <v>0</v>
      </c>
      <c r="V7" s="1348" t="s">
        <v>70</v>
      </c>
      <c r="W7" s="1349">
        <f t="shared" ref="W7:W15" si="2">J7</f>
        <v>0</v>
      </c>
      <c r="X7" s="293"/>
      <c r="Y7" s="3666" t="s">
        <v>1381</v>
      </c>
      <c r="Z7" s="3667"/>
      <c r="AA7" s="1350" t="e">
        <f>D7/F7</f>
        <v>#DIV/0!</v>
      </c>
      <c r="AB7" s="1350" t="e">
        <f>D7/H7</f>
        <v>#DIV/0!</v>
      </c>
      <c r="AC7" s="2363" t="e">
        <f>D7/J7</f>
        <v>#DIV/0!</v>
      </c>
    </row>
    <row r="8" spans="1:29" s="40" customFormat="1" ht="15" thickBot="1">
      <c r="A8" s="1019" t="s">
        <v>1382</v>
      </c>
      <c r="B8" s="1020"/>
      <c r="C8" s="1025" t="s">
        <v>1383</v>
      </c>
      <c r="D8" s="759">
        <v>100</v>
      </c>
      <c r="E8" s="1025" t="s">
        <v>259</v>
      </c>
      <c r="F8" s="761">
        <f>SUMIF(62:62,E8,63:63)-SUMIF(62:62,C8,63:63)+100</f>
        <v>99</v>
      </c>
      <c r="G8" s="1025" t="s">
        <v>1266</v>
      </c>
      <c r="H8" s="759">
        <f>SUMIF(62:62,G8,63:63)-SUMIF(62:62,C8,63:63)+100</f>
        <v>100</v>
      </c>
      <c r="I8" s="1025" t="s">
        <v>1266</v>
      </c>
      <c r="J8" s="759">
        <f>SUMIF(62:62,I8,63:63)-SUMIF(62:62,C8,63:63)+100</f>
        <v>100</v>
      </c>
      <c r="K8" s="1024"/>
      <c r="L8" s="2324"/>
      <c r="M8" s="2286"/>
      <c r="N8" s="2286"/>
      <c r="O8" s="2286"/>
      <c r="P8" s="3684" t="s">
        <v>1267</v>
      </c>
      <c r="Q8" s="3667"/>
      <c r="R8" s="1348" t="s">
        <v>70</v>
      </c>
      <c r="S8" s="1349">
        <f t="shared" si="0"/>
        <v>99</v>
      </c>
      <c r="T8" s="1348" t="s">
        <v>70</v>
      </c>
      <c r="U8" s="1349">
        <f t="shared" si="1"/>
        <v>100</v>
      </c>
      <c r="V8" s="1348" t="s">
        <v>70</v>
      </c>
      <c r="W8" s="1349">
        <f t="shared" si="2"/>
        <v>100</v>
      </c>
      <c r="X8" s="293"/>
      <c r="Y8" s="3666" t="s">
        <v>1267</v>
      </c>
      <c r="Z8" s="3667"/>
      <c r="AA8" s="1350">
        <f t="shared" ref="AA8:AA47" si="3">D8/F8</f>
        <v>1.0101010101010102</v>
      </c>
      <c r="AB8" s="1350">
        <f t="shared" ref="AB8:AB47" si="4">D8/H8</f>
        <v>1</v>
      </c>
      <c r="AC8" s="2363">
        <f t="shared" ref="AC8:AC47" si="5">D8/J8</f>
        <v>1</v>
      </c>
    </row>
    <row r="9" spans="1:29" s="40" customFormat="1" ht="14.25">
      <c r="A9" s="1026" t="s">
        <v>1268</v>
      </c>
      <c r="B9" s="62" t="s">
        <v>1269</v>
      </c>
      <c r="C9" s="1352" t="s">
        <v>1384</v>
      </c>
      <c r="D9" s="430">
        <v>100</v>
      </c>
      <c r="E9" s="1354" t="s">
        <v>210</v>
      </c>
      <c r="F9" s="430">
        <f>SUMIF(64:64,E9,65:65)-SUMIF(64:64,C9,65:65)+100</f>
        <v>100</v>
      </c>
      <c r="G9" s="1353" t="s">
        <v>280</v>
      </c>
      <c r="H9" s="430">
        <f>SUMIF(64:64,G9,65:65)-SUMIF(64:64,C9,65:65)+100</f>
        <v>95</v>
      </c>
      <c r="I9" s="1353" t="s">
        <v>210</v>
      </c>
      <c r="J9" s="430">
        <f>SUMIF(64:64,I9,65:65)-SUMIF(64:64,C9,65:65)+100</f>
        <v>100</v>
      </c>
      <c r="K9" s="1024"/>
      <c r="L9" s="2324"/>
      <c r="M9" s="2286"/>
      <c r="N9" s="2286"/>
      <c r="O9" s="2286"/>
      <c r="P9" s="3645" t="s">
        <v>72</v>
      </c>
      <c r="Q9" s="2236" t="str">
        <f t="shared" ref="Q9:Q15" si="6">B9</f>
        <v>用途</v>
      </c>
      <c r="R9" s="1348" t="s">
        <v>70</v>
      </c>
      <c r="S9" s="1349">
        <f t="shared" si="0"/>
        <v>100</v>
      </c>
      <c r="T9" s="1348" t="s">
        <v>70</v>
      </c>
      <c r="U9" s="1349">
        <f t="shared" si="1"/>
        <v>95</v>
      </c>
      <c r="V9" s="1348" t="s">
        <v>70</v>
      </c>
      <c r="W9" s="1349">
        <f t="shared" si="2"/>
        <v>100</v>
      </c>
      <c r="X9" s="293"/>
      <c r="Y9" s="3396" t="s">
        <v>72</v>
      </c>
      <c r="Z9" s="2235" t="str">
        <f t="shared" ref="Z9:Z15" si="7">Q9</f>
        <v>用途</v>
      </c>
      <c r="AA9" s="1350">
        <f t="shared" si="3"/>
        <v>1</v>
      </c>
      <c r="AB9" s="1350">
        <f t="shared" si="4"/>
        <v>1.0526315789473684</v>
      </c>
      <c r="AC9" s="2363">
        <f t="shared" si="5"/>
        <v>1</v>
      </c>
    </row>
    <row r="10" spans="1:29" s="92" customFormat="1" ht="27">
      <c r="A10" s="150"/>
      <c r="B10" s="12" t="s">
        <v>125</v>
      </c>
      <c r="C10" s="1355" t="s">
        <v>286</v>
      </c>
      <c r="D10" s="431">
        <v>100</v>
      </c>
      <c r="E10" s="1355" t="s">
        <v>287</v>
      </c>
      <c r="F10" s="431">
        <f>SUMIF(66:66,E10,67:67)-SUMIF(66:66,C10,67:67)+100</f>
        <v>99</v>
      </c>
      <c r="G10" s="1356" t="s">
        <v>288</v>
      </c>
      <c r="H10" s="431">
        <f>SUMIF(66:66,G10,67:67)-SUMIF(66:66,C10,67:67)+100</f>
        <v>98</v>
      </c>
      <c r="I10" s="1355" t="s">
        <v>289</v>
      </c>
      <c r="J10" s="431">
        <f>SUMIF(66:66,I10,67:67)-SUMIF(66:66,C10,67:67)+100</f>
        <v>97</v>
      </c>
      <c r="K10" s="960">
        <v>1</v>
      </c>
      <c r="L10" s="2325"/>
      <c r="M10" s="2326"/>
      <c r="N10" s="2326"/>
      <c r="O10" s="2326"/>
      <c r="P10" s="3645"/>
      <c r="Q10" s="2236" t="str">
        <f t="shared" si="6"/>
        <v>土地使用年限（年）</v>
      </c>
      <c r="R10" s="1348" t="s">
        <v>70</v>
      </c>
      <c r="S10" s="1349">
        <f t="shared" si="0"/>
        <v>99</v>
      </c>
      <c r="T10" s="1348" t="s">
        <v>70</v>
      </c>
      <c r="U10" s="1349">
        <f t="shared" si="1"/>
        <v>98</v>
      </c>
      <c r="V10" s="1348" t="s">
        <v>70</v>
      </c>
      <c r="W10" s="1349">
        <f t="shared" si="2"/>
        <v>97</v>
      </c>
      <c r="X10" s="293"/>
      <c r="Y10" s="3396"/>
      <c r="Z10" s="2235" t="str">
        <f t="shared" si="7"/>
        <v>土地使用年限（年）</v>
      </c>
      <c r="AA10" s="1350">
        <f t="shared" si="3"/>
        <v>1.0101010101010102</v>
      </c>
      <c r="AB10" s="1350">
        <f t="shared" si="4"/>
        <v>1.0204081632653061</v>
      </c>
      <c r="AC10" s="2363">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27"/>
      <c r="M11" s="2323"/>
      <c r="N11" s="2323"/>
      <c r="O11" s="2323"/>
      <c r="P11" s="3645"/>
      <c r="Q11" s="2236" t="str">
        <f t="shared" si="6"/>
        <v>容积率</v>
      </c>
      <c r="R11" s="1348" t="s">
        <v>70</v>
      </c>
      <c r="S11" s="1349">
        <f t="shared" si="0"/>
        <v>97</v>
      </c>
      <c r="T11" s="1348" t="s">
        <v>70</v>
      </c>
      <c r="U11" s="1349">
        <f t="shared" si="1"/>
        <v>94</v>
      </c>
      <c r="V11" s="1348" t="s">
        <v>70</v>
      </c>
      <c r="W11" s="1349">
        <f t="shared" si="2"/>
        <v>91</v>
      </c>
      <c r="X11" s="293"/>
      <c r="Y11" s="3396"/>
      <c r="Z11" s="2235" t="str">
        <f t="shared" si="7"/>
        <v>容积率</v>
      </c>
      <c r="AA11" s="1350">
        <f t="shared" si="3"/>
        <v>1.0309278350515463</v>
      </c>
      <c r="AB11" s="1350">
        <f t="shared" si="4"/>
        <v>1.0638297872340425</v>
      </c>
      <c r="AC11" s="2363">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4"/>
      <c r="M12" s="2286"/>
      <c r="N12" s="2286"/>
      <c r="O12" s="2286"/>
      <c r="P12" s="3645"/>
      <c r="Q12" s="2236">
        <f t="shared" si="6"/>
        <v>111</v>
      </c>
      <c r="R12" s="1348" t="s">
        <v>70</v>
      </c>
      <c r="S12" s="1349">
        <f t="shared" si="0"/>
        <v>100</v>
      </c>
      <c r="T12" s="1348" t="s">
        <v>70</v>
      </c>
      <c r="U12" s="1349">
        <f t="shared" si="1"/>
        <v>100</v>
      </c>
      <c r="V12" s="1348" t="s">
        <v>70</v>
      </c>
      <c r="W12" s="1349">
        <f t="shared" si="2"/>
        <v>100</v>
      </c>
      <c r="X12" s="293"/>
      <c r="Y12" s="3396"/>
      <c r="Z12" s="2235">
        <f t="shared" si="7"/>
        <v>111</v>
      </c>
      <c r="AA12" s="1350">
        <f>D12/F12</f>
        <v>1</v>
      </c>
      <c r="AB12" s="1350">
        <f>D12/H12</f>
        <v>1</v>
      </c>
      <c r="AC12" s="2363">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28"/>
      <c r="M13" s="2323"/>
      <c r="N13" s="2323"/>
      <c r="O13" s="2323"/>
      <c r="P13" s="3645"/>
      <c r="Q13" s="2236">
        <f t="shared" si="6"/>
        <v>111</v>
      </c>
      <c r="R13" s="1348" t="s">
        <v>70</v>
      </c>
      <c r="S13" s="1349">
        <f t="shared" si="0"/>
        <v>100</v>
      </c>
      <c r="T13" s="1348" t="s">
        <v>70</v>
      </c>
      <c r="U13" s="1349">
        <f t="shared" si="1"/>
        <v>100</v>
      </c>
      <c r="V13" s="1348" t="s">
        <v>70</v>
      </c>
      <c r="W13" s="1349">
        <f t="shared" si="2"/>
        <v>100</v>
      </c>
      <c r="X13" s="293"/>
      <c r="Y13" s="3396"/>
      <c r="Z13" s="2235">
        <f t="shared" si="7"/>
        <v>111</v>
      </c>
      <c r="AA13" s="1350">
        <f t="shared" si="3"/>
        <v>1</v>
      </c>
      <c r="AB13" s="1350">
        <f t="shared" si="4"/>
        <v>1</v>
      </c>
      <c r="AC13" s="2363">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28"/>
      <c r="M14" s="2323"/>
      <c r="N14" s="2323"/>
      <c r="O14" s="2323"/>
      <c r="P14" s="3645"/>
      <c r="Q14" s="2236">
        <f t="shared" si="6"/>
        <v>111</v>
      </c>
      <c r="R14" s="1348" t="s">
        <v>70</v>
      </c>
      <c r="S14" s="1349">
        <f t="shared" si="0"/>
        <v>100</v>
      </c>
      <c r="T14" s="1348" t="s">
        <v>70</v>
      </c>
      <c r="U14" s="1349">
        <f t="shared" si="1"/>
        <v>100</v>
      </c>
      <c r="V14" s="1348" t="s">
        <v>70</v>
      </c>
      <c r="W14" s="1349">
        <f t="shared" si="2"/>
        <v>100</v>
      </c>
      <c r="X14" s="293"/>
      <c r="Y14" s="3396"/>
      <c r="Z14" s="2235">
        <f t="shared" si="7"/>
        <v>111</v>
      </c>
      <c r="AA14" s="1350">
        <f t="shared" si="3"/>
        <v>1</v>
      </c>
      <c r="AB14" s="1350">
        <f t="shared" si="4"/>
        <v>1</v>
      </c>
      <c r="AC14" s="2363">
        <f t="shared" si="5"/>
        <v>1</v>
      </c>
    </row>
    <row r="15" spans="1:29" ht="67.5">
      <c r="A15" s="155" t="s">
        <v>74</v>
      </c>
      <c r="B15" s="1038"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28"/>
      <c r="M15" s="2323"/>
      <c r="N15" s="2323"/>
      <c r="O15" s="2323"/>
      <c r="P15" s="3643" t="s">
        <v>74</v>
      </c>
      <c r="Q15" s="2246" t="str">
        <f t="shared" si="6"/>
        <v>办公集聚程度</v>
      </c>
      <c r="R15" s="1358" t="s">
        <v>70</v>
      </c>
      <c r="S15" s="1359">
        <f t="shared" si="0"/>
        <v>101.5</v>
      </c>
      <c r="T15" s="1358" t="s">
        <v>70</v>
      </c>
      <c r="U15" s="1359">
        <f t="shared" si="1"/>
        <v>103</v>
      </c>
      <c r="V15" s="1358" t="s">
        <v>70</v>
      </c>
      <c r="W15" s="1359">
        <f t="shared" si="2"/>
        <v>97</v>
      </c>
      <c r="X15" s="2248"/>
      <c r="Y15" s="3636" t="s">
        <v>74</v>
      </c>
      <c r="Z15" s="2247" t="str">
        <f t="shared" si="7"/>
        <v>办公集聚程度</v>
      </c>
      <c r="AA15" s="1361">
        <f t="shared" si="3"/>
        <v>0.98522167487684731</v>
      </c>
      <c r="AB15" s="1361">
        <f t="shared" si="4"/>
        <v>0.970873786407767</v>
      </c>
      <c r="AC15" s="2364">
        <f t="shared" si="5"/>
        <v>1.0309278350515463</v>
      </c>
    </row>
    <row r="16" spans="1:29" ht="14.25">
      <c r="A16" s="151"/>
      <c r="B16" s="209"/>
      <c r="C16" s="192" t="s">
        <v>124</v>
      </c>
      <c r="D16" s="797"/>
      <c r="E16" s="97" t="s">
        <v>123</v>
      </c>
      <c r="F16" s="797"/>
      <c r="G16" s="192" t="s">
        <v>122</v>
      </c>
      <c r="H16" s="799"/>
      <c r="I16" s="97" t="s">
        <v>184</v>
      </c>
      <c r="J16" s="797"/>
      <c r="K16" s="189"/>
      <c r="L16" s="2328"/>
      <c r="M16" s="2323"/>
      <c r="N16" s="2323"/>
      <c r="O16" s="2323"/>
      <c r="P16" s="3644"/>
      <c r="Q16" s="2246"/>
      <c r="R16" s="1358"/>
      <c r="S16" s="1359"/>
      <c r="T16" s="1358"/>
      <c r="U16" s="1359"/>
      <c r="V16" s="1358"/>
      <c r="W16" s="1359"/>
      <c r="X16" s="2248"/>
      <c r="Y16" s="3637"/>
      <c r="Z16" s="2247"/>
      <c r="AA16" s="1361">
        <v>1</v>
      </c>
      <c r="AB16" s="1361">
        <v>1</v>
      </c>
      <c r="AC16" s="2364">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28"/>
      <c r="M17" s="2323"/>
      <c r="N17" s="2323"/>
      <c r="O17" s="2323"/>
      <c r="P17" s="3644"/>
      <c r="Q17" s="2246" t="str">
        <f>B17</f>
        <v>交通便捷度</v>
      </c>
      <c r="R17" s="1358" t="s">
        <v>70</v>
      </c>
      <c r="S17" s="1359">
        <f>F17</f>
        <v>94</v>
      </c>
      <c r="T17" s="1358" t="s">
        <v>70</v>
      </c>
      <c r="U17" s="1359">
        <f>H17</f>
        <v>103</v>
      </c>
      <c r="V17" s="1358" t="s">
        <v>70</v>
      </c>
      <c r="W17" s="1359">
        <f>J17</f>
        <v>97</v>
      </c>
      <c r="X17" s="2248"/>
      <c r="Y17" s="3637"/>
      <c r="Z17" s="2247" t="str">
        <f>Q17</f>
        <v>交通便捷度</v>
      </c>
      <c r="AA17" s="1361">
        <f t="shared" si="3"/>
        <v>1.0638297872340425</v>
      </c>
      <c r="AB17" s="1361">
        <f t="shared" si="4"/>
        <v>0.970873786407767</v>
      </c>
      <c r="AC17" s="2364">
        <f t="shared" si="5"/>
        <v>1.0309278350515463</v>
      </c>
    </row>
    <row r="18" spans="1:29" ht="14.25">
      <c r="A18" s="151"/>
      <c r="B18" s="1040"/>
      <c r="C18" s="193" t="s">
        <v>124</v>
      </c>
      <c r="D18" s="799"/>
      <c r="E18" s="104" t="s">
        <v>184</v>
      </c>
      <c r="F18" s="799"/>
      <c r="G18" s="103" t="s">
        <v>123</v>
      </c>
      <c r="H18" s="797"/>
      <c r="I18" s="103" t="s">
        <v>153</v>
      </c>
      <c r="J18" s="797"/>
      <c r="K18" s="189"/>
      <c r="L18" s="2328"/>
      <c r="M18" s="2323"/>
      <c r="N18" s="2323"/>
      <c r="O18" s="2323"/>
      <c r="P18" s="3644"/>
      <c r="Q18" s="2246"/>
      <c r="R18" s="1358"/>
      <c r="S18" s="1359"/>
      <c r="T18" s="1358"/>
      <c r="U18" s="1359"/>
      <c r="V18" s="1358"/>
      <c r="W18" s="1359"/>
      <c r="X18" s="2248"/>
      <c r="Y18" s="3637"/>
      <c r="Z18" s="2247"/>
      <c r="AA18" s="1361">
        <v>1</v>
      </c>
      <c r="AB18" s="1361">
        <v>1</v>
      </c>
      <c r="AC18" s="2364">
        <v>1</v>
      </c>
    </row>
    <row r="19" spans="1:29" ht="40.5">
      <c r="A19" s="151"/>
      <c r="B19" s="1039" t="s">
        <v>3067</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28"/>
      <c r="M19" s="2323"/>
      <c r="N19" s="2323"/>
      <c r="O19" s="2323"/>
      <c r="P19" s="3644"/>
      <c r="Q19" s="2246" t="str">
        <f>B19</f>
        <v>公共配套设施</v>
      </c>
      <c r="R19" s="1358" t="s">
        <v>70</v>
      </c>
      <c r="S19" s="1359">
        <f>F19</f>
        <v>97.5</v>
      </c>
      <c r="T19" s="1358" t="s">
        <v>70</v>
      </c>
      <c r="U19" s="1359">
        <f>H19</f>
        <v>102.5</v>
      </c>
      <c r="V19" s="1358" t="s">
        <v>70</v>
      </c>
      <c r="W19" s="1359">
        <f>J19</f>
        <v>95</v>
      </c>
      <c r="X19" s="2248"/>
      <c r="Y19" s="3637"/>
      <c r="Z19" s="2247" t="str">
        <f>Q19</f>
        <v>公共配套设施</v>
      </c>
      <c r="AA19" s="1361">
        <f t="shared" si="3"/>
        <v>1.0256410256410255</v>
      </c>
      <c r="AB19" s="1361">
        <f t="shared" si="4"/>
        <v>0.97560975609756095</v>
      </c>
      <c r="AC19" s="2364">
        <f t="shared" si="5"/>
        <v>1.0526315789473684</v>
      </c>
    </row>
    <row r="20" spans="1:29" ht="14.25">
      <c r="A20" s="151"/>
      <c r="B20" s="1040"/>
      <c r="C20" s="192" t="s">
        <v>123</v>
      </c>
      <c r="D20" s="797"/>
      <c r="E20" s="99" t="s">
        <v>124</v>
      </c>
      <c r="F20" s="797"/>
      <c r="G20" s="98" t="s">
        <v>122</v>
      </c>
      <c r="H20" s="797"/>
      <c r="I20" s="98" t="s">
        <v>153</v>
      </c>
      <c r="J20" s="797"/>
      <c r="K20" s="189"/>
      <c r="L20" s="2328"/>
      <c r="M20" s="2323"/>
      <c r="N20" s="2323"/>
      <c r="O20" s="2323"/>
      <c r="P20" s="3644"/>
      <c r="Q20" s="2246"/>
      <c r="R20" s="1358"/>
      <c r="S20" s="1359"/>
      <c r="T20" s="1358"/>
      <c r="U20" s="1359"/>
      <c r="V20" s="1358"/>
      <c r="W20" s="1359"/>
      <c r="X20" s="2248"/>
      <c r="Y20" s="3637"/>
      <c r="Z20" s="2247"/>
      <c r="AA20" s="1361">
        <v>1</v>
      </c>
      <c r="AB20" s="1361">
        <v>1</v>
      </c>
      <c r="AC20" s="2364">
        <v>1</v>
      </c>
    </row>
    <row r="21" spans="1:29" ht="27">
      <c r="A21" s="151"/>
      <c r="B21" s="1041" t="s">
        <v>3068</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28"/>
      <c r="M21" s="2323"/>
      <c r="N21" s="2323"/>
      <c r="O21" s="2323"/>
      <c r="P21" s="3644"/>
      <c r="Q21" s="2782" t="str">
        <f>B21</f>
        <v>基础设施水平</v>
      </c>
      <c r="R21" s="1358" t="s">
        <v>70</v>
      </c>
      <c r="S21" s="1359">
        <f>F21</f>
        <v>98.5</v>
      </c>
      <c r="T21" s="1358" t="s">
        <v>70</v>
      </c>
      <c r="U21" s="1359">
        <f>H21</f>
        <v>97</v>
      </c>
      <c r="V21" s="1358" t="s">
        <v>70</v>
      </c>
      <c r="W21" s="1359">
        <f>J21</f>
        <v>95.5</v>
      </c>
      <c r="X21" s="2784"/>
      <c r="Y21" s="3637"/>
      <c r="Z21" s="2783" t="str">
        <f>Q21</f>
        <v>基础设施水平</v>
      </c>
      <c r="AA21" s="1361">
        <f t="shared" ref="AA21" si="8">D21/F21</f>
        <v>1.015228426395939</v>
      </c>
      <c r="AB21" s="1361">
        <f t="shared" ref="AB21" si="9">D21/H21</f>
        <v>1.0309278350515463</v>
      </c>
      <c r="AC21" s="2364">
        <f t="shared" ref="AC21" si="10">D21/J21</f>
        <v>1.0471204188481675</v>
      </c>
    </row>
    <row r="22" spans="1:29" ht="14.25">
      <c r="A22" s="151"/>
      <c r="B22" s="1041"/>
      <c r="C22" s="193" t="s">
        <v>56</v>
      </c>
      <c r="D22" s="797"/>
      <c r="E22" s="97" t="s">
        <v>161</v>
      </c>
      <c r="F22" s="797"/>
      <c r="G22" s="192" t="s">
        <v>162</v>
      </c>
      <c r="H22" s="797"/>
      <c r="I22" s="192" t="s">
        <v>258</v>
      </c>
      <c r="J22" s="797"/>
      <c r="K22" s="2802"/>
      <c r="L22" s="2328"/>
      <c r="M22" s="2323"/>
      <c r="N22" s="2323"/>
      <c r="O22" s="2323"/>
      <c r="P22" s="3644"/>
      <c r="Q22" s="2782"/>
      <c r="R22" s="1358"/>
      <c r="S22" s="1359"/>
      <c r="T22" s="1358"/>
      <c r="U22" s="1359"/>
      <c r="V22" s="1358"/>
      <c r="W22" s="1359"/>
      <c r="X22" s="2784"/>
      <c r="Y22" s="3637"/>
      <c r="Z22" s="2783"/>
      <c r="AA22" s="1361">
        <v>1</v>
      </c>
      <c r="AB22" s="1361">
        <v>1</v>
      </c>
      <c r="AC22" s="2364">
        <v>1</v>
      </c>
    </row>
    <row r="23" spans="1:29" ht="54">
      <c r="A23" s="151"/>
      <c r="B23" s="1039"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28"/>
      <c r="M23" s="2323"/>
      <c r="N23" s="2323"/>
      <c r="O23" s="2323"/>
      <c r="P23" s="3644"/>
      <c r="Q23" s="2246" t="str">
        <f>B23</f>
        <v>环境质量</v>
      </c>
      <c r="R23" s="1358" t="s">
        <v>70</v>
      </c>
      <c r="S23" s="1359">
        <f>F23</f>
        <v>98.5</v>
      </c>
      <c r="T23" s="1358" t="s">
        <v>70</v>
      </c>
      <c r="U23" s="1359">
        <f>H23</f>
        <v>103</v>
      </c>
      <c r="V23" s="1358" t="s">
        <v>70</v>
      </c>
      <c r="W23" s="1359">
        <f>J23</f>
        <v>101.5</v>
      </c>
      <c r="X23" s="2248"/>
      <c r="Y23" s="3637"/>
      <c r="Z23" s="2247" t="str">
        <f>Q23</f>
        <v>环境质量</v>
      </c>
      <c r="AA23" s="1361">
        <f t="shared" si="3"/>
        <v>1.015228426395939</v>
      </c>
      <c r="AB23" s="1361">
        <f t="shared" si="4"/>
        <v>0.970873786407767</v>
      </c>
      <c r="AC23" s="2364">
        <f t="shared" si="5"/>
        <v>0.98522167487684731</v>
      </c>
    </row>
    <row r="24" spans="1:29" ht="14.25">
      <c r="A24" s="151"/>
      <c r="B24" s="1041"/>
      <c r="C24" s="192" t="s">
        <v>124</v>
      </c>
      <c r="D24" s="797"/>
      <c r="E24" s="99" t="s">
        <v>153</v>
      </c>
      <c r="F24" s="797"/>
      <c r="G24" s="98" t="s">
        <v>122</v>
      </c>
      <c r="H24" s="797"/>
      <c r="I24" s="98" t="s">
        <v>123</v>
      </c>
      <c r="J24" s="797"/>
      <c r="K24" s="189"/>
      <c r="L24" s="2328"/>
      <c r="M24" s="2323"/>
      <c r="N24" s="2323"/>
      <c r="O24" s="2323"/>
      <c r="P24" s="3644"/>
      <c r="Q24" s="2246"/>
      <c r="R24" s="1358"/>
      <c r="S24" s="1359"/>
      <c r="T24" s="1358"/>
      <c r="U24" s="1359"/>
      <c r="V24" s="1358"/>
      <c r="W24" s="1359"/>
      <c r="X24" s="2248"/>
      <c r="Y24" s="3637"/>
      <c r="Z24" s="2247"/>
      <c r="AA24" s="1361">
        <v>1</v>
      </c>
      <c r="AB24" s="1361">
        <v>1</v>
      </c>
      <c r="AC24" s="2364">
        <v>1</v>
      </c>
    </row>
    <row r="25" spans="1:29" ht="27">
      <c r="A25" s="146"/>
      <c r="B25" s="1039" t="s">
        <v>213</v>
      </c>
      <c r="C25" s="194" t="s">
        <v>230</v>
      </c>
      <c r="D25" s="784">
        <v>100</v>
      </c>
      <c r="E25" s="93"/>
      <c r="F25" s="784">
        <f>SUMIF(87:87,E26,88:88)-SUMIF(87:87,C26,88:88)+100</f>
        <v>98.5</v>
      </c>
      <c r="G25" s="194"/>
      <c r="H25" s="784">
        <f>SUMIF(87:87,G26,88:88)-SUMIF(87:87,C26,88:88)+100</f>
        <v>97</v>
      </c>
      <c r="I25" s="93"/>
      <c r="J25" s="784">
        <f>SUMIF(87:87,I26,88:88)-SUMIF(87:87,C26,88:88)+100</f>
        <v>95.5</v>
      </c>
      <c r="K25" s="962">
        <v>1.5</v>
      </c>
      <c r="L25" s="2328"/>
      <c r="M25" s="2323"/>
      <c r="N25" s="2323"/>
      <c r="O25" s="2323"/>
      <c r="P25" s="3644"/>
      <c r="Q25" s="2246" t="str">
        <f>B25</f>
        <v>毗邻道路的类型与等级</v>
      </c>
      <c r="R25" s="1358" t="s">
        <v>70</v>
      </c>
      <c r="S25" s="1359">
        <f>F25</f>
        <v>98.5</v>
      </c>
      <c r="T25" s="1358" t="s">
        <v>70</v>
      </c>
      <c r="U25" s="1359">
        <f>H25</f>
        <v>97</v>
      </c>
      <c r="V25" s="1358" t="s">
        <v>70</v>
      </c>
      <c r="W25" s="1359">
        <f>J25</f>
        <v>95.5</v>
      </c>
      <c r="X25" s="2248"/>
      <c r="Y25" s="3637"/>
      <c r="Z25" s="2247" t="str">
        <f>Q25</f>
        <v>毗邻道路的类型与等级</v>
      </c>
      <c r="AA25" s="1361">
        <f t="shared" si="3"/>
        <v>1.015228426395939</v>
      </c>
      <c r="AB25" s="1361">
        <f t="shared" si="4"/>
        <v>1.0309278350515463</v>
      </c>
      <c r="AC25" s="2364">
        <f t="shared" si="5"/>
        <v>1.0471204188481675</v>
      </c>
    </row>
    <row r="26" spans="1:29" ht="14.25">
      <c r="A26" s="146"/>
      <c r="B26" s="1040"/>
      <c r="C26" s="195" t="s">
        <v>224</v>
      </c>
      <c r="D26" s="784"/>
      <c r="E26" s="182" t="s">
        <v>226</v>
      </c>
      <c r="F26" s="784"/>
      <c r="G26" s="195" t="s">
        <v>257</v>
      </c>
      <c r="H26" s="784"/>
      <c r="I26" s="182" t="s">
        <v>265</v>
      </c>
      <c r="J26" s="784"/>
      <c r="K26" s="189"/>
      <c r="L26" s="2328"/>
      <c r="M26" s="2323"/>
      <c r="N26" s="2323"/>
      <c r="O26" s="2323"/>
      <c r="P26" s="3644"/>
      <c r="Q26" s="2246"/>
      <c r="R26" s="1358"/>
      <c r="S26" s="1359"/>
      <c r="T26" s="1358"/>
      <c r="U26" s="1359"/>
      <c r="V26" s="1358"/>
      <c r="W26" s="1359"/>
      <c r="X26" s="2248"/>
      <c r="Y26" s="3637"/>
      <c r="Z26" s="2247"/>
      <c r="AA26" s="1361">
        <v>1</v>
      </c>
      <c r="AB26" s="1361">
        <v>1</v>
      </c>
      <c r="AC26" s="2364">
        <v>1</v>
      </c>
    </row>
    <row r="27" spans="1:29" ht="15">
      <c r="A27" s="151"/>
      <c r="B27" s="1040" t="s">
        <v>1385</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0">
        <v>3</v>
      </c>
      <c r="L27" s="2328"/>
      <c r="M27" s="2323"/>
      <c r="N27" s="2323"/>
      <c r="O27" s="2323"/>
      <c r="P27" s="3644"/>
      <c r="Q27" s="2246" t="str">
        <f t="shared" ref="Q27:Q47" si="11">B27</f>
        <v>楼层</v>
      </c>
      <c r="R27" s="1358" t="s">
        <v>70</v>
      </c>
      <c r="S27" s="1359">
        <f>F27</f>
        <v>94</v>
      </c>
      <c r="T27" s="1358" t="s">
        <v>70</v>
      </c>
      <c r="U27" s="1359">
        <f>H27</f>
        <v>97</v>
      </c>
      <c r="V27" s="1358" t="s">
        <v>70</v>
      </c>
      <c r="W27" s="1359">
        <f>J27</f>
        <v>100</v>
      </c>
      <c r="X27" s="2248"/>
      <c r="Y27" s="3637"/>
      <c r="Z27" s="2247" t="str">
        <f>Q27</f>
        <v>楼层</v>
      </c>
      <c r="AA27" s="1361">
        <f t="shared" si="3"/>
        <v>1.0638297872340425</v>
      </c>
      <c r="AB27" s="1361">
        <f t="shared" si="4"/>
        <v>1.0309278350515463</v>
      </c>
      <c r="AC27" s="2364">
        <f t="shared" si="5"/>
        <v>1</v>
      </c>
    </row>
    <row r="28" spans="1:29" s="40" customFormat="1" ht="15">
      <c r="A28" s="1035"/>
      <c r="B28" s="1039" t="s">
        <v>214</v>
      </c>
      <c r="C28" s="1411" t="s">
        <v>300</v>
      </c>
      <c r="D28" s="811">
        <v>100</v>
      </c>
      <c r="E28" s="1393" t="s">
        <v>301</v>
      </c>
      <c r="F28" s="811">
        <f>SUMIF(91:91,E28,92:92)-SUMIF(91:91,C28,92:92)+100</f>
        <v>97</v>
      </c>
      <c r="G28" s="1411" t="s">
        <v>302</v>
      </c>
      <c r="H28" s="811">
        <f>SUMIF(91:91,G28,92:92)-SUMIF(91:91,C28,92:92)+100</f>
        <v>94</v>
      </c>
      <c r="I28" s="1393" t="s">
        <v>303</v>
      </c>
      <c r="J28" s="811">
        <f>SUMIF(91:91,I28,92:92)-SUMIF(91:91,C28,92:92)+100</f>
        <v>91</v>
      </c>
      <c r="K28" s="960">
        <v>3</v>
      </c>
      <c r="L28" s="2324"/>
      <c r="M28" s="2286"/>
      <c r="N28" s="2286"/>
      <c r="O28" s="2286"/>
      <c r="P28" s="3644"/>
      <c r="Q28" s="2236" t="str">
        <f t="shared" si="11"/>
        <v>朝向</v>
      </c>
      <c r="R28" s="1348" t="s">
        <v>70</v>
      </c>
      <c r="S28" s="1349">
        <f>F28</f>
        <v>97</v>
      </c>
      <c r="T28" s="1348" t="s">
        <v>70</v>
      </c>
      <c r="U28" s="1349">
        <f>H28</f>
        <v>94</v>
      </c>
      <c r="V28" s="1348" t="s">
        <v>70</v>
      </c>
      <c r="W28" s="1349">
        <f>J28</f>
        <v>91</v>
      </c>
      <c r="X28" s="293"/>
      <c r="Y28" s="3637"/>
      <c r="Z28" s="2235" t="str">
        <f>Q28</f>
        <v>朝向</v>
      </c>
      <c r="AA28" s="1361">
        <f>D28/F28</f>
        <v>1.0309278350515463</v>
      </c>
      <c r="AB28" s="1361">
        <f>D28/H28</f>
        <v>1.0638297872340425</v>
      </c>
      <c r="AC28" s="2364">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28"/>
      <c r="M29" s="2323"/>
      <c r="N29" s="2323"/>
      <c r="O29" s="2323"/>
      <c r="P29" s="3644"/>
      <c r="Q29" s="2246">
        <f t="shared" si="11"/>
        <v>111</v>
      </c>
      <c r="R29" s="1358" t="s">
        <v>70</v>
      </c>
      <c r="S29" s="1359">
        <f t="shared" ref="S29:S47" si="12">F29</f>
        <v>100</v>
      </c>
      <c r="T29" s="1358" t="s">
        <v>70</v>
      </c>
      <c r="U29" s="1359">
        <f t="shared" ref="U29:U47" si="13">H29</f>
        <v>100</v>
      </c>
      <c r="V29" s="1358" t="s">
        <v>70</v>
      </c>
      <c r="W29" s="1359">
        <f t="shared" ref="W29:W47" si="14">J29</f>
        <v>100</v>
      </c>
      <c r="X29" s="2248"/>
      <c r="Y29" s="3637"/>
      <c r="Z29" s="2247">
        <f t="shared" ref="Z29:Z47" si="15">Q29</f>
        <v>111</v>
      </c>
      <c r="AA29" s="1361">
        <f t="shared" si="3"/>
        <v>1</v>
      </c>
      <c r="AB29" s="1361">
        <f t="shared" si="4"/>
        <v>1</v>
      </c>
      <c r="AC29" s="2364">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28"/>
      <c r="M30" s="2323"/>
      <c r="N30" s="2323"/>
      <c r="O30" s="2323"/>
      <c r="P30" s="3644"/>
      <c r="Q30" s="2246">
        <f t="shared" si="11"/>
        <v>111</v>
      </c>
      <c r="R30" s="1358" t="s">
        <v>70</v>
      </c>
      <c r="S30" s="1359">
        <f t="shared" si="12"/>
        <v>100</v>
      </c>
      <c r="T30" s="1358" t="s">
        <v>70</v>
      </c>
      <c r="U30" s="1359">
        <f t="shared" si="13"/>
        <v>100</v>
      </c>
      <c r="V30" s="1358" t="s">
        <v>70</v>
      </c>
      <c r="W30" s="1359">
        <f t="shared" si="14"/>
        <v>100</v>
      </c>
      <c r="X30" s="2248"/>
      <c r="Y30" s="3637"/>
      <c r="Z30" s="2247">
        <f t="shared" si="15"/>
        <v>111</v>
      </c>
      <c r="AA30" s="1361">
        <f t="shared" si="3"/>
        <v>1</v>
      </c>
      <c r="AB30" s="1361">
        <f t="shared" si="4"/>
        <v>1</v>
      </c>
      <c r="AC30" s="2364">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28"/>
      <c r="M31" s="2323"/>
      <c r="N31" s="2323"/>
      <c r="O31" s="2323"/>
      <c r="P31" s="3644"/>
      <c r="Q31" s="2246">
        <f t="shared" si="11"/>
        <v>111</v>
      </c>
      <c r="R31" s="1358" t="s">
        <v>70</v>
      </c>
      <c r="S31" s="1359">
        <f t="shared" si="12"/>
        <v>100</v>
      </c>
      <c r="T31" s="1358" t="s">
        <v>70</v>
      </c>
      <c r="U31" s="1359">
        <f t="shared" si="13"/>
        <v>100</v>
      </c>
      <c r="V31" s="1358" t="s">
        <v>70</v>
      </c>
      <c r="W31" s="1359">
        <f t="shared" si="14"/>
        <v>100</v>
      </c>
      <c r="X31" s="2248"/>
      <c r="Y31" s="3637"/>
      <c r="Z31" s="2247">
        <f t="shared" si="15"/>
        <v>111</v>
      </c>
      <c r="AA31" s="1361">
        <f t="shared" si="3"/>
        <v>1</v>
      </c>
      <c r="AB31" s="1361">
        <f t="shared" si="4"/>
        <v>1</v>
      </c>
      <c r="AC31" s="2364">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28"/>
      <c r="M32" s="2323"/>
      <c r="N32" s="2323"/>
      <c r="O32" s="2323"/>
      <c r="P32" s="3644"/>
      <c r="Q32" s="2246">
        <f t="shared" si="11"/>
        <v>111</v>
      </c>
      <c r="R32" s="1358" t="s">
        <v>70</v>
      </c>
      <c r="S32" s="1359">
        <f t="shared" si="12"/>
        <v>100</v>
      </c>
      <c r="T32" s="1358" t="s">
        <v>70</v>
      </c>
      <c r="U32" s="1359">
        <f t="shared" si="13"/>
        <v>100</v>
      </c>
      <c r="V32" s="1358" t="s">
        <v>70</v>
      </c>
      <c r="W32" s="1359">
        <f t="shared" si="14"/>
        <v>100</v>
      </c>
      <c r="X32" s="2248"/>
      <c r="Y32" s="3637"/>
      <c r="Z32" s="2247">
        <f t="shared" si="15"/>
        <v>111</v>
      </c>
      <c r="AA32" s="1361">
        <f t="shared" si="3"/>
        <v>1</v>
      </c>
      <c r="AB32" s="1361">
        <f t="shared" si="4"/>
        <v>1</v>
      </c>
      <c r="AC32" s="2364">
        <f t="shared" si="5"/>
        <v>1</v>
      </c>
    </row>
    <row r="33" spans="1:29" ht="15">
      <c r="A33" s="155" t="s">
        <v>1386</v>
      </c>
      <c r="B33" s="62" t="s">
        <v>1387</v>
      </c>
      <c r="C33" s="197" t="s">
        <v>231</v>
      </c>
      <c r="D33" s="815">
        <v>100</v>
      </c>
      <c r="E33" s="197" t="s">
        <v>232</v>
      </c>
      <c r="F33" s="810">
        <f>SUMIF(101:101,E33,102:102)-SUMIF(101:101,C33,102:102)+100</f>
        <v>98</v>
      </c>
      <c r="G33" s="197" t="s">
        <v>292</v>
      </c>
      <c r="H33" s="784">
        <f>SUMIF(101:101,G33,102:102)-SUMIF(101:101,C33,102:102)+100</f>
        <v>97</v>
      </c>
      <c r="I33" s="197" t="s">
        <v>293</v>
      </c>
      <c r="J33" s="815">
        <f>SUMIF(101:101,I33,102:102)-SUMIF(101:101,C33,102:102)+100</f>
        <v>96</v>
      </c>
      <c r="K33" s="960">
        <v>1</v>
      </c>
      <c r="L33" s="2328"/>
      <c r="M33" s="2323"/>
      <c r="N33" s="2323"/>
      <c r="O33" s="2323"/>
      <c r="P33" s="3638" t="s">
        <v>1388</v>
      </c>
      <c r="Q33" s="2246" t="str">
        <f t="shared" si="11"/>
        <v>建筑类型</v>
      </c>
      <c r="R33" s="1358" t="s">
        <v>70</v>
      </c>
      <c r="S33" s="1359">
        <f t="shared" si="12"/>
        <v>98</v>
      </c>
      <c r="T33" s="1358" t="s">
        <v>70</v>
      </c>
      <c r="U33" s="1359">
        <f t="shared" si="13"/>
        <v>97</v>
      </c>
      <c r="V33" s="1358" t="s">
        <v>70</v>
      </c>
      <c r="W33" s="1359">
        <f t="shared" si="14"/>
        <v>96</v>
      </c>
      <c r="X33" s="2248"/>
      <c r="Y33" s="3641" t="s">
        <v>1388</v>
      </c>
      <c r="Z33" s="2247" t="str">
        <f t="shared" si="15"/>
        <v>建筑类型</v>
      </c>
      <c r="AA33" s="1361">
        <f t="shared" si="3"/>
        <v>1.0204081632653061</v>
      </c>
      <c r="AB33" s="1361">
        <f t="shared" si="4"/>
        <v>1.0309278350515463</v>
      </c>
      <c r="AC33" s="2364">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27"/>
      <c r="M34" s="2329"/>
      <c r="N34" s="2329"/>
      <c r="O34" s="2329"/>
      <c r="P34" s="3639"/>
      <c r="Q34" s="1365" t="str">
        <f t="shared" si="11"/>
        <v>项目建筑规模</v>
      </c>
      <c r="R34" s="1366" t="s">
        <v>70</v>
      </c>
      <c r="S34" s="1367">
        <f t="shared" si="12"/>
        <v>92</v>
      </c>
      <c r="T34" s="1366" t="s">
        <v>70</v>
      </c>
      <c r="U34" s="1367">
        <f t="shared" si="13"/>
        <v>94</v>
      </c>
      <c r="V34" s="1366" t="s">
        <v>70</v>
      </c>
      <c r="W34" s="1367">
        <f t="shared" si="14"/>
        <v>96</v>
      </c>
      <c r="X34" s="1368"/>
      <c r="Y34" s="3641"/>
      <c r="Z34" s="1369" t="str">
        <f t="shared" si="15"/>
        <v>项目建筑规模</v>
      </c>
      <c r="AA34" s="1361">
        <f t="shared" si="3"/>
        <v>1.0869565217391304</v>
      </c>
      <c r="AB34" s="1361">
        <f t="shared" si="4"/>
        <v>1.0638297872340425</v>
      </c>
      <c r="AC34" s="2364">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28"/>
      <c r="M35" s="2323"/>
      <c r="N35" s="2323"/>
      <c r="O35" s="2323"/>
      <c r="P35" s="3639"/>
      <c r="Q35" s="2246" t="str">
        <f t="shared" si="11"/>
        <v>建筑结构</v>
      </c>
      <c r="R35" s="1358" t="s">
        <v>70</v>
      </c>
      <c r="S35" s="1359">
        <f t="shared" si="12"/>
        <v>98</v>
      </c>
      <c r="T35" s="1358" t="s">
        <v>70</v>
      </c>
      <c r="U35" s="1359">
        <f t="shared" si="13"/>
        <v>100</v>
      </c>
      <c r="V35" s="1358" t="s">
        <v>70</v>
      </c>
      <c r="W35" s="1359">
        <f t="shared" si="14"/>
        <v>98</v>
      </c>
      <c r="X35" s="2248"/>
      <c r="Y35" s="3641"/>
      <c r="Z35" s="2247" t="str">
        <f t="shared" si="15"/>
        <v>建筑结构</v>
      </c>
      <c r="AA35" s="1361">
        <f t="shared" si="3"/>
        <v>1.0204081632653061</v>
      </c>
      <c r="AB35" s="1361">
        <f t="shared" si="4"/>
        <v>1</v>
      </c>
      <c r="AC35" s="2364">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28"/>
      <c r="M36" s="2323"/>
      <c r="N36" s="2323"/>
      <c r="O36" s="2323"/>
      <c r="P36" s="3639"/>
      <c r="Q36" s="2246" t="str">
        <f t="shared" si="11"/>
        <v>公共部分装修</v>
      </c>
      <c r="R36" s="1358" t="s">
        <v>70</v>
      </c>
      <c r="S36" s="1359">
        <f t="shared" si="12"/>
        <v>101</v>
      </c>
      <c r="T36" s="1358" t="s">
        <v>70</v>
      </c>
      <c r="U36" s="1359">
        <f t="shared" si="13"/>
        <v>99</v>
      </c>
      <c r="V36" s="1358" t="s">
        <v>70</v>
      </c>
      <c r="W36" s="1359">
        <f t="shared" si="14"/>
        <v>98</v>
      </c>
      <c r="X36" s="2248"/>
      <c r="Y36" s="3641"/>
      <c r="Z36" s="2247" t="str">
        <f t="shared" si="15"/>
        <v>公共部分装修</v>
      </c>
      <c r="AA36" s="1361">
        <f t="shared" si="3"/>
        <v>0.99009900990099009</v>
      </c>
      <c r="AB36" s="1361">
        <f t="shared" si="4"/>
        <v>1.0101010101010102</v>
      </c>
      <c r="AC36" s="2364">
        <f t="shared" si="5"/>
        <v>1.0204081632653061</v>
      </c>
    </row>
    <row r="37" spans="1:29" ht="15">
      <c r="A37" s="161"/>
      <c r="B37" s="12" t="s">
        <v>200</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28"/>
      <c r="M37" s="2323"/>
      <c r="N37" s="2323"/>
      <c r="O37" s="2323"/>
      <c r="P37" s="3639"/>
      <c r="Q37" s="2246" t="str">
        <f t="shared" si="11"/>
        <v>成新度</v>
      </c>
      <c r="R37" s="1358" t="s">
        <v>70</v>
      </c>
      <c r="S37" s="1359">
        <f t="shared" si="12"/>
        <v>98</v>
      </c>
      <c r="T37" s="1358" t="s">
        <v>70</v>
      </c>
      <c r="U37" s="1359">
        <f t="shared" si="13"/>
        <v>100</v>
      </c>
      <c r="V37" s="1358" t="s">
        <v>70</v>
      </c>
      <c r="W37" s="1359">
        <f t="shared" si="14"/>
        <v>100</v>
      </c>
      <c r="X37" s="2248"/>
      <c r="Y37" s="3641"/>
      <c r="Z37" s="2247" t="str">
        <f t="shared" si="15"/>
        <v>成新度</v>
      </c>
      <c r="AA37" s="1361">
        <f t="shared" si="3"/>
        <v>1.0204081632653061</v>
      </c>
      <c r="AB37" s="1361">
        <f t="shared" si="4"/>
        <v>1</v>
      </c>
      <c r="AC37" s="2364">
        <f t="shared" si="5"/>
        <v>1</v>
      </c>
    </row>
    <row r="38" spans="1:29" s="40" customFormat="1" ht="15">
      <c r="A38" s="1047"/>
      <c r="B38" s="12" t="s">
        <v>216</v>
      </c>
      <c r="C38" s="107" t="s">
        <v>233</v>
      </c>
      <c r="D38" s="431">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0">
        <v>4</v>
      </c>
      <c r="L38" s="2324"/>
      <c r="M38" s="2286"/>
      <c r="N38" s="2286"/>
      <c r="O38" s="2286"/>
      <c r="P38" s="3639"/>
      <c r="Q38" s="2236" t="str">
        <f t="shared" si="11"/>
        <v>写字楼等级</v>
      </c>
      <c r="R38" s="1348" t="s">
        <v>70</v>
      </c>
      <c r="S38" s="1349">
        <f t="shared" si="12"/>
        <v>96</v>
      </c>
      <c r="T38" s="1348" t="s">
        <v>70</v>
      </c>
      <c r="U38" s="1349">
        <f t="shared" si="13"/>
        <v>92</v>
      </c>
      <c r="V38" s="1348" t="s">
        <v>70</v>
      </c>
      <c r="W38" s="1349">
        <f t="shared" si="14"/>
        <v>100</v>
      </c>
      <c r="X38" s="293"/>
      <c r="Y38" s="3641"/>
      <c r="Z38" s="2235" t="str">
        <f t="shared" si="15"/>
        <v>写字楼等级</v>
      </c>
      <c r="AA38" s="1350">
        <f t="shared" si="3"/>
        <v>1.0416666666666667</v>
      </c>
      <c r="AB38" s="1350">
        <f t="shared" si="4"/>
        <v>1.0869565217391304</v>
      </c>
      <c r="AC38" s="2363">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28"/>
      <c r="M39" s="2323"/>
      <c r="N39" s="2323"/>
      <c r="O39" s="2323"/>
      <c r="P39" s="3639" t="s">
        <v>75</v>
      </c>
      <c r="Q39" s="2246" t="str">
        <f t="shared" si="11"/>
        <v>物业管理</v>
      </c>
      <c r="R39" s="1358" t="s">
        <v>70</v>
      </c>
      <c r="S39" s="1359">
        <f t="shared" si="12"/>
        <v>97</v>
      </c>
      <c r="T39" s="1358" t="s">
        <v>70</v>
      </c>
      <c r="U39" s="1359">
        <f t="shared" si="13"/>
        <v>100</v>
      </c>
      <c r="V39" s="1358" t="s">
        <v>70</v>
      </c>
      <c r="W39" s="1359">
        <f t="shared" si="14"/>
        <v>97</v>
      </c>
      <c r="X39" s="2248"/>
      <c r="Y39" s="3641" t="s">
        <v>75</v>
      </c>
      <c r="Z39" s="2247" t="str">
        <f t="shared" si="15"/>
        <v>物业管理</v>
      </c>
      <c r="AA39" s="1361">
        <f t="shared" si="3"/>
        <v>1.0309278350515463</v>
      </c>
      <c r="AB39" s="1361">
        <f t="shared" si="4"/>
        <v>1</v>
      </c>
      <c r="AC39" s="2364">
        <f t="shared" si="5"/>
        <v>1.0309278350515463</v>
      </c>
    </row>
    <row r="40" spans="1:29" ht="15">
      <c r="A40" s="161"/>
      <c r="B40" s="12" t="s">
        <v>3060</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0">
        <v>1</v>
      </c>
      <c r="L40" s="2328"/>
      <c r="M40" s="2323"/>
      <c r="N40" s="2323"/>
      <c r="O40" s="2323"/>
      <c r="P40" s="3639"/>
      <c r="Q40" s="2246" t="str">
        <f t="shared" si="11"/>
        <v>市政基础设施</v>
      </c>
      <c r="R40" s="1358" t="s">
        <v>70</v>
      </c>
      <c r="S40" s="1359">
        <f t="shared" si="12"/>
        <v>99</v>
      </c>
      <c r="T40" s="1358" t="s">
        <v>70</v>
      </c>
      <c r="U40" s="1359">
        <f t="shared" si="13"/>
        <v>98</v>
      </c>
      <c r="V40" s="1358" t="s">
        <v>70</v>
      </c>
      <c r="W40" s="1359">
        <f t="shared" si="14"/>
        <v>97</v>
      </c>
      <c r="X40" s="2248"/>
      <c r="Y40" s="3641"/>
      <c r="Z40" s="2247" t="str">
        <f t="shared" si="15"/>
        <v>市政基础设施</v>
      </c>
      <c r="AA40" s="1361">
        <f t="shared" si="3"/>
        <v>1.0101010101010102</v>
      </c>
      <c r="AB40" s="1361">
        <f t="shared" si="4"/>
        <v>1.0204081632653061</v>
      </c>
      <c r="AC40" s="2364">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0">
        <v>1.5</v>
      </c>
      <c r="L41" s="2328"/>
      <c r="M41" s="2323"/>
      <c r="N41" s="2323"/>
      <c r="O41" s="2323"/>
      <c r="P41" s="3639"/>
      <c r="Q41" s="2246" t="str">
        <f t="shared" si="11"/>
        <v>层高</v>
      </c>
      <c r="R41" s="1358" t="s">
        <v>70</v>
      </c>
      <c r="S41" s="1359">
        <f t="shared" si="12"/>
        <v>100</v>
      </c>
      <c r="T41" s="1358" t="s">
        <v>70</v>
      </c>
      <c r="U41" s="1359">
        <f t="shared" si="13"/>
        <v>101.5</v>
      </c>
      <c r="V41" s="1358" t="s">
        <v>70</v>
      </c>
      <c r="W41" s="1359">
        <f t="shared" si="14"/>
        <v>100</v>
      </c>
      <c r="X41" s="2248"/>
      <c r="Y41" s="3641"/>
      <c r="Z41" s="2247" t="str">
        <f t="shared" si="15"/>
        <v>层高</v>
      </c>
      <c r="AA41" s="1361">
        <f t="shared" si="3"/>
        <v>1</v>
      </c>
      <c r="AB41" s="1361">
        <f t="shared" si="4"/>
        <v>0.98522167487684731</v>
      </c>
      <c r="AC41" s="2364">
        <f t="shared" si="5"/>
        <v>1</v>
      </c>
    </row>
    <row r="42" spans="1:29" s="1045" customFormat="1" ht="14.25">
      <c r="A42" s="1049"/>
      <c r="B42" s="191" t="s">
        <v>1389</v>
      </c>
      <c r="C42" s="783" t="s">
        <v>297</v>
      </c>
      <c r="D42" s="784">
        <v>100</v>
      </c>
      <c r="E42" s="783" t="s">
        <v>294</v>
      </c>
      <c r="F42" s="810">
        <f>SUMIF(121:121,E42,122:122)-SUMIF(121:121,C42,122:122)+100</f>
        <v>105</v>
      </c>
      <c r="G42" s="783" t="s">
        <v>295</v>
      </c>
      <c r="H42" s="784">
        <f>SUMIF(121:121,G42,122:122)-SUMIF(121:121,C42,122:122)+100</f>
        <v>103</v>
      </c>
      <c r="I42" s="783" t="s">
        <v>296</v>
      </c>
      <c r="J42" s="784">
        <f>SUMIF(121:121,I42,122:122)-SUMIF(121:121,C42,122:122)+100</f>
        <v>98</v>
      </c>
      <c r="K42" s="188"/>
      <c r="L42" s="2327"/>
      <c r="M42" s="2329"/>
      <c r="N42" s="2329"/>
      <c r="O42" s="2329"/>
      <c r="P42" s="3639"/>
      <c r="Q42" s="1365" t="str">
        <f t="shared" si="11"/>
        <v>单套建筑面积</v>
      </c>
      <c r="R42" s="1366" t="s">
        <v>70</v>
      </c>
      <c r="S42" s="1367">
        <f t="shared" si="12"/>
        <v>105</v>
      </c>
      <c r="T42" s="1366" t="s">
        <v>70</v>
      </c>
      <c r="U42" s="1367">
        <f t="shared" si="13"/>
        <v>103</v>
      </c>
      <c r="V42" s="1366" t="s">
        <v>70</v>
      </c>
      <c r="W42" s="1367">
        <f t="shared" si="14"/>
        <v>98</v>
      </c>
      <c r="X42" s="1368"/>
      <c r="Y42" s="3641"/>
      <c r="Z42" s="1369" t="str">
        <f t="shared" si="15"/>
        <v>单套建筑面积</v>
      </c>
      <c r="AA42" s="1361">
        <f t="shared" si="3"/>
        <v>0.95238095238095233</v>
      </c>
      <c r="AB42" s="1361">
        <f t="shared" si="4"/>
        <v>0.970873786407767</v>
      </c>
      <c r="AC42" s="2364">
        <f t="shared" si="5"/>
        <v>1.0204081632653061</v>
      </c>
    </row>
    <row r="43" spans="1:29" ht="15">
      <c r="A43" s="161"/>
      <c r="B43" s="12" t="s">
        <v>1390</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28"/>
      <c r="M43" s="2323"/>
      <c r="N43" s="2323"/>
      <c r="O43" s="2323"/>
      <c r="P43" s="3639"/>
      <c r="Q43" s="2246" t="str">
        <f t="shared" si="11"/>
        <v>内部装修</v>
      </c>
      <c r="R43" s="1358" t="s">
        <v>70</v>
      </c>
      <c r="S43" s="1359">
        <f t="shared" si="12"/>
        <v>97</v>
      </c>
      <c r="T43" s="1358" t="s">
        <v>70</v>
      </c>
      <c r="U43" s="1359">
        <f t="shared" si="13"/>
        <v>94</v>
      </c>
      <c r="V43" s="1358" t="s">
        <v>70</v>
      </c>
      <c r="W43" s="1359">
        <f t="shared" si="14"/>
        <v>91</v>
      </c>
      <c r="X43" s="2248"/>
      <c r="Y43" s="3641"/>
      <c r="Z43" s="2247" t="str">
        <f t="shared" si="15"/>
        <v>内部装修</v>
      </c>
      <c r="AA43" s="1361">
        <f t="shared" si="3"/>
        <v>1.0309278350515463</v>
      </c>
      <c r="AB43" s="1361">
        <f t="shared" si="4"/>
        <v>1.0638297872340425</v>
      </c>
      <c r="AC43" s="2364">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0">
        <v>2</v>
      </c>
      <c r="L44" s="2328"/>
      <c r="M44" s="2323"/>
      <c r="N44" s="2323"/>
      <c r="O44" s="2323"/>
      <c r="P44" s="3639"/>
      <c r="Q44" s="2246" t="str">
        <f t="shared" si="11"/>
        <v>内部装修维护情况</v>
      </c>
      <c r="R44" s="1358" t="s">
        <v>70</v>
      </c>
      <c r="S44" s="1359">
        <f t="shared" si="12"/>
        <v>98</v>
      </c>
      <c r="T44" s="1358" t="s">
        <v>70</v>
      </c>
      <c r="U44" s="1359">
        <f t="shared" si="13"/>
        <v>102</v>
      </c>
      <c r="V44" s="1358" t="s">
        <v>70</v>
      </c>
      <c r="W44" s="1359">
        <f t="shared" si="14"/>
        <v>94</v>
      </c>
      <c r="X44" s="2248"/>
      <c r="Y44" s="3641"/>
      <c r="Z44" s="2247" t="str">
        <f t="shared" si="15"/>
        <v>内部装修维护情况</v>
      </c>
      <c r="AA44" s="1361">
        <f t="shared" si="3"/>
        <v>1.0204081632653061</v>
      </c>
      <c r="AB44" s="1361">
        <f t="shared" si="4"/>
        <v>0.98039215686274506</v>
      </c>
      <c r="AC44" s="2364">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4"/>
      <c r="M45" s="2286"/>
      <c r="N45" s="2286"/>
      <c r="O45" s="2286"/>
      <c r="P45" s="3639"/>
      <c r="Q45" s="2236">
        <f t="shared" si="11"/>
        <v>111</v>
      </c>
      <c r="R45" s="1348" t="s">
        <v>70</v>
      </c>
      <c r="S45" s="1349">
        <f t="shared" si="12"/>
        <v>100</v>
      </c>
      <c r="T45" s="1348" t="s">
        <v>70</v>
      </c>
      <c r="U45" s="1349">
        <f t="shared" si="13"/>
        <v>100</v>
      </c>
      <c r="V45" s="1348" t="s">
        <v>70</v>
      </c>
      <c r="W45" s="1349">
        <f t="shared" si="14"/>
        <v>100</v>
      </c>
      <c r="X45" s="293"/>
      <c r="Y45" s="3641"/>
      <c r="Z45" s="2235">
        <f t="shared" si="15"/>
        <v>111</v>
      </c>
      <c r="AA45" s="1350">
        <f t="shared" si="3"/>
        <v>1</v>
      </c>
      <c r="AB45" s="1350">
        <f t="shared" si="4"/>
        <v>1</v>
      </c>
      <c r="AC45" s="2363">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28"/>
      <c r="M46" s="2323"/>
      <c r="N46" s="2323"/>
      <c r="O46" s="2323"/>
      <c r="P46" s="3639"/>
      <c r="Q46" s="2246">
        <f t="shared" si="11"/>
        <v>111</v>
      </c>
      <c r="R46" s="1358" t="s">
        <v>70</v>
      </c>
      <c r="S46" s="1359">
        <f t="shared" si="12"/>
        <v>100</v>
      </c>
      <c r="T46" s="1358" t="s">
        <v>70</v>
      </c>
      <c r="U46" s="1359">
        <f t="shared" si="13"/>
        <v>100</v>
      </c>
      <c r="V46" s="1358" t="s">
        <v>70</v>
      </c>
      <c r="W46" s="1359">
        <f t="shared" si="14"/>
        <v>100</v>
      </c>
      <c r="X46" s="2248"/>
      <c r="Y46" s="3641"/>
      <c r="Z46" s="2247">
        <f t="shared" si="15"/>
        <v>111</v>
      </c>
      <c r="AA46" s="1361">
        <f t="shared" si="3"/>
        <v>1</v>
      </c>
      <c r="AB46" s="1361">
        <f t="shared" si="4"/>
        <v>1</v>
      </c>
      <c r="AC46" s="2364">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28"/>
      <c r="M47" s="2323"/>
      <c r="N47" s="2323"/>
      <c r="O47" s="2323"/>
      <c r="P47" s="3640"/>
      <c r="Q47" s="2246">
        <f t="shared" si="11"/>
        <v>111</v>
      </c>
      <c r="R47" s="1358" t="s">
        <v>70</v>
      </c>
      <c r="S47" s="1359">
        <f t="shared" si="12"/>
        <v>100</v>
      </c>
      <c r="T47" s="1358" t="s">
        <v>70</v>
      </c>
      <c r="U47" s="1359">
        <f t="shared" si="13"/>
        <v>100</v>
      </c>
      <c r="V47" s="1358" t="s">
        <v>70</v>
      </c>
      <c r="W47" s="1359">
        <f t="shared" si="14"/>
        <v>100</v>
      </c>
      <c r="X47" s="2248"/>
      <c r="Y47" s="3642"/>
      <c r="Z47" s="2247">
        <f t="shared" si="15"/>
        <v>111</v>
      </c>
      <c r="AA47" s="1361">
        <f t="shared" si="3"/>
        <v>1</v>
      </c>
      <c r="AB47" s="1361">
        <f t="shared" si="4"/>
        <v>1</v>
      </c>
      <c r="AC47" s="2364">
        <f t="shared" si="5"/>
        <v>1</v>
      </c>
    </row>
    <row r="48" spans="1:29" ht="15">
      <c r="A48" s="163" t="s">
        <v>1287</v>
      </c>
      <c r="B48" s="164"/>
      <c r="C48" s="2872" t="s">
        <v>23</v>
      </c>
      <c r="D48" s="2873"/>
      <c r="E48" s="2874">
        <v>30000</v>
      </c>
      <c r="F48" s="2875"/>
      <c r="G48" s="2876">
        <v>35000</v>
      </c>
      <c r="H48" s="2877"/>
      <c r="I48" s="2874">
        <v>32000</v>
      </c>
      <c r="J48" s="833"/>
      <c r="K48" s="1399"/>
      <c r="L48" s="2330"/>
      <c r="M48" s="2323"/>
      <c r="N48" s="2323"/>
      <c r="O48" s="2323"/>
      <c r="P48" s="3645" t="str">
        <f>A48</f>
        <v>成交单价（元/平方米）</v>
      </c>
      <c r="Q48" s="3634"/>
      <c r="R48" s="3635">
        <f>E48</f>
        <v>30000</v>
      </c>
      <c r="S48" s="3635"/>
      <c r="T48" s="3635">
        <f>G48</f>
        <v>35000</v>
      </c>
      <c r="U48" s="3635"/>
      <c r="V48" s="3635">
        <f>I48</f>
        <v>32000</v>
      </c>
      <c r="W48" s="3635"/>
      <c r="X48" s="156"/>
      <c r="Y48" s="1372"/>
      <c r="Z48" s="156"/>
      <c r="AA48" s="156"/>
      <c r="AB48" s="156"/>
      <c r="AC48" s="209"/>
    </row>
    <row r="49" spans="1:29" ht="15.75" thickBot="1">
      <c r="A49" s="165" t="s">
        <v>1288</v>
      </c>
      <c r="B49" s="166"/>
      <c r="C49" s="2878" t="e">
        <f>R50</f>
        <v>#DIV/0!</v>
      </c>
      <c r="D49" s="2879"/>
      <c r="E49" s="2880" t="e">
        <f>R49</f>
        <v>#DIV/0!</v>
      </c>
      <c r="F49" s="2880"/>
      <c r="G49" s="2878" t="e">
        <f>T49</f>
        <v>#DIV/0!</v>
      </c>
      <c r="H49" s="2879"/>
      <c r="I49" s="2880" t="e">
        <f>V49</f>
        <v>#DIV/0!</v>
      </c>
      <c r="J49" s="837"/>
      <c r="K49" s="1400"/>
      <c r="L49" s="2330"/>
      <c r="M49" s="2323"/>
      <c r="N49" s="2323"/>
      <c r="O49" s="2323"/>
      <c r="P49" s="3645" t="str">
        <f>A49</f>
        <v>比较价值（元/平方米）</v>
      </c>
      <c r="Q49" s="3634"/>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156"/>
      <c r="Y49" s="156"/>
      <c r="Z49" s="156"/>
      <c r="AA49" s="156"/>
      <c r="AB49" s="156"/>
      <c r="AC49" s="209"/>
    </row>
    <row r="50" spans="1:29" ht="15.75" thickBot="1">
      <c r="A50" s="115" t="s">
        <v>1289</v>
      </c>
      <c r="B50" s="116"/>
      <c r="C50" s="2882" t="e">
        <f>R50</f>
        <v>#DIV/0!</v>
      </c>
      <c r="D50" s="2882"/>
      <c r="E50" s="2882"/>
      <c r="F50" s="2882"/>
      <c r="G50" s="2882"/>
      <c r="H50" s="2882"/>
      <c r="I50" s="2882"/>
      <c r="J50" s="842"/>
      <c r="K50" s="1401"/>
      <c r="L50" s="2330"/>
      <c r="M50" s="2323"/>
      <c r="N50" s="2323"/>
      <c r="O50" s="2323"/>
      <c r="P50" s="3671" t="str">
        <f>A50</f>
        <v>估价对象XX用房的比较价值（楼面单价，元/平方米）</v>
      </c>
      <c r="Q50" s="3672"/>
      <c r="R50" s="3673" t="e">
        <f>IF(F1="售价",ROUND(AVERAGE(R49:V49),0),ROUND(AVERAGE(R49:V49),1))</f>
        <v>#DIV/0!</v>
      </c>
      <c r="S50" s="3673"/>
      <c r="T50" s="3673"/>
      <c r="U50" s="3673"/>
      <c r="V50" s="3673"/>
      <c r="W50" s="3673"/>
      <c r="X50" s="2200"/>
      <c r="Y50" s="2200"/>
      <c r="Z50" s="2200"/>
      <c r="AA50" s="2200"/>
      <c r="AB50" s="2200"/>
      <c r="AC50" s="2201"/>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5" t="s">
        <v>1251</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2"/>
      <c r="L53" s="2333"/>
      <c r="M53" s="2331"/>
      <c r="N53" s="2331"/>
      <c r="O53" s="2331"/>
    </row>
    <row r="54" spans="1:29" ht="13.5" customHeight="1">
      <c r="A54" s="2331"/>
      <c r="B54" s="2331"/>
      <c r="C54" s="845" t="s">
        <v>1252</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2"/>
      <c r="L54" s="2333"/>
      <c r="M54" s="2331"/>
      <c r="N54" s="2331"/>
      <c r="O54" s="2331"/>
    </row>
    <row r="55" spans="1:29" s="119" customFormat="1" ht="13.5" customHeight="1">
      <c r="A55" s="2336"/>
      <c r="B55" s="2336"/>
      <c r="C55" s="845" t="s">
        <v>1253</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8" t="s">
        <v>1290</v>
      </c>
      <c r="B58" s="1371"/>
      <c r="C58" s="1379"/>
      <c r="D58" s="1379"/>
      <c r="E58" s="1379"/>
      <c r="F58" s="1380"/>
      <c r="G58" s="1380"/>
      <c r="H58" s="1379"/>
      <c r="I58" s="1379"/>
      <c r="J58" s="1379"/>
      <c r="K58" s="1381"/>
      <c r="L58" s="2338"/>
      <c r="M58" s="2339"/>
      <c r="N58" s="2339"/>
      <c r="O58" s="2339"/>
      <c r="P58" s="2353"/>
      <c r="Q58" s="121"/>
    </row>
    <row r="59" spans="1:29" s="856" customFormat="1" ht="15">
      <c r="A59" s="853" t="s">
        <v>3203</v>
      </c>
      <c r="B59" s="854"/>
      <c r="C59" s="3082" t="str">
        <f>YEAR(C7)&amp;"-"&amp;MONTH(C7)</f>
        <v>2017-7</v>
      </c>
      <c r="D59" s="3083">
        <f>EDATE(C59,-1)</f>
        <v>42887</v>
      </c>
      <c r="E59" s="3083">
        <f>EDATE(D59,-1)</f>
        <v>42856</v>
      </c>
      <c r="F59" s="3083">
        <f t="shared" ref="F59:O59" si="16">EDATE(E59,-1)</f>
        <v>42826</v>
      </c>
      <c r="G59" s="3083">
        <f t="shared" si="16"/>
        <v>42795</v>
      </c>
      <c r="H59" s="3083">
        <f t="shared" si="16"/>
        <v>42767</v>
      </c>
      <c r="I59" s="3083">
        <f t="shared" si="16"/>
        <v>42736</v>
      </c>
      <c r="J59" s="3083">
        <f t="shared" si="16"/>
        <v>42705</v>
      </c>
      <c r="K59" s="3083">
        <f t="shared" si="16"/>
        <v>42675</v>
      </c>
      <c r="L59" s="3083">
        <f t="shared" si="16"/>
        <v>42644</v>
      </c>
      <c r="M59" s="3083">
        <f t="shared" si="16"/>
        <v>42614</v>
      </c>
      <c r="N59" s="3083">
        <f t="shared" si="16"/>
        <v>42583</v>
      </c>
      <c r="O59" s="3083">
        <f t="shared" si="16"/>
        <v>42552</v>
      </c>
      <c r="P59" s="3077"/>
    </row>
    <row r="60" spans="1:29" s="40" customFormat="1" ht="14.25">
      <c r="A60" s="1051"/>
      <c r="B60" s="1052"/>
      <c r="C60" s="3080">
        <v>100</v>
      </c>
      <c r="D60" s="860">
        <v>99.5</v>
      </c>
      <c r="E60" s="860">
        <v>99</v>
      </c>
      <c r="F60" s="860">
        <v>98.5</v>
      </c>
      <c r="G60" s="860">
        <v>98</v>
      </c>
      <c r="H60" s="860">
        <v>97.5</v>
      </c>
      <c r="I60" s="860">
        <v>97</v>
      </c>
      <c r="J60" s="860">
        <v>96.5</v>
      </c>
      <c r="K60" s="860">
        <v>96</v>
      </c>
      <c r="L60" s="860">
        <v>95.5</v>
      </c>
      <c r="M60" s="861">
        <v>95</v>
      </c>
      <c r="N60" s="860">
        <v>94.5</v>
      </c>
      <c r="O60" s="861">
        <v>94</v>
      </c>
      <c r="P60" s="2354"/>
    </row>
    <row r="61" spans="1:29" s="40" customFormat="1" ht="15" thickBot="1">
      <c r="A61" s="1053" t="s">
        <v>1291</v>
      </c>
      <c r="B61" s="1054"/>
      <c r="C61" s="865"/>
      <c r="D61" s="866"/>
      <c r="E61" s="866"/>
      <c r="F61" s="866"/>
      <c r="G61" s="866"/>
      <c r="H61" s="866"/>
      <c r="I61" s="866"/>
      <c r="J61" s="866"/>
      <c r="K61" s="866"/>
      <c r="L61" s="866"/>
      <c r="M61" s="867"/>
      <c r="N61" s="866"/>
      <c r="O61" s="867"/>
      <c r="P61" s="2354"/>
      <c r="Q61" s="121"/>
    </row>
    <row r="62" spans="1:29" s="40" customFormat="1">
      <c r="A62" s="1055" t="s">
        <v>1292</v>
      </c>
      <c r="B62" s="1052"/>
      <c r="C62" s="1056" t="s">
        <v>1293</v>
      </c>
      <c r="D62" s="140" t="s">
        <v>1294</v>
      </c>
      <c r="E62" s="140"/>
      <c r="F62" s="140"/>
      <c r="G62" s="140"/>
      <c r="H62" s="140"/>
      <c r="I62" s="140"/>
      <c r="J62" s="140"/>
      <c r="K62" s="140"/>
      <c r="L62" s="141"/>
      <c r="M62" s="1057"/>
      <c r="N62" s="1394"/>
      <c r="O62" s="1394"/>
      <c r="P62" s="2355"/>
      <c r="Q62" s="121"/>
    </row>
    <row r="63" spans="1:29" s="40" customFormat="1" ht="15" thickBot="1">
      <c r="A63" s="1055"/>
      <c r="B63" s="1052"/>
      <c r="C63" s="859">
        <v>100</v>
      </c>
      <c r="D63" s="860">
        <v>99</v>
      </c>
      <c r="E63" s="860"/>
      <c r="F63" s="860"/>
      <c r="G63" s="860"/>
      <c r="H63" s="860"/>
      <c r="I63" s="860"/>
      <c r="J63" s="860"/>
      <c r="K63" s="860"/>
      <c r="L63" s="860"/>
      <c r="M63" s="862"/>
      <c r="N63" s="1394"/>
      <c r="O63" s="1394"/>
      <c r="P63" s="2354"/>
      <c r="Q63" s="121"/>
    </row>
    <row r="64" spans="1:29">
      <c r="A64" s="172" t="s">
        <v>1295</v>
      </c>
      <c r="B64" s="292" t="s">
        <v>1296</v>
      </c>
      <c r="C64" s="176" t="str">
        <f>C9</f>
        <v>办公</v>
      </c>
      <c r="D64" s="122" t="s">
        <v>1391</v>
      </c>
      <c r="E64" s="122"/>
      <c r="F64" s="122"/>
      <c r="G64" s="122"/>
      <c r="H64" s="122"/>
      <c r="I64" s="122"/>
      <c r="J64" s="122"/>
      <c r="K64" s="123"/>
      <c r="L64" s="124"/>
      <c r="M64" s="125"/>
      <c r="N64" s="1395"/>
      <c r="O64" s="1395"/>
      <c r="P64" s="2356"/>
      <c r="Q64" s="121"/>
    </row>
    <row r="65" spans="1:17" ht="15" thickBot="1">
      <c r="A65" s="173"/>
      <c r="B65" s="1059"/>
      <c r="C65" s="884">
        <v>100</v>
      </c>
      <c r="D65" s="884">
        <v>95</v>
      </c>
      <c r="E65" s="884"/>
      <c r="F65" s="884"/>
      <c r="G65" s="884"/>
      <c r="H65" s="884"/>
      <c r="I65" s="884"/>
      <c r="J65" s="884"/>
      <c r="K65" s="884"/>
      <c r="L65" s="884"/>
      <c r="M65" s="885"/>
      <c r="N65" s="1396"/>
      <c r="O65" s="1396"/>
      <c r="P65" s="2356"/>
      <c r="Q65" s="121"/>
    </row>
    <row r="66" spans="1:17" ht="27.75" thickTop="1">
      <c r="A66" s="173"/>
      <c r="B66" s="1060" t="s">
        <v>1298</v>
      </c>
      <c r="C66" s="887" t="s">
        <v>1254</v>
      </c>
      <c r="D66" s="887" t="s">
        <v>1255</v>
      </c>
      <c r="E66" s="887" t="s">
        <v>1256</v>
      </c>
      <c r="F66" s="887" t="s">
        <v>1257</v>
      </c>
      <c r="G66" s="887" t="s">
        <v>1258</v>
      </c>
      <c r="H66" s="887" t="s">
        <v>1259</v>
      </c>
      <c r="I66" s="887" t="s">
        <v>1260</v>
      </c>
      <c r="J66" s="887"/>
      <c r="K66" s="888"/>
      <c r="L66" s="889"/>
      <c r="M66" s="890"/>
      <c r="N66" s="1395"/>
      <c r="O66" s="1395"/>
      <c r="P66" s="2356"/>
      <c r="Q66" s="121"/>
    </row>
    <row r="67" spans="1:17" ht="15" thickBot="1">
      <c r="A67" s="173"/>
      <c r="B67" s="1061"/>
      <c r="C67" s="892" t="s">
        <v>207</v>
      </c>
      <c r="D67" s="892" t="s">
        <v>208</v>
      </c>
      <c r="E67" s="892">
        <v>100</v>
      </c>
      <c r="F67" s="892">
        <f>E67-$K10</f>
        <v>99</v>
      </c>
      <c r="G67" s="892">
        <f>F67-$K10</f>
        <v>98</v>
      </c>
      <c r="H67" s="892">
        <f>G67-$K10</f>
        <v>97</v>
      </c>
      <c r="I67" s="892">
        <f>H67-$K10</f>
        <v>96</v>
      </c>
      <c r="J67" s="892"/>
      <c r="K67" s="892"/>
      <c r="L67" s="892"/>
      <c r="M67" s="893"/>
      <c r="N67" s="1396"/>
      <c r="O67" s="1396"/>
      <c r="P67" s="2356"/>
      <c r="Q67" s="121"/>
    </row>
    <row r="68" spans="1:17" ht="15" thickTop="1">
      <c r="A68" s="173"/>
      <c r="B68" s="1062" t="s">
        <v>1299</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6"/>
      <c r="Q68" s="121"/>
    </row>
    <row r="69" spans="1:17" ht="14.25">
      <c r="A69" s="173"/>
      <c r="B69" s="1063"/>
      <c r="C69" s="897">
        <v>0</v>
      </c>
      <c r="D69" s="897">
        <v>1</v>
      </c>
      <c r="E69" s="897">
        <v>2</v>
      </c>
      <c r="F69" s="897">
        <v>3</v>
      </c>
      <c r="G69" s="897">
        <v>4</v>
      </c>
      <c r="H69" s="897"/>
      <c r="I69" s="897"/>
      <c r="J69" s="897"/>
      <c r="K69" s="898"/>
      <c r="L69" s="899"/>
      <c r="M69" s="900"/>
      <c r="N69" s="1395"/>
      <c r="O69" s="1395"/>
      <c r="P69" s="2356"/>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6"/>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57"/>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57"/>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58"/>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57"/>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59"/>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57"/>
      <c r="Q76" s="1069"/>
    </row>
    <row r="77" spans="1:17" ht="14.25">
      <c r="A77" s="172" t="s">
        <v>1300</v>
      </c>
      <c r="B77" s="292" t="s">
        <v>1392</v>
      </c>
      <c r="C77" s="921" t="s">
        <v>1261</v>
      </c>
      <c r="D77" s="921" t="s">
        <v>1262</v>
      </c>
      <c r="E77" s="921" t="s">
        <v>1263</v>
      </c>
      <c r="F77" s="921" t="s">
        <v>1264</v>
      </c>
      <c r="G77" s="921" t="s">
        <v>1265</v>
      </c>
      <c r="H77" s="877"/>
      <c r="I77" s="877"/>
      <c r="J77" s="877"/>
      <c r="K77" s="922"/>
      <c r="L77" s="923"/>
      <c r="M77" s="924"/>
      <c r="N77" s="1395"/>
      <c r="O77" s="1395"/>
      <c r="P77" s="2360"/>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6"/>
      <c r="Q78" s="121"/>
    </row>
    <row r="79" spans="1:17" ht="15" thickTop="1">
      <c r="A79" s="173"/>
      <c r="B79" s="1060" t="s">
        <v>1307</v>
      </c>
      <c r="C79" s="926" t="s">
        <v>1261</v>
      </c>
      <c r="D79" s="926" t="s">
        <v>1262</v>
      </c>
      <c r="E79" s="926" t="s">
        <v>1263</v>
      </c>
      <c r="F79" s="926" t="s">
        <v>1426</v>
      </c>
      <c r="G79" s="926" t="s">
        <v>1265</v>
      </c>
      <c r="H79" s="887"/>
      <c r="I79" s="887"/>
      <c r="J79" s="887"/>
      <c r="K79" s="888"/>
      <c r="L79" s="889"/>
      <c r="M79" s="890"/>
      <c r="N79" s="1395"/>
      <c r="O79" s="1395"/>
      <c r="P79" s="2356"/>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6"/>
      <c r="Q80" s="121"/>
    </row>
    <row r="81" spans="1:17" ht="15" thickTop="1">
      <c r="A81" s="173"/>
      <c r="B81" s="1060" t="s">
        <v>31</v>
      </c>
      <c r="C81" s="926" t="s">
        <v>1261</v>
      </c>
      <c r="D81" s="926" t="s">
        <v>1262</v>
      </c>
      <c r="E81" s="926" t="s">
        <v>1263</v>
      </c>
      <c r="F81" s="926" t="s">
        <v>1264</v>
      </c>
      <c r="G81" s="926" t="s">
        <v>1265</v>
      </c>
      <c r="H81" s="887"/>
      <c r="I81" s="887"/>
      <c r="J81" s="887"/>
      <c r="K81" s="888"/>
      <c r="L81" s="889"/>
      <c r="M81" s="890"/>
      <c r="N81" s="1395"/>
      <c r="O81" s="1395"/>
      <c r="P81" s="2356"/>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6"/>
      <c r="Q82" s="121"/>
    </row>
    <row r="83" spans="1:17" ht="15" thickTop="1">
      <c r="A83" s="173"/>
      <c r="B83" s="1062" t="s">
        <v>3069</v>
      </c>
      <c r="C83" s="213" t="s">
        <v>3062</v>
      </c>
      <c r="D83" s="213" t="s">
        <v>3063</v>
      </c>
      <c r="E83" s="213" t="s">
        <v>3064</v>
      </c>
      <c r="F83" s="213" t="s">
        <v>3065</v>
      </c>
      <c r="G83" s="213" t="s">
        <v>3066</v>
      </c>
      <c r="H83" s="887"/>
      <c r="I83" s="887"/>
      <c r="J83" s="887"/>
      <c r="K83" s="887"/>
      <c r="L83" s="887"/>
      <c r="M83" s="2801"/>
      <c r="N83" s="1396"/>
      <c r="O83" s="1396"/>
      <c r="P83" s="2356"/>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6"/>
      <c r="Q84" s="121"/>
    </row>
    <row r="85" spans="1:17" ht="15" thickTop="1">
      <c r="A85" s="173"/>
      <c r="B85" s="1060" t="s">
        <v>1393</v>
      </c>
      <c r="C85" s="926" t="s">
        <v>1261</v>
      </c>
      <c r="D85" s="926" t="s">
        <v>1262</v>
      </c>
      <c r="E85" s="926" t="s">
        <v>1263</v>
      </c>
      <c r="F85" s="926" t="s">
        <v>1264</v>
      </c>
      <c r="G85" s="926" t="s">
        <v>1265</v>
      </c>
      <c r="H85" s="887"/>
      <c r="I85" s="887"/>
      <c r="J85" s="887"/>
      <c r="K85" s="888"/>
      <c r="L85" s="889"/>
      <c r="M85" s="890"/>
      <c r="N85" s="1395"/>
      <c r="O85" s="1395"/>
      <c r="P85" s="2356"/>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6"/>
      <c r="Q86" s="121"/>
    </row>
    <row r="87" spans="1:17" s="40" customFormat="1" ht="27.75" thickTop="1">
      <c r="A87" s="1078"/>
      <c r="B87" s="1060" t="s">
        <v>1394</v>
      </c>
      <c r="C87" s="139" t="s">
        <v>1395</v>
      </c>
      <c r="D87" s="139" t="s">
        <v>1396</v>
      </c>
      <c r="E87" s="139" t="s">
        <v>1397</v>
      </c>
      <c r="F87" s="139" t="s">
        <v>1398</v>
      </c>
      <c r="G87" s="139" t="s">
        <v>1399</v>
      </c>
      <c r="H87" s="139"/>
      <c r="I87" s="139"/>
      <c r="J87" s="139"/>
      <c r="K87" s="139"/>
      <c r="L87" s="1390"/>
      <c r="M87" s="1391"/>
      <c r="N87" s="1394"/>
      <c r="O87" s="1394"/>
      <c r="P87" s="2356"/>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6"/>
      <c r="Q88" s="121"/>
    </row>
    <row r="89" spans="1:17" s="40" customFormat="1" ht="14.25" thickTop="1">
      <c r="A89" s="1078"/>
      <c r="B89" s="1060" t="str">
        <f>B27</f>
        <v>楼层</v>
      </c>
      <c r="C89" s="139" t="s">
        <v>1400</v>
      </c>
      <c r="D89" s="139" t="s">
        <v>1401</v>
      </c>
      <c r="E89" s="139" t="s">
        <v>1402</v>
      </c>
      <c r="F89" s="1392"/>
      <c r="G89" s="139"/>
      <c r="H89" s="139"/>
      <c r="I89" s="139"/>
      <c r="J89" s="139"/>
      <c r="K89" s="139"/>
      <c r="L89" s="139"/>
      <c r="M89" s="1391"/>
      <c r="N89" s="1394"/>
      <c r="O89" s="1394"/>
      <c r="P89" s="2356"/>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6"/>
      <c r="Q90" s="121"/>
    </row>
    <row r="91" spans="1:17" s="1045" customFormat="1" ht="14.25" thickTop="1">
      <c r="A91" s="1064"/>
      <c r="B91" s="1060" t="str">
        <f>B28</f>
        <v>朝向</v>
      </c>
      <c r="C91" s="139" t="s">
        <v>1403</v>
      </c>
      <c r="D91" s="139" t="s">
        <v>1404</v>
      </c>
      <c r="E91" s="139" t="s">
        <v>1405</v>
      </c>
      <c r="F91" s="139" t="s">
        <v>1406</v>
      </c>
      <c r="G91" s="139"/>
      <c r="H91" s="1065"/>
      <c r="I91" s="1065"/>
      <c r="J91" s="1065"/>
      <c r="K91" s="1065"/>
      <c r="L91" s="1066"/>
      <c r="M91" s="1067"/>
      <c r="N91" s="1397"/>
      <c r="O91" s="1397"/>
      <c r="P91" s="2357"/>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57"/>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6"/>
      <c r="Q93" s="121"/>
    </row>
    <row r="94" spans="1:17" ht="15" thickBot="1">
      <c r="A94" s="173"/>
      <c r="B94" s="1061"/>
      <c r="C94" s="908">
        <v>100</v>
      </c>
      <c r="D94" s="884">
        <v>101</v>
      </c>
      <c r="E94" s="884">
        <v>102</v>
      </c>
      <c r="F94" s="884">
        <v>103</v>
      </c>
      <c r="G94" s="884"/>
      <c r="H94" s="884"/>
      <c r="I94" s="884"/>
      <c r="J94" s="884"/>
      <c r="K94" s="884"/>
      <c r="L94" s="884"/>
      <c r="M94" s="885"/>
      <c r="N94" s="1396"/>
      <c r="O94" s="1396"/>
      <c r="P94" s="2356"/>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6"/>
      <c r="Q95" s="121"/>
    </row>
    <row r="96" spans="1:17" ht="15" thickBot="1">
      <c r="A96" s="173"/>
      <c r="B96" s="1061"/>
      <c r="C96" s="908">
        <v>100</v>
      </c>
      <c r="D96" s="908">
        <v>101</v>
      </c>
      <c r="E96" s="908">
        <v>102</v>
      </c>
      <c r="F96" s="908">
        <v>103</v>
      </c>
      <c r="G96" s="884"/>
      <c r="H96" s="884"/>
      <c r="I96" s="884"/>
      <c r="J96" s="884"/>
      <c r="K96" s="884"/>
      <c r="L96" s="884"/>
      <c r="M96" s="885"/>
      <c r="N96" s="1396"/>
      <c r="O96" s="1396"/>
      <c r="P96" s="2356"/>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6"/>
      <c r="Q97" s="121"/>
    </row>
    <row r="98" spans="1:17" ht="15" thickBot="1">
      <c r="A98" s="173"/>
      <c r="B98" s="1061"/>
      <c r="C98" s="908">
        <v>100</v>
      </c>
      <c r="D98" s="884">
        <v>101</v>
      </c>
      <c r="E98" s="884">
        <v>102</v>
      </c>
      <c r="F98" s="884">
        <v>103</v>
      </c>
      <c r="G98" s="884"/>
      <c r="H98" s="884"/>
      <c r="I98" s="884"/>
      <c r="J98" s="884"/>
      <c r="K98" s="884"/>
      <c r="L98" s="884"/>
      <c r="M98" s="885"/>
      <c r="N98" s="1396"/>
      <c r="O98" s="1396"/>
      <c r="P98" s="2356"/>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6"/>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6"/>
      <c r="Q100" s="121"/>
    </row>
    <row r="101" spans="1:17">
      <c r="A101" s="172" t="s">
        <v>1328</v>
      </c>
      <c r="B101" s="292" t="s">
        <v>1407</v>
      </c>
      <c r="C101" s="122" t="s">
        <v>1408</v>
      </c>
      <c r="D101" s="122" t="s">
        <v>1409</v>
      </c>
      <c r="E101" s="122" t="s">
        <v>1410</v>
      </c>
      <c r="F101" s="122" t="s">
        <v>1411</v>
      </c>
      <c r="G101" s="122" t="s">
        <v>1412</v>
      </c>
      <c r="H101" s="122" t="s">
        <v>1413</v>
      </c>
      <c r="I101" s="122"/>
      <c r="J101" s="122"/>
      <c r="K101" s="123"/>
      <c r="L101" s="124"/>
      <c r="M101" s="125"/>
      <c r="N101" s="1395"/>
      <c r="O101" s="1395"/>
      <c r="P101" s="2356"/>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6"/>
      <c r="Q102" s="121"/>
    </row>
    <row r="103" spans="1:17" ht="29.25" thickTop="1">
      <c r="A103" s="173"/>
      <c r="B103" s="1060" t="s">
        <v>1333</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6"/>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57"/>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57"/>
      <c r="Q105" s="1069"/>
    </row>
    <row r="106" spans="1:17" ht="14.25" thickTop="1">
      <c r="A106" s="175"/>
      <c r="B106" s="1060" t="s">
        <v>1334</v>
      </c>
      <c r="C106" s="139" t="s">
        <v>1335</v>
      </c>
      <c r="D106" s="139" t="s">
        <v>1336</v>
      </c>
      <c r="E106" s="131" t="s">
        <v>1337</v>
      </c>
      <c r="F106" s="131"/>
      <c r="G106" s="131"/>
      <c r="H106" s="131"/>
      <c r="I106" s="131"/>
      <c r="J106" s="131"/>
      <c r="K106" s="132"/>
      <c r="L106" s="133"/>
      <c r="M106" s="134"/>
      <c r="N106" s="1395"/>
      <c r="O106" s="1395"/>
      <c r="P106" s="2356"/>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6"/>
      <c r="Q107" s="121"/>
    </row>
    <row r="108" spans="1:17" ht="14.25" thickTop="1">
      <c r="A108" s="175"/>
      <c r="B108" s="1060" t="s">
        <v>1338</v>
      </c>
      <c r="C108" s="139" t="s">
        <v>1339</v>
      </c>
      <c r="D108" s="139" t="s">
        <v>1340</v>
      </c>
      <c r="E108" s="139" t="s">
        <v>1341</v>
      </c>
      <c r="F108" s="131" t="s">
        <v>1342</v>
      </c>
      <c r="G108" s="131"/>
      <c r="H108" s="131"/>
      <c r="I108" s="131"/>
      <c r="J108" s="131"/>
      <c r="K108" s="132"/>
      <c r="L108" s="133"/>
      <c r="M108" s="134"/>
      <c r="N108" s="1395"/>
      <c r="O108" s="1395"/>
      <c r="P108" s="2356"/>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6"/>
      <c r="Q109" s="121"/>
    </row>
    <row r="110" spans="1:17" ht="15" thickTop="1">
      <c r="A110" s="175"/>
      <c r="B110" s="1060" t="s">
        <v>1343</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6"/>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6"/>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6"/>
      <c r="Q112" s="121"/>
    </row>
    <row r="113" spans="1:17" s="1045" customFormat="1" ht="14.25" thickTop="1">
      <c r="A113" s="1079"/>
      <c r="B113" s="1060" t="s">
        <v>1414</v>
      </c>
      <c r="C113" s="139" t="s">
        <v>1415</v>
      </c>
      <c r="D113" s="139" t="s">
        <v>1416</v>
      </c>
      <c r="E113" s="139" t="s">
        <v>1417</v>
      </c>
      <c r="F113" s="139"/>
      <c r="G113" s="139"/>
      <c r="H113" s="131"/>
      <c r="I113" s="131"/>
      <c r="J113" s="131"/>
      <c r="K113" s="132"/>
      <c r="L113" s="133"/>
      <c r="M113" s="134"/>
      <c r="N113" s="1397"/>
      <c r="O113" s="1397"/>
      <c r="P113" s="2357"/>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57"/>
      <c r="Q114" s="1069"/>
    </row>
    <row r="115" spans="1:17" ht="14.25" thickTop="1">
      <c r="A115" s="175"/>
      <c r="B115" s="1060" t="s">
        <v>1418</v>
      </c>
      <c r="C115" s="139" t="s">
        <v>1419</v>
      </c>
      <c r="D115" s="139" t="s">
        <v>1420</v>
      </c>
      <c r="E115" s="131"/>
      <c r="F115" s="131"/>
      <c r="G115" s="131"/>
      <c r="H115" s="131"/>
      <c r="I115" s="131"/>
      <c r="J115" s="131"/>
      <c r="K115" s="132"/>
      <c r="L115" s="133"/>
      <c r="M115" s="134"/>
      <c r="N115" s="1395"/>
      <c r="O115" s="1395"/>
      <c r="P115" s="2356"/>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6"/>
      <c r="Q116" s="121"/>
    </row>
    <row r="117" spans="1:17" ht="14.25" thickTop="1">
      <c r="A117" s="175"/>
      <c r="B117" s="1060" t="s">
        <v>3044</v>
      </c>
      <c r="C117" s="139" t="s">
        <v>1344</v>
      </c>
      <c r="D117" s="139" t="s">
        <v>1345</v>
      </c>
      <c r="E117" s="139" t="s">
        <v>1346</v>
      </c>
      <c r="F117" s="139" t="s">
        <v>1347</v>
      </c>
      <c r="G117" s="139" t="s">
        <v>1348</v>
      </c>
      <c r="H117" s="131"/>
      <c r="I117" s="131"/>
      <c r="J117" s="131"/>
      <c r="K117" s="132"/>
      <c r="L117" s="133"/>
      <c r="M117" s="134"/>
      <c r="N117" s="1395"/>
      <c r="O117" s="1395"/>
      <c r="P117" s="2356"/>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6"/>
      <c r="Q118" s="121"/>
    </row>
    <row r="119" spans="1:17" ht="14.25" thickTop="1">
      <c r="A119" s="175"/>
      <c r="B119" s="211" t="s">
        <v>1352</v>
      </c>
      <c r="C119" s="131" t="s">
        <v>1421</v>
      </c>
      <c r="D119" s="131" t="s">
        <v>1422</v>
      </c>
      <c r="E119" s="131"/>
      <c r="F119" s="131"/>
      <c r="G119" s="131"/>
      <c r="H119" s="131"/>
      <c r="I119" s="131"/>
      <c r="J119" s="131"/>
      <c r="K119" s="131"/>
      <c r="L119" s="198"/>
      <c r="M119" s="199"/>
      <c r="N119" s="1396"/>
      <c r="O119" s="1396"/>
      <c r="P119" s="2361"/>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6"/>
      <c r="Q120" s="121"/>
    </row>
    <row r="121" spans="1:17" s="1045" customFormat="1" ht="15" thickTop="1">
      <c r="A121" s="1079"/>
      <c r="B121" s="1060" t="s">
        <v>1355</v>
      </c>
      <c r="C121" s="902" t="s">
        <v>298</v>
      </c>
      <c r="D121" s="902" t="s">
        <v>294</v>
      </c>
      <c r="E121" s="902" t="s">
        <v>295</v>
      </c>
      <c r="F121" s="931" t="s">
        <v>299</v>
      </c>
      <c r="G121" s="903"/>
      <c r="H121" s="903"/>
      <c r="I121" s="903"/>
      <c r="J121" s="903"/>
      <c r="K121" s="903"/>
      <c r="L121" s="904"/>
      <c r="M121" s="905"/>
      <c r="N121" s="1397"/>
      <c r="O121" s="1397"/>
      <c r="P121" s="2357"/>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57"/>
      <c r="Q122" s="1069"/>
    </row>
    <row r="123" spans="1:17" ht="14.25" thickTop="1">
      <c r="A123" s="175"/>
      <c r="B123" s="1060" t="s">
        <v>1360</v>
      </c>
      <c r="C123" s="139" t="s">
        <v>1339</v>
      </c>
      <c r="D123" s="139" t="s">
        <v>1340</v>
      </c>
      <c r="E123" s="139" t="s">
        <v>1341</v>
      </c>
      <c r="F123" s="131" t="s">
        <v>1342</v>
      </c>
      <c r="G123" s="131"/>
      <c r="H123" s="131"/>
      <c r="I123" s="131"/>
      <c r="J123" s="131"/>
      <c r="K123" s="132"/>
      <c r="L123" s="133"/>
      <c r="M123" s="134"/>
      <c r="N123" s="1395"/>
      <c r="O123" s="1395"/>
      <c r="P123" s="2356"/>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6"/>
      <c r="Q124" s="121"/>
    </row>
    <row r="125" spans="1:17" ht="27.75" thickTop="1">
      <c r="A125" s="175"/>
      <c r="B125" s="1060" t="s">
        <v>1361</v>
      </c>
      <c r="C125" s="926" t="s">
        <v>1261</v>
      </c>
      <c r="D125" s="926" t="s">
        <v>1262</v>
      </c>
      <c r="E125" s="926" t="s">
        <v>1263</v>
      </c>
      <c r="F125" s="926" t="s">
        <v>1264</v>
      </c>
      <c r="G125" s="926" t="s">
        <v>1265</v>
      </c>
      <c r="H125" s="887"/>
      <c r="I125" s="887"/>
      <c r="J125" s="887"/>
      <c r="K125" s="888"/>
      <c r="L125" s="889"/>
      <c r="M125" s="890"/>
      <c r="N125" s="1395"/>
      <c r="O125" s="1395"/>
      <c r="P125" s="2357"/>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6"/>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57"/>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57"/>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6"/>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6"/>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6"/>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1427</v>
      </c>
      <c r="B1" s="3160" t="s">
        <v>1428</v>
      </c>
      <c r="C1" s="3154" t="s">
        <v>1429</v>
      </c>
      <c r="D1" s="3145"/>
      <c r="E1" s="3150"/>
      <c r="F1" s="3147" t="s">
        <v>3103</v>
      </c>
      <c r="G1" s="3149" t="s">
        <v>1430</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1431</v>
      </c>
      <c r="B2" s="2883" t="e">
        <f ca="1">IF(C2="——",ROUND(B3*D3/10000,0),ROUND(B3*D3/10000,0)-D2)</f>
        <v>#DIV/0!</v>
      </c>
      <c r="C2" s="3139" t="s">
        <v>3105</v>
      </c>
      <c r="D2" s="2369" t="e">
        <f ca="1">SUMIF(INDIRECT("'"&amp;F2&amp;"'"&amp;"!A:A"),"承租人权益价值",INDIRECT("'"&amp;F2&amp;"'"&amp;"!c:c"))</f>
        <v>#N/A</v>
      </c>
      <c r="E2" s="3140" t="s">
        <v>1109</v>
      </c>
      <c r="F2" s="3141" t="s">
        <v>3077</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98"/>
    </row>
    <row r="3" spans="1:29" s="90" customFormat="1" ht="28.5" customHeight="1" thickBot="1">
      <c r="A3" s="87" t="s">
        <v>1432</v>
      </c>
      <c r="B3" s="957" t="e">
        <f>C43</f>
        <v>#DIV/0!</v>
      </c>
      <c r="C3" s="142" t="s">
        <v>1433</v>
      </c>
      <c r="D3" s="747">
        <f>IF(D1="",'数据-汇总表'!E3,SUMIF('数据-汇总表'!$C19:$C33,D1,'数据-汇总表'!$E19:$E33))</f>
        <v>11376.31</v>
      </c>
      <c r="E3" s="2345"/>
      <c r="F3" s="2344"/>
      <c r="G3" s="2345"/>
      <c r="H3" s="2345"/>
      <c r="I3" s="2345"/>
      <c r="J3" s="2345"/>
      <c r="K3" s="2348"/>
      <c r="L3" s="2346"/>
      <c r="M3" s="2347"/>
      <c r="N3" s="2347"/>
      <c r="O3" s="2347"/>
      <c r="P3" s="1340"/>
      <c r="Q3" s="1340"/>
      <c r="R3" s="1340"/>
      <c r="S3" s="1340"/>
      <c r="T3" s="1340"/>
      <c r="U3" s="1340"/>
      <c r="V3" s="1340"/>
      <c r="W3" s="1340"/>
      <c r="X3" s="1340"/>
      <c r="Y3" s="1340"/>
      <c r="Z3" s="1340"/>
      <c r="AA3" s="1340"/>
      <c r="AB3" s="1416"/>
      <c r="AC3" s="1398"/>
    </row>
    <row r="4" spans="1:29">
      <c r="A4" s="143" t="s">
        <v>1434</v>
      </c>
      <c r="B4" s="144"/>
      <c r="C4" s="3649" t="s">
        <v>1435</v>
      </c>
      <c r="D4" s="3650"/>
      <c r="E4" s="3651" t="s">
        <v>1436</v>
      </c>
      <c r="F4" s="3652"/>
      <c r="G4" s="3649" t="s">
        <v>1437</v>
      </c>
      <c r="H4" s="3650"/>
      <c r="I4" s="3649" t="s">
        <v>1438</v>
      </c>
      <c r="J4" s="3650"/>
      <c r="K4" s="187" t="s">
        <v>1439</v>
      </c>
      <c r="L4" s="2322"/>
      <c r="M4" s="2323"/>
      <c r="N4" s="2323"/>
      <c r="O4" s="2323"/>
      <c r="P4" s="3653" t="s">
        <v>1434</v>
      </c>
      <c r="Q4" s="3654"/>
      <c r="R4" s="3659" t="s">
        <v>1436</v>
      </c>
      <c r="S4" s="3660"/>
      <c r="T4" s="3659" t="s">
        <v>1437</v>
      </c>
      <c r="U4" s="3660"/>
      <c r="V4" s="3665" t="s">
        <v>1438</v>
      </c>
      <c r="W4" s="3665"/>
      <c r="X4" s="1346"/>
      <c r="Y4" s="3659" t="s">
        <v>1434</v>
      </c>
      <c r="Z4" s="3660"/>
      <c r="AA4" s="3646" t="s">
        <v>1436</v>
      </c>
      <c r="AB4" s="3647" t="s">
        <v>1437</v>
      </c>
      <c r="AC4" s="3646" t="s">
        <v>1438</v>
      </c>
    </row>
    <row r="5" spans="1:29">
      <c r="A5" s="146"/>
      <c r="B5" s="147"/>
      <c r="C5" s="3575" t="s">
        <v>1440</v>
      </c>
      <c r="D5" s="3576"/>
      <c r="E5" s="3582" t="s">
        <v>1441</v>
      </c>
      <c r="F5" s="3583"/>
      <c r="G5" s="3575" t="s">
        <v>1442</v>
      </c>
      <c r="H5" s="3576"/>
      <c r="I5" s="3575" t="s">
        <v>1443</v>
      </c>
      <c r="J5" s="3576"/>
      <c r="K5" s="187"/>
      <c r="L5" s="2322"/>
      <c r="M5" s="2323"/>
      <c r="N5" s="2323"/>
      <c r="O5" s="2323"/>
      <c r="P5" s="3655"/>
      <c r="Q5" s="3656"/>
      <c r="R5" s="3661"/>
      <c r="S5" s="3662"/>
      <c r="T5" s="3661"/>
      <c r="U5" s="3662"/>
      <c r="V5" s="3665"/>
      <c r="W5" s="3665"/>
      <c r="X5" s="1346"/>
      <c r="Y5" s="3661"/>
      <c r="Z5" s="3662"/>
      <c r="AA5" s="3647"/>
      <c r="AB5" s="3647"/>
      <c r="AC5" s="3647"/>
    </row>
    <row r="6" spans="1:29" ht="14.25" thickBot="1">
      <c r="A6" s="148"/>
      <c r="B6" s="149"/>
      <c r="C6" s="3580" t="s">
        <v>1444</v>
      </c>
      <c r="D6" s="3581"/>
      <c r="E6" s="3669" t="s">
        <v>1444</v>
      </c>
      <c r="F6" s="3670"/>
      <c r="G6" s="3580" t="s">
        <v>1444</v>
      </c>
      <c r="H6" s="3581"/>
      <c r="I6" s="3580" t="s">
        <v>1444</v>
      </c>
      <c r="J6" s="3581"/>
      <c r="K6" s="187" t="s">
        <v>1445</v>
      </c>
      <c r="L6" s="2322"/>
      <c r="M6" s="2323"/>
      <c r="N6" s="2323"/>
      <c r="O6" s="2323"/>
      <c r="P6" s="3657"/>
      <c r="Q6" s="3658"/>
      <c r="R6" s="3661"/>
      <c r="S6" s="3662"/>
      <c r="T6" s="3663"/>
      <c r="U6" s="3664"/>
      <c r="V6" s="3665"/>
      <c r="W6" s="3665"/>
      <c r="X6" s="1346"/>
      <c r="Y6" s="3663"/>
      <c r="Z6" s="3664"/>
      <c r="AA6" s="3648"/>
      <c r="AB6" s="3648"/>
      <c r="AC6" s="3648"/>
    </row>
    <row r="7" spans="1:29" s="40" customFormat="1" ht="15" thickBot="1">
      <c r="A7" s="1019" t="s">
        <v>1446</v>
      </c>
      <c r="B7" s="1020"/>
      <c r="C7" s="758">
        <f>'数据-取费表'!B2</f>
        <v>42930</v>
      </c>
      <c r="D7" s="759">
        <v>100</v>
      </c>
      <c r="E7" s="1022">
        <v>42007</v>
      </c>
      <c r="F7" s="761">
        <f>SUMIF(52:52,YEAR(E7)&amp;"-"&amp;MONTH(E7),53:53)</f>
        <v>0</v>
      </c>
      <c r="G7" s="1023">
        <v>41918</v>
      </c>
      <c r="H7" s="759">
        <f>SUMIF(52:52,YEAR(G7)&amp;"-"&amp;MONTH(G7),53:53)</f>
        <v>0</v>
      </c>
      <c r="I7" s="1023">
        <v>42003</v>
      </c>
      <c r="J7" s="759">
        <f>SUMIF(52:52,YEAR(I7)&amp;"-"&amp;MONTH(I7),53:53)</f>
        <v>0</v>
      </c>
      <c r="K7" s="1024"/>
      <c r="L7" s="2324"/>
      <c r="M7" s="2286"/>
      <c r="N7" s="2286"/>
      <c r="O7" s="2286"/>
      <c r="P7" s="3666" t="s">
        <v>1446</v>
      </c>
      <c r="Q7" s="3668"/>
      <c r="R7" s="1348" t="s">
        <v>70</v>
      </c>
      <c r="S7" s="1349">
        <f t="shared" ref="S7:S15" si="0">F7</f>
        <v>0</v>
      </c>
      <c r="T7" s="1348" t="s">
        <v>70</v>
      </c>
      <c r="U7" s="1349">
        <f t="shared" ref="U7:U15" si="1">H7</f>
        <v>0</v>
      </c>
      <c r="V7" s="1348" t="s">
        <v>70</v>
      </c>
      <c r="W7" s="1349">
        <f t="shared" ref="W7:W15" si="2">J7</f>
        <v>0</v>
      </c>
      <c r="X7" s="293"/>
      <c r="Y7" s="3666" t="s">
        <v>1446</v>
      </c>
      <c r="Z7" s="3667"/>
      <c r="AA7" s="1350" t="e">
        <f>D7/F7</f>
        <v>#DIV/0!</v>
      </c>
      <c r="AB7" s="1350" t="e">
        <f>D7/H7</f>
        <v>#DIV/0!</v>
      </c>
      <c r="AC7" s="1350" t="e">
        <f>D7/J7</f>
        <v>#DIV/0!</v>
      </c>
    </row>
    <row r="8" spans="1:29" s="40" customFormat="1" ht="15" thickBot="1">
      <c r="A8" s="1019" t="s">
        <v>1447</v>
      </c>
      <c r="B8" s="1020"/>
      <c r="C8" s="1025" t="s">
        <v>1448</v>
      </c>
      <c r="D8" s="759">
        <v>100</v>
      </c>
      <c r="E8" s="1025" t="s">
        <v>1448</v>
      </c>
      <c r="F8" s="761">
        <f>SUMIF(55:55,E8,56:56)-SUMIF(55:55,C8,56:56)+100</f>
        <v>100</v>
      </c>
      <c r="G8" s="1025" t="s">
        <v>259</v>
      </c>
      <c r="H8" s="759">
        <f>SUMIF(55:55,G8,56:56)-SUMIF(55:55,C8,56:56)+100</f>
        <v>98</v>
      </c>
      <c r="I8" s="1025" t="s">
        <v>1266</v>
      </c>
      <c r="J8" s="759">
        <f>SUMIF(55:55,I8,56:56)-SUMIF(55:55,C8,56:56)+100</f>
        <v>100</v>
      </c>
      <c r="K8" s="1024"/>
      <c r="L8" s="2324"/>
      <c r="M8" s="2286"/>
      <c r="N8" s="2286"/>
      <c r="O8" s="2286"/>
      <c r="P8" s="3666" t="s">
        <v>1267</v>
      </c>
      <c r="Q8" s="3667"/>
      <c r="R8" s="1348" t="s">
        <v>70</v>
      </c>
      <c r="S8" s="1349">
        <f t="shared" si="0"/>
        <v>100</v>
      </c>
      <c r="T8" s="1348" t="s">
        <v>70</v>
      </c>
      <c r="U8" s="1349">
        <f t="shared" si="1"/>
        <v>98</v>
      </c>
      <c r="V8" s="1348" t="s">
        <v>70</v>
      </c>
      <c r="W8" s="1349">
        <f t="shared" si="2"/>
        <v>100</v>
      </c>
      <c r="X8" s="293"/>
      <c r="Y8" s="3666" t="s">
        <v>1267</v>
      </c>
      <c r="Z8" s="3667"/>
      <c r="AA8" s="1350">
        <f t="shared" ref="AA8:AA40" si="3">D8/F8</f>
        <v>1</v>
      </c>
      <c r="AB8" s="1350">
        <f t="shared" ref="AB8:AB40" si="4">D8/H8</f>
        <v>1.0204081632653061</v>
      </c>
      <c r="AC8" s="1350">
        <f t="shared" ref="AC8:AC40" si="5">D8/J8</f>
        <v>1</v>
      </c>
    </row>
    <row r="9" spans="1:29" s="40" customFormat="1" ht="14.25">
      <c r="A9" s="1026" t="s">
        <v>1268</v>
      </c>
      <c r="B9" s="62" t="s">
        <v>1269</v>
      </c>
      <c r="C9" s="1352" t="s">
        <v>1449</v>
      </c>
      <c r="D9" s="430">
        <v>100</v>
      </c>
      <c r="E9" s="1354" t="s">
        <v>40</v>
      </c>
      <c r="F9" s="430">
        <f>SUMIF(57:57,E9,58:58)-SUMIF(57:57,C9,58:58)+100</f>
        <v>100</v>
      </c>
      <c r="G9" s="1353" t="s">
        <v>40</v>
      </c>
      <c r="H9" s="430">
        <f>SUMIF(57:57,G9,58:58)-SUMIF(57:57,C9,58:58)+100</f>
        <v>100</v>
      </c>
      <c r="I9" s="1353" t="s">
        <v>304</v>
      </c>
      <c r="J9" s="430">
        <f>SUMIF(57:57,I9,58:58)-SUMIF(57:57,C9,58:58)+100</f>
        <v>105</v>
      </c>
      <c r="K9" s="1024"/>
      <c r="L9" s="2324"/>
      <c r="M9" s="2286"/>
      <c r="N9" s="2286"/>
      <c r="O9" s="2365"/>
      <c r="P9" s="3634" t="s">
        <v>72</v>
      </c>
      <c r="Q9" s="7" t="str">
        <f t="shared" ref="Q9:Q15" si="6">B9</f>
        <v>用途</v>
      </c>
      <c r="R9" s="1348" t="s">
        <v>70</v>
      </c>
      <c r="S9" s="1349">
        <f t="shared" si="0"/>
        <v>100</v>
      </c>
      <c r="T9" s="1348" t="s">
        <v>70</v>
      </c>
      <c r="U9" s="1349">
        <f t="shared" si="1"/>
        <v>100</v>
      </c>
      <c r="V9" s="1348" t="s">
        <v>70</v>
      </c>
      <c r="W9" s="1349">
        <f t="shared" si="2"/>
        <v>105</v>
      </c>
      <c r="X9" s="293"/>
      <c r="Y9" s="3396" t="s">
        <v>72</v>
      </c>
      <c r="Z9" s="294" t="str">
        <f t="shared" ref="Z9:Z15" si="7">Q9</f>
        <v>用途</v>
      </c>
      <c r="AA9" s="1350">
        <f t="shared" si="3"/>
        <v>1</v>
      </c>
      <c r="AB9" s="1350">
        <f t="shared" si="4"/>
        <v>1</v>
      </c>
      <c r="AC9" s="1350">
        <f t="shared" si="5"/>
        <v>0.95238095238095233</v>
      </c>
    </row>
    <row r="10" spans="1:29" s="92" customFormat="1" ht="27">
      <c r="A10" s="150"/>
      <c r="B10" s="12" t="s">
        <v>125</v>
      </c>
      <c r="C10" s="1355" t="s">
        <v>286</v>
      </c>
      <c r="D10" s="431">
        <v>100</v>
      </c>
      <c r="E10" s="1355" t="s">
        <v>287</v>
      </c>
      <c r="F10" s="431">
        <f>SUMIF(59:59,E10,60:60)-SUMIF(59:59,C10,60:60)+100</f>
        <v>98</v>
      </c>
      <c r="G10" s="1356" t="s">
        <v>288</v>
      </c>
      <c r="H10" s="431">
        <f>SUMIF(59:59,G10,60:60)-SUMIF(59:59,C10,60:60)+100</f>
        <v>96</v>
      </c>
      <c r="I10" s="1355" t="s">
        <v>289</v>
      </c>
      <c r="J10" s="431">
        <f>SUMIF(59:59,I10,60:60)-SUMIF(59:59,C10,60:60)+100</f>
        <v>94</v>
      </c>
      <c r="K10" s="960">
        <v>2</v>
      </c>
      <c r="L10" s="2325"/>
      <c r="M10" s="2326"/>
      <c r="N10" s="2326"/>
      <c r="O10" s="2366"/>
      <c r="P10" s="3634"/>
      <c r="Q10" s="7" t="str">
        <f t="shared" si="6"/>
        <v>土地使用年限（年）</v>
      </c>
      <c r="R10" s="1348" t="s">
        <v>70</v>
      </c>
      <c r="S10" s="1349">
        <f t="shared" si="0"/>
        <v>98</v>
      </c>
      <c r="T10" s="1348" t="s">
        <v>70</v>
      </c>
      <c r="U10" s="1349">
        <f t="shared" si="1"/>
        <v>96</v>
      </c>
      <c r="V10" s="1348" t="s">
        <v>70</v>
      </c>
      <c r="W10" s="1349">
        <f t="shared" si="2"/>
        <v>94</v>
      </c>
      <c r="X10" s="293"/>
      <c r="Y10" s="3396"/>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27"/>
      <c r="M11" s="2323"/>
      <c r="N11" s="2323"/>
      <c r="O11" s="2367"/>
      <c r="P11" s="3634"/>
      <c r="Q11" s="7" t="str">
        <f t="shared" si="6"/>
        <v>容积率</v>
      </c>
      <c r="R11" s="1348" t="s">
        <v>70</v>
      </c>
      <c r="S11" s="1349">
        <f t="shared" si="0"/>
        <v>97</v>
      </c>
      <c r="T11" s="1348" t="s">
        <v>70</v>
      </c>
      <c r="U11" s="1349">
        <f t="shared" si="1"/>
        <v>94</v>
      </c>
      <c r="V11" s="1348" t="s">
        <v>70</v>
      </c>
      <c r="W11" s="1349">
        <f t="shared" si="2"/>
        <v>91</v>
      </c>
      <c r="X11" s="293"/>
      <c r="Y11" s="3396"/>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4"/>
      <c r="M12" s="2286"/>
      <c r="N12" s="2286"/>
      <c r="O12" s="2365"/>
      <c r="P12" s="3634"/>
      <c r="Q12" s="7">
        <f t="shared" si="6"/>
        <v>111</v>
      </c>
      <c r="R12" s="1348" t="s">
        <v>70</v>
      </c>
      <c r="S12" s="1349">
        <f t="shared" si="0"/>
        <v>100</v>
      </c>
      <c r="T12" s="1348" t="s">
        <v>70</v>
      </c>
      <c r="U12" s="1349">
        <f t="shared" si="1"/>
        <v>100</v>
      </c>
      <c r="V12" s="1348" t="s">
        <v>70</v>
      </c>
      <c r="W12" s="1349">
        <f t="shared" si="2"/>
        <v>100</v>
      </c>
      <c r="X12" s="293"/>
      <c r="Y12" s="3396"/>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28"/>
      <c r="M13" s="2323"/>
      <c r="N13" s="2323"/>
      <c r="O13" s="2367"/>
      <c r="P13" s="3634"/>
      <c r="Q13" s="7">
        <f t="shared" si="6"/>
        <v>111</v>
      </c>
      <c r="R13" s="1348" t="s">
        <v>70</v>
      </c>
      <c r="S13" s="1349">
        <f t="shared" si="0"/>
        <v>100</v>
      </c>
      <c r="T13" s="1348" t="s">
        <v>70</v>
      </c>
      <c r="U13" s="1349">
        <f t="shared" si="1"/>
        <v>100</v>
      </c>
      <c r="V13" s="1348" t="s">
        <v>70</v>
      </c>
      <c r="W13" s="1349">
        <f t="shared" si="2"/>
        <v>100</v>
      </c>
      <c r="X13" s="293"/>
      <c r="Y13" s="3396"/>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28"/>
      <c r="M14" s="2323"/>
      <c r="N14" s="2323"/>
      <c r="O14" s="2367"/>
      <c r="P14" s="3634"/>
      <c r="Q14" s="7">
        <f t="shared" si="6"/>
        <v>111</v>
      </c>
      <c r="R14" s="1348" t="s">
        <v>70</v>
      </c>
      <c r="S14" s="1349">
        <f t="shared" si="0"/>
        <v>100</v>
      </c>
      <c r="T14" s="1348" t="s">
        <v>70</v>
      </c>
      <c r="U14" s="1349">
        <f t="shared" si="1"/>
        <v>100</v>
      </c>
      <c r="V14" s="1348" t="s">
        <v>70</v>
      </c>
      <c r="W14" s="1349">
        <f t="shared" si="2"/>
        <v>100</v>
      </c>
      <c r="X14" s="293"/>
      <c r="Y14" s="3396"/>
      <c r="Z14" s="294">
        <f t="shared" si="7"/>
        <v>111</v>
      </c>
      <c r="AA14" s="1350">
        <f t="shared" si="3"/>
        <v>1</v>
      </c>
      <c r="AB14" s="1350">
        <f t="shared" si="4"/>
        <v>1</v>
      </c>
      <c r="AC14" s="1350">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28"/>
      <c r="M15" s="2323"/>
      <c r="N15" s="2323"/>
      <c r="O15" s="2367"/>
      <c r="P15" s="3636" t="s">
        <v>74</v>
      </c>
      <c r="Q15" s="1357" t="str">
        <f t="shared" si="6"/>
        <v>产业集聚程度</v>
      </c>
      <c r="R15" s="1358" t="s">
        <v>70</v>
      </c>
      <c r="S15" s="1359">
        <f t="shared" si="0"/>
        <v>100</v>
      </c>
      <c r="T15" s="1358" t="s">
        <v>70</v>
      </c>
      <c r="U15" s="1359">
        <f t="shared" si="1"/>
        <v>100</v>
      </c>
      <c r="V15" s="1358" t="s">
        <v>70</v>
      </c>
      <c r="W15" s="1359">
        <f t="shared" si="2"/>
        <v>100</v>
      </c>
      <c r="X15" s="1346"/>
      <c r="Y15" s="3636" t="s">
        <v>74</v>
      </c>
      <c r="Z15" s="1360" t="str">
        <f t="shared" si="7"/>
        <v>产业集聚程度</v>
      </c>
      <c r="AA15" s="1361">
        <f t="shared" si="3"/>
        <v>1</v>
      </c>
      <c r="AB15" s="1361">
        <f t="shared" si="4"/>
        <v>1</v>
      </c>
      <c r="AC15" s="1361">
        <f t="shared" si="5"/>
        <v>1</v>
      </c>
    </row>
    <row r="16" spans="1:29" ht="14.25">
      <c r="A16" s="151"/>
      <c r="B16" s="156"/>
      <c r="C16" s="97" t="s">
        <v>123</v>
      </c>
      <c r="D16" s="797"/>
      <c r="E16" s="97" t="s">
        <v>2802</v>
      </c>
      <c r="F16" s="798"/>
      <c r="G16" s="97" t="s">
        <v>123</v>
      </c>
      <c r="H16" s="799"/>
      <c r="I16" s="97" t="s">
        <v>123</v>
      </c>
      <c r="J16" s="797"/>
      <c r="K16" s="189"/>
      <c r="L16" s="2328"/>
      <c r="M16" s="2323"/>
      <c r="N16" s="2323"/>
      <c r="O16" s="2367"/>
      <c r="P16" s="3637"/>
      <c r="Q16" s="1357"/>
      <c r="R16" s="1358"/>
      <c r="S16" s="1359"/>
      <c r="T16" s="1358"/>
      <c r="U16" s="1359"/>
      <c r="V16" s="1358"/>
      <c r="W16" s="1359"/>
      <c r="X16" s="1346"/>
      <c r="Y16" s="3637"/>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28"/>
      <c r="M17" s="2323"/>
      <c r="N17" s="2323"/>
      <c r="O17" s="2367"/>
      <c r="P17" s="3637"/>
      <c r="Q17" s="1357" t="str">
        <f>B17</f>
        <v>交通便捷度</v>
      </c>
      <c r="R17" s="1358" t="s">
        <v>70</v>
      </c>
      <c r="S17" s="1359">
        <f>F17</f>
        <v>97</v>
      </c>
      <c r="T17" s="1358" t="s">
        <v>70</v>
      </c>
      <c r="U17" s="1359">
        <f>H17</f>
        <v>106</v>
      </c>
      <c r="V17" s="1358" t="s">
        <v>70</v>
      </c>
      <c r="W17" s="1359">
        <f>J17</f>
        <v>97</v>
      </c>
      <c r="X17" s="1346"/>
      <c r="Y17" s="3637"/>
      <c r="Z17" s="1360" t="str">
        <f>Q17</f>
        <v>交通便捷度</v>
      </c>
      <c r="AA17" s="1361">
        <f t="shared" si="3"/>
        <v>1.0309278350515463</v>
      </c>
      <c r="AB17" s="1361">
        <f t="shared" si="4"/>
        <v>0.94339622641509435</v>
      </c>
      <c r="AC17" s="1361">
        <f t="shared" si="5"/>
        <v>1.0309278350515463</v>
      </c>
    </row>
    <row r="18" spans="1:29" ht="14.25">
      <c r="A18" s="151"/>
      <c r="B18" s="1046"/>
      <c r="C18" s="102" t="s">
        <v>2803</v>
      </c>
      <c r="D18" s="799"/>
      <c r="E18" s="103" t="s">
        <v>153</v>
      </c>
      <c r="F18" s="802"/>
      <c r="G18" s="104" t="s">
        <v>122</v>
      </c>
      <c r="H18" s="797"/>
      <c r="I18" s="103" t="s">
        <v>153</v>
      </c>
      <c r="J18" s="797"/>
      <c r="K18" s="189"/>
      <c r="L18" s="2328"/>
      <c r="M18" s="2323"/>
      <c r="N18" s="2323"/>
      <c r="O18" s="2367"/>
      <c r="P18" s="3637"/>
      <c r="Q18" s="1357"/>
      <c r="R18" s="1358"/>
      <c r="S18" s="1359"/>
      <c r="T18" s="1358"/>
      <c r="U18" s="1359"/>
      <c r="V18" s="1358"/>
      <c r="W18" s="1359"/>
      <c r="X18" s="1346"/>
      <c r="Y18" s="3637"/>
      <c r="Z18" s="1360"/>
      <c r="AA18" s="1361">
        <v>1</v>
      </c>
      <c r="AB18" s="1361">
        <v>1</v>
      </c>
      <c r="AC18" s="1361">
        <v>1</v>
      </c>
    </row>
    <row r="19" spans="1:29" ht="40.5">
      <c r="A19" s="151"/>
      <c r="B19" s="1362" t="s">
        <v>3067</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28"/>
      <c r="M19" s="2323"/>
      <c r="N19" s="2323"/>
      <c r="O19" s="2367"/>
      <c r="P19" s="3637"/>
      <c r="Q19" s="1357" t="str">
        <f>B19</f>
        <v>公共配套设施</v>
      </c>
      <c r="R19" s="1358" t="s">
        <v>70</v>
      </c>
      <c r="S19" s="1359">
        <f>F19</f>
        <v>101</v>
      </c>
      <c r="T19" s="1358" t="s">
        <v>70</v>
      </c>
      <c r="U19" s="1359">
        <f>H19</f>
        <v>103</v>
      </c>
      <c r="V19" s="1358" t="s">
        <v>70</v>
      </c>
      <c r="W19" s="1359">
        <f>J19</f>
        <v>100</v>
      </c>
      <c r="X19" s="1346"/>
      <c r="Y19" s="3637"/>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28"/>
      <c r="M20" s="2323"/>
      <c r="N20" s="2323"/>
      <c r="O20" s="2367"/>
      <c r="P20" s="3637"/>
      <c r="Q20" s="1357"/>
      <c r="R20" s="1358"/>
      <c r="S20" s="1359"/>
      <c r="T20" s="1358"/>
      <c r="U20" s="1359"/>
      <c r="V20" s="1358"/>
      <c r="W20" s="1359"/>
      <c r="X20" s="1346"/>
      <c r="Y20" s="3637"/>
      <c r="Z20" s="1360"/>
      <c r="AA20" s="1361">
        <v>1</v>
      </c>
      <c r="AB20" s="1361">
        <v>1</v>
      </c>
      <c r="AC20" s="1361">
        <v>1</v>
      </c>
    </row>
    <row r="21" spans="1:29" ht="40.5">
      <c r="A21" s="151"/>
      <c r="B21" s="1418" t="s">
        <v>3070</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28"/>
      <c r="M21" s="2323"/>
      <c r="N21" s="2323"/>
      <c r="O21" s="2367"/>
      <c r="P21" s="3637"/>
      <c r="Q21" s="2782" t="str">
        <f>B21</f>
        <v>基础设施水平</v>
      </c>
      <c r="R21" s="1358" t="s">
        <v>70</v>
      </c>
      <c r="S21" s="1359">
        <f>F21</f>
        <v>98</v>
      </c>
      <c r="T21" s="1358" t="s">
        <v>70</v>
      </c>
      <c r="U21" s="1359">
        <f>H21</f>
        <v>96</v>
      </c>
      <c r="V21" s="1358" t="s">
        <v>70</v>
      </c>
      <c r="W21" s="1359">
        <f>J21</f>
        <v>94</v>
      </c>
      <c r="X21" s="2784"/>
      <c r="Y21" s="3637"/>
      <c r="Z21" s="2783"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258</v>
      </c>
      <c r="J22" s="797"/>
      <c r="K22" s="2802"/>
      <c r="L22" s="2328"/>
      <c r="M22" s="2323"/>
      <c r="N22" s="2323"/>
      <c r="O22" s="2367"/>
      <c r="P22" s="3637"/>
      <c r="Q22" s="2782"/>
      <c r="R22" s="1358"/>
      <c r="S22" s="1359"/>
      <c r="T22" s="1358"/>
      <c r="U22" s="1359"/>
      <c r="V22" s="1358"/>
      <c r="W22" s="1359"/>
      <c r="X22" s="2784"/>
      <c r="Y22" s="3637"/>
      <c r="Z22" s="2783"/>
      <c r="AA22" s="1361">
        <v>1</v>
      </c>
      <c r="AB22" s="1361">
        <v>1</v>
      </c>
      <c r="AC22" s="1361">
        <v>1</v>
      </c>
    </row>
    <row r="23" spans="1:29" ht="81">
      <c r="A23" s="151"/>
      <c r="B23" s="1362"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28"/>
      <c r="M23" s="2323"/>
      <c r="N23" s="2323"/>
      <c r="O23" s="2367"/>
      <c r="P23" s="3637"/>
      <c r="Q23" s="1357" t="str">
        <f>B23</f>
        <v>环境质量</v>
      </c>
      <c r="R23" s="1358" t="s">
        <v>70</v>
      </c>
      <c r="S23" s="1359">
        <f>F23</f>
        <v>96</v>
      </c>
      <c r="T23" s="1358" t="s">
        <v>70</v>
      </c>
      <c r="U23" s="1359">
        <f>H23</f>
        <v>98</v>
      </c>
      <c r="V23" s="1358" t="s">
        <v>70</v>
      </c>
      <c r="W23" s="1359">
        <f>J23</f>
        <v>94</v>
      </c>
      <c r="X23" s="1346"/>
      <c r="Y23" s="3637"/>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28"/>
      <c r="M24" s="2323"/>
      <c r="N24" s="2323"/>
      <c r="O24" s="2367"/>
      <c r="P24" s="3637"/>
      <c r="Q24" s="1357"/>
      <c r="R24" s="1358"/>
      <c r="S24" s="1359"/>
      <c r="T24" s="1358"/>
      <c r="U24" s="1359"/>
      <c r="V24" s="1358"/>
      <c r="W24" s="1359"/>
      <c r="X24" s="1346"/>
      <c r="Y24" s="3637"/>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28"/>
      <c r="M25" s="2323"/>
      <c r="N25" s="2323"/>
      <c r="O25" s="2367"/>
      <c r="P25" s="3637"/>
      <c r="Q25" s="1357">
        <f>B25</f>
        <v>111</v>
      </c>
      <c r="R25" s="1358" t="s">
        <v>70</v>
      </c>
      <c r="S25" s="1359">
        <f>F25</f>
        <v>100</v>
      </c>
      <c r="T25" s="1358" t="s">
        <v>70</v>
      </c>
      <c r="U25" s="1359">
        <f>H25</f>
        <v>100</v>
      </c>
      <c r="V25" s="1358" t="s">
        <v>70</v>
      </c>
      <c r="W25" s="1359">
        <f>J25</f>
        <v>100</v>
      </c>
      <c r="X25" s="1346"/>
      <c r="Y25" s="3637"/>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28"/>
      <c r="M26" s="2323"/>
      <c r="N26" s="2323"/>
      <c r="O26" s="2367"/>
      <c r="P26" s="3637"/>
      <c r="Q26" s="1357">
        <f t="shared" ref="Q26:Q40" si="11">B26</f>
        <v>111</v>
      </c>
      <c r="R26" s="1358" t="s">
        <v>70</v>
      </c>
      <c r="S26" s="1359">
        <f>F26</f>
        <v>100</v>
      </c>
      <c r="T26" s="1358" t="s">
        <v>70</v>
      </c>
      <c r="U26" s="1359">
        <f>H26</f>
        <v>100</v>
      </c>
      <c r="V26" s="1358" t="s">
        <v>70</v>
      </c>
      <c r="W26" s="1359">
        <f>J26</f>
        <v>100</v>
      </c>
      <c r="X26" s="1346"/>
      <c r="Y26" s="3637"/>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4"/>
      <c r="M27" s="2286"/>
      <c r="N27" s="2286"/>
      <c r="O27" s="2365"/>
      <c r="P27" s="3637"/>
      <c r="Q27" s="7">
        <f t="shared" si="11"/>
        <v>111</v>
      </c>
      <c r="R27" s="1348" t="s">
        <v>70</v>
      </c>
      <c r="S27" s="1349">
        <f>F27</f>
        <v>100</v>
      </c>
      <c r="T27" s="1348" t="s">
        <v>70</v>
      </c>
      <c r="U27" s="1349">
        <f>H27</f>
        <v>100</v>
      </c>
      <c r="V27" s="1348" t="s">
        <v>70</v>
      </c>
      <c r="W27" s="1349">
        <f>J27</f>
        <v>100</v>
      </c>
      <c r="X27" s="293"/>
      <c r="Y27" s="3637"/>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28"/>
      <c r="M28" s="2323"/>
      <c r="N28" s="2323"/>
      <c r="O28" s="2367"/>
      <c r="P28" s="3637"/>
      <c r="Q28" s="1357">
        <f t="shared" si="11"/>
        <v>111</v>
      </c>
      <c r="R28" s="1358" t="s">
        <v>70</v>
      </c>
      <c r="S28" s="1359">
        <f t="shared" ref="S28:S40" si="12">F28</f>
        <v>100</v>
      </c>
      <c r="T28" s="1358" t="s">
        <v>70</v>
      </c>
      <c r="U28" s="1359">
        <f t="shared" ref="U28:U40" si="13">H28</f>
        <v>100</v>
      </c>
      <c r="V28" s="1358" t="s">
        <v>70</v>
      </c>
      <c r="W28" s="1359">
        <f t="shared" ref="W28:W40" si="14">J28</f>
        <v>100</v>
      </c>
      <c r="X28" s="1346"/>
      <c r="Y28" s="3637"/>
      <c r="Z28" s="1360">
        <f t="shared" ref="Z28:Z40" si="15">Q28</f>
        <v>111</v>
      </c>
      <c r="AA28" s="1361">
        <f t="shared" si="3"/>
        <v>1</v>
      </c>
      <c r="AB28" s="1361">
        <f t="shared" si="4"/>
        <v>1</v>
      </c>
      <c r="AC28" s="1361">
        <f t="shared" si="5"/>
        <v>1</v>
      </c>
    </row>
    <row r="29" spans="1:29" ht="15">
      <c r="A29" s="160" t="s">
        <v>75</v>
      </c>
      <c r="B29" s="62" t="s">
        <v>215</v>
      </c>
      <c r="C29" s="197" t="s">
        <v>243</v>
      </c>
      <c r="D29" s="815">
        <v>100</v>
      </c>
      <c r="E29" s="197" t="s">
        <v>306</v>
      </c>
      <c r="F29" s="810">
        <f>SUMIF(88:88,E29,89:89)-SUMIF(88:88,C29,89:89)+100</f>
        <v>97</v>
      </c>
      <c r="G29" s="197" t="s">
        <v>243</v>
      </c>
      <c r="H29" s="784">
        <f>SUMIF(88:88,G29,89:89)-SUMIF(88:88,C29,89:89)+100</f>
        <v>100</v>
      </c>
      <c r="I29" s="197" t="s">
        <v>306</v>
      </c>
      <c r="J29" s="815">
        <f>SUMIF(88:88,I29,89:89)-SUMIF(88:88,C29,89:89)+100</f>
        <v>97</v>
      </c>
      <c r="K29" s="960">
        <v>3</v>
      </c>
      <c r="L29" s="2328"/>
      <c r="M29" s="2323"/>
      <c r="N29" s="2323"/>
      <c r="O29" s="2367"/>
      <c r="P29" s="3686" t="s">
        <v>1450</v>
      </c>
      <c r="Q29" s="1357" t="str">
        <f t="shared" si="11"/>
        <v>建筑类型</v>
      </c>
      <c r="R29" s="1358" t="s">
        <v>70</v>
      </c>
      <c r="S29" s="1359">
        <f t="shared" si="12"/>
        <v>97</v>
      </c>
      <c r="T29" s="1358" t="s">
        <v>70</v>
      </c>
      <c r="U29" s="1359">
        <f t="shared" si="13"/>
        <v>100</v>
      </c>
      <c r="V29" s="1358" t="s">
        <v>70</v>
      </c>
      <c r="W29" s="1359">
        <f t="shared" si="14"/>
        <v>97</v>
      </c>
      <c r="X29" s="1346"/>
      <c r="Y29" s="3641" t="s">
        <v>1450</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27"/>
      <c r="M30" s="2329"/>
      <c r="N30" s="2329"/>
      <c r="O30" s="2368"/>
      <c r="P30" s="3641"/>
      <c r="Q30" s="1365" t="str">
        <f t="shared" si="11"/>
        <v>项目建筑规模</v>
      </c>
      <c r="R30" s="1366" t="s">
        <v>70</v>
      </c>
      <c r="S30" s="1367">
        <f t="shared" si="12"/>
        <v>92</v>
      </c>
      <c r="T30" s="1366" t="s">
        <v>70</v>
      </c>
      <c r="U30" s="1367">
        <f t="shared" si="13"/>
        <v>94</v>
      </c>
      <c r="V30" s="1366" t="s">
        <v>70</v>
      </c>
      <c r="W30" s="1367">
        <f t="shared" si="14"/>
        <v>96</v>
      </c>
      <c r="X30" s="1368"/>
      <c r="Y30" s="3641"/>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28"/>
      <c r="M31" s="2323"/>
      <c r="N31" s="2323"/>
      <c r="O31" s="2367"/>
      <c r="P31" s="3641"/>
      <c r="Q31" s="1357" t="str">
        <f t="shared" si="11"/>
        <v>建筑结构</v>
      </c>
      <c r="R31" s="1358" t="s">
        <v>70</v>
      </c>
      <c r="S31" s="1359">
        <f t="shared" si="12"/>
        <v>97</v>
      </c>
      <c r="T31" s="1358" t="s">
        <v>70</v>
      </c>
      <c r="U31" s="1359">
        <f t="shared" si="13"/>
        <v>94</v>
      </c>
      <c r="V31" s="1358" t="s">
        <v>70</v>
      </c>
      <c r="W31" s="1359">
        <f t="shared" si="14"/>
        <v>100</v>
      </c>
      <c r="X31" s="1346"/>
      <c r="Y31" s="3641"/>
      <c r="Z31" s="1360" t="str">
        <f t="shared" si="15"/>
        <v>建筑结构</v>
      </c>
      <c r="AA31" s="1361">
        <f t="shared" si="3"/>
        <v>1.0309278350515463</v>
      </c>
      <c r="AB31" s="1361">
        <f t="shared" si="4"/>
        <v>1.0638297872340425</v>
      </c>
      <c r="AC31" s="1361">
        <f t="shared" si="5"/>
        <v>1</v>
      </c>
    </row>
    <row r="32" spans="1:29" ht="15">
      <c r="A32" s="161"/>
      <c r="B32" s="12" t="s">
        <v>1280</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28"/>
      <c r="M32" s="2323"/>
      <c r="N32" s="2323"/>
      <c r="O32" s="2367"/>
      <c r="P32" s="3641"/>
      <c r="Q32" s="1357" t="str">
        <f t="shared" si="11"/>
        <v>公共部分装修</v>
      </c>
      <c r="R32" s="1358" t="s">
        <v>70</v>
      </c>
      <c r="S32" s="1359">
        <f t="shared" si="12"/>
        <v>94</v>
      </c>
      <c r="T32" s="1358" t="s">
        <v>70</v>
      </c>
      <c r="U32" s="1359">
        <f t="shared" si="13"/>
        <v>97</v>
      </c>
      <c r="V32" s="1358" t="s">
        <v>70</v>
      </c>
      <c r="W32" s="1359">
        <f t="shared" si="14"/>
        <v>103</v>
      </c>
      <c r="X32" s="1346"/>
      <c r="Y32" s="3641"/>
      <c r="Z32" s="1360" t="str">
        <f t="shared" si="15"/>
        <v>公共部分装修</v>
      </c>
      <c r="AA32" s="1361">
        <f t="shared" si="3"/>
        <v>1.0638297872340425</v>
      </c>
      <c r="AB32" s="1361">
        <f t="shared" si="4"/>
        <v>1.0309278350515463</v>
      </c>
      <c r="AC32" s="1361">
        <f t="shared" si="5"/>
        <v>0.970873786407767</v>
      </c>
    </row>
    <row r="33" spans="1:29" ht="15">
      <c r="A33" s="161"/>
      <c r="B33" s="12" t="s">
        <v>1281</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28"/>
      <c r="M33" s="2323"/>
      <c r="N33" s="2323"/>
      <c r="O33" s="2367"/>
      <c r="P33" s="3641"/>
      <c r="Q33" s="1357" t="str">
        <f t="shared" si="11"/>
        <v>成新度</v>
      </c>
      <c r="R33" s="1358" t="s">
        <v>70</v>
      </c>
      <c r="S33" s="1359">
        <f t="shared" si="12"/>
        <v>98</v>
      </c>
      <c r="T33" s="1358" t="s">
        <v>70</v>
      </c>
      <c r="U33" s="1359">
        <f t="shared" si="13"/>
        <v>100</v>
      </c>
      <c r="V33" s="1358" t="s">
        <v>70</v>
      </c>
      <c r="W33" s="1359">
        <f t="shared" si="14"/>
        <v>96</v>
      </c>
      <c r="X33" s="1346"/>
      <c r="Y33" s="3641"/>
      <c r="Z33" s="1360" t="str">
        <f t="shared" si="15"/>
        <v>成新度</v>
      </c>
      <c r="AA33" s="1361">
        <f t="shared" si="3"/>
        <v>1.0204081632653061</v>
      </c>
      <c r="AB33" s="1361">
        <f t="shared" si="4"/>
        <v>1</v>
      </c>
      <c r="AC33" s="1361">
        <f t="shared" si="5"/>
        <v>1.0416666666666667</v>
      </c>
    </row>
    <row r="34" spans="1:29" s="40" customFormat="1" ht="15">
      <c r="A34" s="1047"/>
      <c r="B34" s="12" t="s">
        <v>1451</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4"/>
      <c r="M34" s="2286"/>
      <c r="N34" s="2286"/>
      <c r="O34" s="2365"/>
      <c r="P34" s="3641"/>
      <c r="Q34" s="7" t="str">
        <f t="shared" si="11"/>
        <v>物业管理</v>
      </c>
      <c r="R34" s="1348" t="s">
        <v>70</v>
      </c>
      <c r="S34" s="1349">
        <f t="shared" si="12"/>
        <v>97</v>
      </c>
      <c r="T34" s="1348" t="s">
        <v>70</v>
      </c>
      <c r="U34" s="1349">
        <f t="shared" si="13"/>
        <v>100</v>
      </c>
      <c r="V34" s="1348" t="s">
        <v>70</v>
      </c>
      <c r="W34" s="1349">
        <f t="shared" si="14"/>
        <v>97</v>
      </c>
      <c r="X34" s="293"/>
      <c r="Y34" s="3641"/>
      <c r="Z34" s="294" t="str">
        <f t="shared" si="15"/>
        <v>物业管理</v>
      </c>
      <c r="AA34" s="1350">
        <f t="shared" si="3"/>
        <v>1.0309278350515463</v>
      </c>
      <c r="AB34" s="1350">
        <f t="shared" si="4"/>
        <v>1</v>
      </c>
      <c r="AC34" s="1350">
        <f t="shared" si="5"/>
        <v>1.0309278350515463</v>
      </c>
    </row>
    <row r="35" spans="1:29" ht="15">
      <c r="A35" s="161"/>
      <c r="B35" s="12" t="s">
        <v>3060</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0">
        <v>2</v>
      </c>
      <c r="L35" s="2328"/>
      <c r="M35" s="2323"/>
      <c r="N35" s="2323"/>
      <c r="O35" s="2367"/>
      <c r="P35" s="3641" t="s">
        <v>75</v>
      </c>
      <c r="Q35" s="1357" t="str">
        <f t="shared" si="11"/>
        <v>市政基础设施</v>
      </c>
      <c r="R35" s="1358" t="s">
        <v>70</v>
      </c>
      <c r="S35" s="1359">
        <f t="shared" si="12"/>
        <v>98</v>
      </c>
      <c r="T35" s="1358" t="s">
        <v>70</v>
      </c>
      <c r="U35" s="1359">
        <f t="shared" si="13"/>
        <v>96</v>
      </c>
      <c r="V35" s="1358" t="s">
        <v>70</v>
      </c>
      <c r="W35" s="1359">
        <f t="shared" si="14"/>
        <v>102</v>
      </c>
      <c r="X35" s="1346"/>
      <c r="Y35" s="3641" t="s">
        <v>75</v>
      </c>
      <c r="Z35" s="1360" t="str">
        <f t="shared" si="15"/>
        <v>市政基础设施</v>
      </c>
      <c r="AA35" s="1361">
        <f t="shared" si="3"/>
        <v>1.0204081632653061</v>
      </c>
      <c r="AB35" s="1361">
        <f t="shared" si="4"/>
        <v>1.0416666666666667</v>
      </c>
      <c r="AC35" s="1361">
        <f t="shared" si="5"/>
        <v>0.98039215686274506</v>
      </c>
    </row>
    <row r="36" spans="1:29" ht="15">
      <c r="A36" s="161"/>
      <c r="B36" s="12" t="s">
        <v>203</v>
      </c>
      <c r="C36" s="107" t="s">
        <v>132</v>
      </c>
      <c r="D36" s="784">
        <v>100</v>
      </c>
      <c r="E36" s="107" t="s">
        <v>137</v>
      </c>
      <c r="F36" s="810">
        <f>SUMIF(104:104,E36,105:105)-SUMIF(104:104,C36,105:105)+100</f>
        <v>101</v>
      </c>
      <c r="G36" s="107" t="s">
        <v>307</v>
      </c>
      <c r="H36" s="784">
        <f>SUMIF(104:104,G36,105:105)-SUMIF(104:104,C36,105:105)+100</f>
        <v>99</v>
      </c>
      <c r="I36" s="107" t="s">
        <v>136</v>
      </c>
      <c r="J36" s="784">
        <f>SUMIF(104:104,I36,105:105)-SUMIF(104:104,C36,105:105)+100</f>
        <v>98</v>
      </c>
      <c r="K36" s="960">
        <v>1</v>
      </c>
      <c r="L36" s="2328"/>
      <c r="M36" s="2323"/>
      <c r="N36" s="2323"/>
      <c r="O36" s="2367"/>
      <c r="P36" s="3641"/>
      <c r="Q36" s="1357" t="str">
        <f t="shared" si="11"/>
        <v>内部装修</v>
      </c>
      <c r="R36" s="1358" t="s">
        <v>70</v>
      </c>
      <c r="S36" s="1359">
        <f t="shared" si="12"/>
        <v>101</v>
      </c>
      <c r="T36" s="1358" t="s">
        <v>70</v>
      </c>
      <c r="U36" s="1359">
        <f t="shared" si="13"/>
        <v>99</v>
      </c>
      <c r="V36" s="1358" t="s">
        <v>70</v>
      </c>
      <c r="W36" s="1359">
        <f t="shared" si="14"/>
        <v>98</v>
      </c>
      <c r="X36" s="1346"/>
      <c r="Y36" s="3641"/>
      <c r="Z36" s="1360" t="str">
        <f t="shared" si="15"/>
        <v>内部装修</v>
      </c>
      <c r="AA36" s="1361">
        <f t="shared" si="3"/>
        <v>0.99009900990099009</v>
      </c>
      <c r="AB36" s="1361">
        <f t="shared" si="4"/>
        <v>1.0101010101010102</v>
      </c>
      <c r="AC36" s="1361">
        <f t="shared" si="5"/>
        <v>1.0204081632653061</v>
      </c>
    </row>
    <row r="37" spans="1:29" ht="15">
      <c r="A37" s="161"/>
      <c r="B37" s="12" t="s">
        <v>1452</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28"/>
      <c r="M37" s="2323"/>
      <c r="N37" s="2323"/>
      <c r="O37" s="2367"/>
      <c r="P37" s="3641"/>
      <c r="Q37" s="1357" t="str">
        <f t="shared" si="11"/>
        <v>内部装修状况</v>
      </c>
      <c r="R37" s="1358" t="s">
        <v>70</v>
      </c>
      <c r="S37" s="1359">
        <f t="shared" si="12"/>
        <v>98.5</v>
      </c>
      <c r="T37" s="1358" t="s">
        <v>70</v>
      </c>
      <c r="U37" s="1359">
        <f t="shared" si="13"/>
        <v>97</v>
      </c>
      <c r="V37" s="1358" t="s">
        <v>70</v>
      </c>
      <c r="W37" s="1359">
        <f t="shared" si="14"/>
        <v>95.5</v>
      </c>
      <c r="X37" s="1346"/>
      <c r="Y37" s="3641"/>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27"/>
      <c r="M38" s="2329"/>
      <c r="N38" s="2329"/>
      <c r="O38" s="2368"/>
      <c r="P38" s="3641"/>
      <c r="Q38" s="1365">
        <f t="shared" si="11"/>
        <v>111</v>
      </c>
      <c r="R38" s="1366" t="s">
        <v>70</v>
      </c>
      <c r="S38" s="1367">
        <f t="shared" si="12"/>
        <v>95</v>
      </c>
      <c r="T38" s="1366" t="s">
        <v>70</v>
      </c>
      <c r="U38" s="1367">
        <f t="shared" si="13"/>
        <v>90</v>
      </c>
      <c r="V38" s="1366" t="s">
        <v>70</v>
      </c>
      <c r="W38" s="1367">
        <f t="shared" si="14"/>
        <v>100</v>
      </c>
      <c r="X38" s="1368"/>
      <c r="Y38" s="3641"/>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28"/>
      <c r="M39" s="2323"/>
      <c r="N39" s="2323"/>
      <c r="O39" s="2367"/>
      <c r="P39" s="3641"/>
      <c r="Q39" s="1357">
        <f t="shared" si="11"/>
        <v>111</v>
      </c>
      <c r="R39" s="1358" t="s">
        <v>70</v>
      </c>
      <c r="S39" s="1359">
        <f t="shared" si="12"/>
        <v>95</v>
      </c>
      <c r="T39" s="1358" t="s">
        <v>70</v>
      </c>
      <c r="U39" s="1359">
        <f t="shared" si="13"/>
        <v>90</v>
      </c>
      <c r="V39" s="1358" t="s">
        <v>70</v>
      </c>
      <c r="W39" s="1359">
        <f t="shared" si="14"/>
        <v>100</v>
      </c>
      <c r="X39" s="1346"/>
      <c r="Y39" s="3641"/>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28"/>
      <c r="M40" s="2323"/>
      <c r="N40" s="2323"/>
      <c r="O40" s="2367"/>
      <c r="P40" s="3642"/>
      <c r="Q40" s="1357">
        <f t="shared" si="11"/>
        <v>111</v>
      </c>
      <c r="R40" s="1358" t="s">
        <v>70</v>
      </c>
      <c r="S40" s="1359">
        <f t="shared" si="12"/>
        <v>98</v>
      </c>
      <c r="T40" s="1358" t="s">
        <v>70</v>
      </c>
      <c r="U40" s="1359">
        <f t="shared" si="13"/>
        <v>96</v>
      </c>
      <c r="V40" s="1358" t="s">
        <v>70</v>
      </c>
      <c r="W40" s="1359">
        <f t="shared" si="14"/>
        <v>100</v>
      </c>
      <c r="X40" s="1346"/>
      <c r="Y40" s="3642"/>
      <c r="Z40" s="1360">
        <f t="shared" si="15"/>
        <v>111</v>
      </c>
      <c r="AA40" s="1361">
        <f t="shared" si="3"/>
        <v>1.0204081632653061</v>
      </c>
      <c r="AB40" s="1361">
        <f t="shared" si="4"/>
        <v>1.0416666666666667</v>
      </c>
      <c r="AC40" s="1361">
        <f t="shared" si="5"/>
        <v>1</v>
      </c>
    </row>
    <row r="41" spans="1:29" ht="15">
      <c r="A41" s="163" t="s">
        <v>118</v>
      </c>
      <c r="B41" s="164"/>
      <c r="C41" s="2872" t="s">
        <v>23</v>
      </c>
      <c r="D41" s="2873"/>
      <c r="E41" s="2874">
        <v>30000</v>
      </c>
      <c r="F41" s="2875"/>
      <c r="G41" s="2876">
        <v>35000</v>
      </c>
      <c r="H41" s="2877"/>
      <c r="I41" s="2874">
        <v>32000</v>
      </c>
      <c r="J41" s="2877"/>
      <c r="K41" s="1399"/>
      <c r="L41" s="2330"/>
      <c r="M41" s="2331"/>
      <c r="N41" s="2323"/>
      <c r="O41" s="2331"/>
      <c r="P41" s="3634" t="str">
        <f>A41</f>
        <v>成交单价（元/平方米）</v>
      </c>
      <c r="Q41" s="3634"/>
      <c r="R41" s="3635">
        <f>E41</f>
        <v>30000</v>
      </c>
      <c r="S41" s="3635"/>
      <c r="T41" s="3635">
        <f>G41</f>
        <v>35000</v>
      </c>
      <c r="U41" s="3635"/>
      <c r="V41" s="3635">
        <f>I41</f>
        <v>32000</v>
      </c>
      <c r="W41" s="3635"/>
      <c r="X41" s="1371"/>
      <c r="Y41" s="1372"/>
      <c r="Z41" s="1371"/>
      <c r="AA41" s="1371"/>
      <c r="AB41" s="1371"/>
      <c r="AC41" s="1371"/>
    </row>
    <row r="42" spans="1:29" ht="15.75" thickBot="1">
      <c r="A42" s="165" t="s">
        <v>116</v>
      </c>
      <c r="B42" s="166"/>
      <c r="C42" s="2878" t="e">
        <f>R43</f>
        <v>#DIV/0!</v>
      </c>
      <c r="D42" s="2879"/>
      <c r="E42" s="2880" t="e">
        <f>R42</f>
        <v>#DIV/0!</v>
      </c>
      <c r="F42" s="2880"/>
      <c r="G42" s="2878" t="e">
        <f>T42</f>
        <v>#DIV/0!</v>
      </c>
      <c r="H42" s="2879"/>
      <c r="I42" s="2880" t="e">
        <f>V42</f>
        <v>#DIV/0!</v>
      </c>
      <c r="J42" s="2879"/>
      <c r="K42" s="1400"/>
      <c r="L42" s="2330"/>
      <c r="M42" s="2331"/>
      <c r="N42" s="2323"/>
      <c r="O42" s="2331"/>
      <c r="P42" s="3634" t="str">
        <f>A42</f>
        <v>比较价值（元/平方米）</v>
      </c>
      <c r="Q42" s="3634"/>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1371"/>
      <c r="Y42" s="1371"/>
      <c r="Z42" s="1371"/>
      <c r="AA42" s="1371"/>
      <c r="AB42" s="1371"/>
      <c r="AC42" s="1371"/>
    </row>
    <row r="43" spans="1:29" ht="15.75" thickBot="1">
      <c r="A43" s="115" t="s">
        <v>115</v>
      </c>
      <c r="B43" s="116"/>
      <c r="C43" s="2882" t="e">
        <f>R43</f>
        <v>#DIV/0!</v>
      </c>
      <c r="D43" s="2882"/>
      <c r="E43" s="2882"/>
      <c r="F43" s="2882"/>
      <c r="G43" s="2882"/>
      <c r="H43" s="2882"/>
      <c r="I43" s="2882"/>
      <c r="J43" s="2882"/>
      <c r="K43" s="1401"/>
      <c r="L43" s="2330"/>
      <c r="M43" s="2331"/>
      <c r="N43" s="2331"/>
      <c r="O43" s="2331"/>
      <c r="P43" s="3631" t="str">
        <f>A43</f>
        <v>估价对象XX用房的比较价值（楼面单价，元/平方米）</v>
      </c>
      <c r="Q43" s="3632"/>
      <c r="R43" s="3633" t="e">
        <f>IF(F1="售价",ROUND(AVERAGE(R42:V42),0),ROUND(AVERAGE(R42:V42),1))</f>
        <v>#DIV/0!</v>
      </c>
      <c r="S43" s="3633"/>
      <c r="T43" s="3633"/>
      <c r="U43" s="3633"/>
      <c r="V43" s="3633"/>
      <c r="W43" s="3633"/>
      <c r="X43" s="1371"/>
      <c r="Y43" s="1371"/>
      <c r="Z43" s="1371"/>
      <c r="AA43" s="1371"/>
      <c r="AB43" s="1371"/>
      <c r="AC43" s="1371"/>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1248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1250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8" t="s">
        <v>189</v>
      </c>
      <c r="B51" s="1371"/>
      <c r="C51" s="1379"/>
      <c r="D51" s="1379"/>
      <c r="E51" s="1379"/>
      <c r="F51" s="1380"/>
      <c r="G51" s="1380"/>
      <c r="H51" s="1379"/>
      <c r="I51" s="1379"/>
      <c r="J51" s="1379"/>
      <c r="K51" s="2337"/>
      <c r="L51" s="2338"/>
      <c r="M51" s="2339"/>
      <c r="N51" s="2339"/>
      <c r="O51" s="2339"/>
      <c r="P51" s="120"/>
      <c r="Q51" s="121"/>
    </row>
    <row r="52" spans="1:17" s="856" customFormat="1" ht="15">
      <c r="A52" s="853" t="s">
        <v>3203</v>
      </c>
      <c r="B52" s="854"/>
      <c r="C52" s="3082" t="str">
        <f>YEAR(C7)&amp;"-"&amp;MONTH(C7)</f>
        <v>2017-7</v>
      </c>
      <c r="D52" s="3083">
        <f>EDATE(C52,-1)</f>
        <v>42887</v>
      </c>
      <c r="E52" s="3083">
        <f t="shared" ref="E52:O52" si="16">EDATE(D52,-1)</f>
        <v>42856</v>
      </c>
      <c r="F52" s="3083">
        <f t="shared" si="16"/>
        <v>42826</v>
      </c>
      <c r="G52" s="3083">
        <f t="shared" si="16"/>
        <v>42795</v>
      </c>
      <c r="H52" s="3083">
        <f t="shared" si="16"/>
        <v>42767</v>
      </c>
      <c r="I52" s="3083">
        <f t="shared" si="16"/>
        <v>42736</v>
      </c>
      <c r="J52" s="3083">
        <f t="shared" si="16"/>
        <v>42705</v>
      </c>
      <c r="K52" s="3083">
        <f t="shared" si="16"/>
        <v>42675</v>
      </c>
      <c r="L52" s="3083">
        <f t="shared" si="16"/>
        <v>42644</v>
      </c>
      <c r="M52" s="3083">
        <f t="shared" si="16"/>
        <v>42614</v>
      </c>
      <c r="N52" s="3083">
        <f t="shared" si="16"/>
        <v>42583</v>
      </c>
      <c r="O52" s="3083">
        <f t="shared" si="16"/>
        <v>42552</v>
      </c>
      <c r="P52" s="855"/>
    </row>
    <row r="53" spans="1:17" s="40" customFormat="1" ht="14.25">
      <c r="A53" s="1051"/>
      <c r="B53" s="1052"/>
      <c r="C53" s="3080">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173</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166</v>
      </c>
      <c r="D55" s="140" t="s">
        <v>188</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305</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1254</v>
      </c>
      <c r="D59" s="887" t="s">
        <v>1255</v>
      </c>
      <c r="E59" s="887" t="s">
        <v>1256</v>
      </c>
      <c r="F59" s="887" t="s">
        <v>1257</v>
      </c>
      <c r="G59" s="887" t="s">
        <v>1258</v>
      </c>
      <c r="H59" s="887" t="s">
        <v>1259</v>
      </c>
      <c r="I59" s="887" t="s">
        <v>1260</v>
      </c>
      <c r="J59" s="887"/>
      <c r="K59" s="888"/>
      <c r="L59" s="889"/>
      <c r="M59" s="890"/>
      <c r="N59" s="1395"/>
      <c r="O59" s="1395"/>
      <c r="P59" s="1"/>
      <c r="Q59" s="121"/>
    </row>
    <row r="60" spans="1:17" ht="15" thickBot="1">
      <c r="A60" s="173"/>
      <c r="B60" s="1061"/>
      <c r="C60" s="892" t="s">
        <v>207</v>
      </c>
      <c r="D60" s="892" t="s">
        <v>208</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267</v>
      </c>
      <c r="C70" s="921" t="s">
        <v>1261</v>
      </c>
      <c r="D70" s="921" t="s">
        <v>1262</v>
      </c>
      <c r="E70" s="921" t="s">
        <v>1263</v>
      </c>
      <c r="F70" s="921" t="s">
        <v>1264</v>
      </c>
      <c r="G70" s="921" t="s">
        <v>1265</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1261</v>
      </c>
      <c r="D72" s="926" t="s">
        <v>1262</v>
      </c>
      <c r="E72" s="926" t="s">
        <v>1263</v>
      </c>
      <c r="F72" s="926" t="s">
        <v>1264</v>
      </c>
      <c r="G72" s="926" t="s">
        <v>1265</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3042</v>
      </c>
      <c r="C74" s="926" t="s">
        <v>1261</v>
      </c>
      <c r="D74" s="926" t="s">
        <v>1262</v>
      </c>
      <c r="E74" s="926" t="s">
        <v>1263</v>
      </c>
      <c r="F74" s="926" t="s">
        <v>1264</v>
      </c>
      <c r="G74" s="926" t="s">
        <v>1265</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3070</v>
      </c>
      <c r="C76" s="213" t="s">
        <v>3062</v>
      </c>
      <c r="D76" s="213" t="s">
        <v>3063</v>
      </c>
      <c r="E76" s="213" t="s">
        <v>3064</v>
      </c>
      <c r="F76" s="213" t="s">
        <v>3065</v>
      </c>
      <c r="G76" s="213" t="s">
        <v>3066</v>
      </c>
      <c r="H76" s="887"/>
      <c r="I76" s="887"/>
      <c r="J76" s="887"/>
      <c r="K76" s="887"/>
      <c r="L76" s="887"/>
      <c r="M76" s="2801"/>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218</v>
      </c>
      <c r="C78" s="926" t="s">
        <v>1261</v>
      </c>
      <c r="D78" s="926" t="s">
        <v>1262</v>
      </c>
      <c r="E78" s="926" t="s">
        <v>1263</v>
      </c>
      <c r="F78" s="926" t="s">
        <v>1264</v>
      </c>
      <c r="G78" s="926" t="s">
        <v>1265</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183</v>
      </c>
      <c r="C88" s="122" t="s">
        <v>246</v>
      </c>
      <c r="D88" s="122" t="s">
        <v>247</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185</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186</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3044</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187</v>
      </c>
      <c r="C104" s="139" t="s">
        <v>157</v>
      </c>
      <c r="D104" s="139" t="s">
        <v>158</v>
      </c>
      <c r="E104" s="139" t="s">
        <v>236</v>
      </c>
      <c r="F104" s="139" t="s">
        <v>248</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245</v>
      </c>
      <c r="C106" s="926" t="s">
        <v>1261</v>
      </c>
      <c r="D106" s="926" t="s">
        <v>1262</v>
      </c>
      <c r="E106" s="926" t="s">
        <v>1263</v>
      </c>
      <c r="F106" s="926" t="s">
        <v>1264</v>
      </c>
      <c r="G106" s="926" t="s">
        <v>1265</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49"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63" t="s">
        <v>635</v>
      </c>
      <c r="C1" s="3164" t="s">
        <v>636</v>
      </c>
      <c r="D1" s="3165" t="s">
        <v>637</v>
      </c>
      <c r="E1" s="3166"/>
      <c r="F1" s="3147" t="s">
        <v>3103</v>
      </c>
      <c r="G1" s="3167" t="s">
        <v>638</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6" customFormat="1" ht="28.5" customHeight="1" thickTop="1">
      <c r="A2" s="3161" t="s">
        <v>639</v>
      </c>
      <c r="B2" s="2883" t="e">
        <f ca="1">IF(C2="——",IF(B37="元/平方米",ROUND(B3*D3/10000,0),ROUND(F3*C39/10000,0)),IF(B37="元/平方米",ROUND(B3*D3/10000,0),ROUND(F3*C39/10000,0))-D2)</f>
        <v>#DIV/0!</v>
      </c>
      <c r="C2" s="3139" t="s">
        <v>3105</v>
      </c>
      <c r="D2" s="2369" t="e">
        <f ca="1">SUMIF(INDIRECT("'"&amp;F2&amp;"'"&amp;"!A:A"),"承租人权益价值",INDIRECT("'"&amp;F2&amp;"'"&amp;"!c:c"))</f>
        <v>#N/A</v>
      </c>
      <c r="E2" s="3140" t="s">
        <v>1109</v>
      </c>
      <c r="F2" s="3141" t="s">
        <v>3077</v>
      </c>
      <c r="G2" s="2370"/>
      <c r="H2" s="2370"/>
      <c r="I2" s="2370"/>
      <c r="J2" s="2370"/>
      <c r="K2" s="2372"/>
      <c r="L2" s="2373"/>
      <c r="M2" s="2374"/>
      <c r="N2" s="2374"/>
      <c r="O2" s="2374"/>
      <c r="P2" s="2884"/>
      <c r="Q2" s="1322"/>
      <c r="R2" s="1322"/>
      <c r="S2" s="1322"/>
      <c r="T2" s="1322"/>
      <c r="U2" s="1322"/>
      <c r="V2" s="1322"/>
      <c r="W2" s="1322"/>
      <c r="X2" s="1322"/>
      <c r="Y2" s="1322"/>
      <c r="Z2" s="1322"/>
      <c r="AA2" s="1322"/>
      <c r="AB2" s="1322"/>
      <c r="AC2" s="1323"/>
    </row>
    <row r="3" spans="1:29" s="746" customFormat="1" ht="28.5" customHeight="1" thickBot="1">
      <c r="A3" s="584" t="s">
        <v>640</v>
      </c>
      <c r="B3" s="957" t="e">
        <f ca="1">IF(B37="元/平方米",C39,ROUND(B2*10000/D3,0))</f>
        <v>#DIV/0!</v>
      </c>
      <c r="C3" s="748" t="s">
        <v>641</v>
      </c>
      <c r="D3" s="747">
        <f>SUMIF('数据-汇总表'!$C19:$C33,D1,'数据-汇总表'!$E19:$E33)</f>
        <v>0</v>
      </c>
      <c r="E3" s="748" t="s">
        <v>2505</v>
      </c>
      <c r="F3" s="747">
        <f>SUMIF('数据-取费表'!A5:A15,D1,'数据-取费表'!AH5:AH15)</f>
        <v>0</v>
      </c>
      <c r="G3" s="2370"/>
      <c r="H3" s="2370"/>
      <c r="I3" s="2370"/>
      <c r="J3" s="2370"/>
      <c r="K3" s="2372"/>
      <c r="L3" s="2373"/>
      <c r="M3" s="2374"/>
      <c r="N3" s="2374"/>
      <c r="O3" s="2374"/>
      <c r="P3" s="2884"/>
      <c r="Q3" s="1322"/>
      <c r="R3" s="1322"/>
      <c r="S3" s="1322"/>
      <c r="T3" s="1322"/>
      <c r="U3" s="1322"/>
      <c r="V3" s="1322"/>
      <c r="W3" s="1322"/>
      <c r="X3" s="1322"/>
      <c r="Y3" s="1322"/>
      <c r="Z3" s="1322"/>
      <c r="AA3" s="1322"/>
      <c r="AB3" s="1415"/>
      <c r="AC3" s="1405"/>
    </row>
    <row r="4" spans="1:29" ht="15">
      <c r="A4" s="749" t="s">
        <v>642</v>
      </c>
      <c r="B4" s="750"/>
      <c r="C4" s="3559" t="s">
        <v>643</v>
      </c>
      <c r="D4" s="3560"/>
      <c r="E4" s="3561" t="s">
        <v>644</v>
      </c>
      <c r="F4" s="3562"/>
      <c r="G4" s="3559" t="s">
        <v>645</v>
      </c>
      <c r="H4" s="3560"/>
      <c r="I4" s="3559" t="s">
        <v>646</v>
      </c>
      <c r="J4" s="3560"/>
      <c r="K4" s="958" t="s">
        <v>647</v>
      </c>
      <c r="L4" s="2375"/>
      <c r="M4" s="2376"/>
      <c r="N4" s="2376"/>
      <c r="O4" s="2376"/>
      <c r="P4" s="3563" t="s">
        <v>648</v>
      </c>
      <c r="Q4" s="3564"/>
      <c r="R4" s="3569" t="s">
        <v>644</v>
      </c>
      <c r="S4" s="3570"/>
      <c r="T4" s="3569" t="s">
        <v>645</v>
      </c>
      <c r="U4" s="3570"/>
      <c r="V4" s="3555" t="s">
        <v>646</v>
      </c>
      <c r="W4" s="3555"/>
      <c r="X4" s="2869"/>
      <c r="Y4" s="3569" t="s">
        <v>648</v>
      </c>
      <c r="Z4" s="3570"/>
      <c r="AA4" s="3556" t="s">
        <v>644</v>
      </c>
      <c r="AB4" s="3557" t="s">
        <v>645</v>
      </c>
      <c r="AC4" s="3556" t="s">
        <v>646</v>
      </c>
    </row>
    <row r="5" spans="1:29" ht="15">
      <c r="A5" s="752"/>
      <c r="B5" s="753"/>
      <c r="C5" s="3691" t="s">
        <v>566</v>
      </c>
      <c r="D5" s="3692"/>
      <c r="E5" s="3695" t="s">
        <v>567</v>
      </c>
      <c r="F5" s="3696"/>
      <c r="G5" s="3691" t="s">
        <v>568</v>
      </c>
      <c r="H5" s="3692"/>
      <c r="I5" s="3691" t="s">
        <v>569</v>
      </c>
      <c r="J5" s="3692"/>
      <c r="K5" s="958"/>
      <c r="L5" s="2375"/>
      <c r="M5" s="2376"/>
      <c r="N5" s="2376"/>
      <c r="O5" s="2376"/>
      <c r="P5" s="3565"/>
      <c r="Q5" s="3566"/>
      <c r="R5" s="3571"/>
      <c r="S5" s="3572"/>
      <c r="T5" s="3571"/>
      <c r="U5" s="3572"/>
      <c r="V5" s="3555"/>
      <c r="W5" s="3555"/>
      <c r="X5" s="2869"/>
      <c r="Y5" s="3571"/>
      <c r="Z5" s="3572"/>
      <c r="AA5" s="3557"/>
      <c r="AB5" s="3557"/>
      <c r="AC5" s="3557"/>
    </row>
    <row r="6" spans="1:29" ht="15.75" thickBot="1">
      <c r="A6" s="754"/>
      <c r="B6" s="755"/>
      <c r="C6" s="3689" t="s">
        <v>570</v>
      </c>
      <c r="D6" s="3690"/>
      <c r="E6" s="3693" t="s">
        <v>570</v>
      </c>
      <c r="F6" s="3694"/>
      <c r="G6" s="3689" t="s">
        <v>570</v>
      </c>
      <c r="H6" s="3690"/>
      <c r="I6" s="3689" t="s">
        <v>570</v>
      </c>
      <c r="J6" s="3690"/>
      <c r="K6" s="958" t="s">
        <v>571</v>
      </c>
      <c r="L6" s="2375"/>
      <c r="M6" s="2376"/>
      <c r="N6" s="2376"/>
      <c r="O6" s="2376"/>
      <c r="P6" s="3567"/>
      <c r="Q6" s="3568"/>
      <c r="R6" s="3571"/>
      <c r="S6" s="3572"/>
      <c r="T6" s="3573"/>
      <c r="U6" s="3574"/>
      <c r="V6" s="3555"/>
      <c r="W6" s="3555"/>
      <c r="X6" s="2869"/>
      <c r="Y6" s="3573"/>
      <c r="Z6" s="3574"/>
      <c r="AA6" s="3558"/>
      <c r="AB6" s="3558"/>
      <c r="AC6" s="3558"/>
    </row>
    <row r="7" spans="1:29" s="413" customFormat="1" ht="15.75" thickBot="1">
      <c r="A7" s="756" t="s">
        <v>572</v>
      </c>
      <c r="B7" s="757"/>
      <c r="C7" s="758">
        <f>'数据-取费表'!B2</f>
        <v>42930</v>
      </c>
      <c r="D7" s="759">
        <v>100</v>
      </c>
      <c r="E7" s="760">
        <v>42007</v>
      </c>
      <c r="F7" s="761">
        <f>SUMIF(48:48,YEAR(E7)&amp;"-"&amp;MONTH(E7),49:49)</f>
        <v>0</v>
      </c>
      <c r="G7" s="762">
        <v>41918</v>
      </c>
      <c r="H7" s="759">
        <f>SUMIF(48:48,YEAR(G7)&amp;"-"&amp;MONTH(G7),49:49)</f>
        <v>0</v>
      </c>
      <c r="I7" s="762">
        <v>42003</v>
      </c>
      <c r="J7" s="759">
        <f>SUMIF(48:48,YEAR(I7)&amp;"-"&amp;MONTH(I7),49:49)</f>
        <v>0</v>
      </c>
      <c r="K7" s="959"/>
      <c r="L7" s="2377"/>
      <c r="M7" s="2378"/>
      <c r="N7" s="2378"/>
      <c r="O7" s="2378"/>
      <c r="P7" s="3577" t="s">
        <v>573</v>
      </c>
      <c r="Q7" s="3579"/>
      <c r="R7" s="1325" t="s">
        <v>70</v>
      </c>
      <c r="S7" s="1326">
        <f t="shared" ref="S7:S14" si="0">F7</f>
        <v>0</v>
      </c>
      <c r="T7" s="1325" t="s">
        <v>70</v>
      </c>
      <c r="U7" s="1326">
        <f t="shared" ref="U7:U14" si="1">H7</f>
        <v>0</v>
      </c>
      <c r="V7" s="1325" t="s">
        <v>70</v>
      </c>
      <c r="W7" s="1326">
        <f t="shared" ref="W7:W14" si="2">J7</f>
        <v>0</v>
      </c>
      <c r="X7" s="1327"/>
      <c r="Y7" s="3577" t="s">
        <v>573</v>
      </c>
      <c r="Z7" s="3578"/>
      <c r="AA7" s="1328" t="e">
        <f>D7/F7</f>
        <v>#DIV/0!</v>
      </c>
      <c r="AB7" s="1328" t="e">
        <f>D7/H7</f>
        <v>#DIV/0!</v>
      </c>
      <c r="AC7" s="1328" t="e">
        <f>D7/J7</f>
        <v>#DIV/0!</v>
      </c>
    </row>
    <row r="8" spans="1:29" s="413" customFormat="1" ht="15.75" thickBot="1">
      <c r="A8" s="756" t="s">
        <v>574</v>
      </c>
      <c r="B8" s="757"/>
      <c r="C8" s="763" t="s">
        <v>595</v>
      </c>
      <c r="D8" s="759">
        <v>100</v>
      </c>
      <c r="E8" s="763" t="s">
        <v>595</v>
      </c>
      <c r="F8" s="761">
        <f>SUMIF(51:51,E8,52:52)-SUMIF(51:51,C8,52:52)+100</f>
        <v>100</v>
      </c>
      <c r="G8" s="763" t="s">
        <v>595</v>
      </c>
      <c r="H8" s="759">
        <f>SUMIF(51:51,G8,52:52)-SUMIF(51:51,C8,52:52)+100</f>
        <v>100</v>
      </c>
      <c r="I8" s="763" t="s">
        <v>595</v>
      </c>
      <c r="J8" s="759">
        <f>SUMIF(51:51,I8,52:52)-SUMIF(51:51,C8,52:52)+100</f>
        <v>100</v>
      </c>
      <c r="K8" s="959"/>
      <c r="L8" s="2377"/>
      <c r="M8" s="2378"/>
      <c r="N8" s="2378"/>
      <c r="O8" s="2378"/>
      <c r="P8" s="3577" t="s">
        <v>616</v>
      </c>
      <c r="Q8" s="3578"/>
      <c r="R8" s="1325" t="s">
        <v>70</v>
      </c>
      <c r="S8" s="1326">
        <f t="shared" si="0"/>
        <v>100</v>
      </c>
      <c r="T8" s="1325" t="s">
        <v>70</v>
      </c>
      <c r="U8" s="1326">
        <f t="shared" si="1"/>
        <v>100</v>
      </c>
      <c r="V8" s="1325" t="s">
        <v>70</v>
      </c>
      <c r="W8" s="1326">
        <f t="shared" si="2"/>
        <v>100</v>
      </c>
      <c r="X8" s="1327"/>
      <c r="Y8" s="3577" t="s">
        <v>616</v>
      </c>
      <c r="Z8" s="3578"/>
      <c r="AA8" s="1328">
        <f t="shared" ref="AA8:AA36" si="3">D8/F8</f>
        <v>1</v>
      </c>
      <c r="AB8" s="1328">
        <f t="shared" ref="AB8:AB36" si="4">D8/H8</f>
        <v>1</v>
      </c>
      <c r="AC8" s="1328">
        <f t="shared" ref="AC8:AC36" si="5">D8/J8</f>
        <v>1</v>
      </c>
    </row>
    <row r="9" spans="1:29" s="413" customFormat="1">
      <c r="A9" s="364" t="s">
        <v>575</v>
      </c>
      <c r="B9" s="988" t="s">
        <v>598</v>
      </c>
      <c r="C9" s="765" t="s">
        <v>649</v>
      </c>
      <c r="D9" s="430">
        <v>100</v>
      </c>
      <c r="E9" s="768" t="s">
        <v>650</v>
      </c>
      <c r="F9" s="430">
        <f>SUMIF(53:53,E9,54:54)-SUMIF(53:53,C9,54:54)+100</f>
        <v>100</v>
      </c>
      <c r="G9" s="766" t="s">
        <v>650</v>
      </c>
      <c r="H9" s="430">
        <f>SUMIF(53:53,G9,54:54)-SUMIF(53:53,C9,54:54)+100</f>
        <v>100</v>
      </c>
      <c r="I9" s="766" t="s">
        <v>650</v>
      </c>
      <c r="J9" s="430">
        <f>SUMIF(53:53,I9,54:54)-SUMIF(53:53,C9,54:54)+100</f>
        <v>100</v>
      </c>
      <c r="K9" s="959"/>
      <c r="L9" s="2377"/>
      <c r="M9" s="2378"/>
      <c r="N9" s="2378"/>
      <c r="O9" s="2378"/>
      <c r="P9" s="3550" t="s">
        <v>576</v>
      </c>
      <c r="Q9" s="2868" t="str">
        <f t="shared" ref="Q9:Q14" si="6">B9</f>
        <v>用途</v>
      </c>
      <c r="R9" s="1325" t="s">
        <v>70</v>
      </c>
      <c r="S9" s="1326">
        <f t="shared" si="0"/>
        <v>100</v>
      </c>
      <c r="T9" s="1325" t="s">
        <v>70</v>
      </c>
      <c r="U9" s="1326">
        <f t="shared" si="1"/>
        <v>100</v>
      </c>
      <c r="V9" s="1325" t="s">
        <v>70</v>
      </c>
      <c r="W9" s="1326">
        <f t="shared" si="2"/>
        <v>100</v>
      </c>
      <c r="X9" s="1327"/>
      <c r="Y9" s="3445" t="s">
        <v>577</v>
      </c>
      <c r="Z9" s="350" t="str">
        <f t="shared" ref="Z9:Z14" si="7">Q9</f>
        <v>用途</v>
      </c>
      <c r="AA9" s="1328">
        <f t="shared" si="3"/>
        <v>1</v>
      </c>
      <c r="AB9" s="1328">
        <f t="shared" si="4"/>
        <v>1</v>
      </c>
      <c r="AC9" s="1328">
        <f t="shared" si="5"/>
        <v>1</v>
      </c>
    </row>
    <row r="10" spans="1:29" s="776" customFormat="1" ht="27">
      <c r="A10" s="989"/>
      <c r="B10" s="990" t="s">
        <v>578</v>
      </c>
      <c r="C10" s="772" t="s">
        <v>629</v>
      </c>
      <c r="D10" s="431">
        <v>100</v>
      </c>
      <c r="E10" s="772" t="s">
        <v>617</v>
      </c>
      <c r="F10" s="431">
        <f>SUMIF(55:55,E10,56:56)-SUMIF(55:55,C10,56:56)+100</f>
        <v>97</v>
      </c>
      <c r="G10" s="773" t="s">
        <v>618</v>
      </c>
      <c r="H10" s="431">
        <f>SUMIF(55:55,G10,56:56)-SUMIF(55:55,C10,56:56)+100</f>
        <v>94</v>
      </c>
      <c r="I10" s="772" t="s">
        <v>619</v>
      </c>
      <c r="J10" s="431">
        <f>SUMIF(55:55,I10,56:56)-SUMIF(55:55,C10,56:56)+100</f>
        <v>91</v>
      </c>
      <c r="K10" s="960">
        <v>3</v>
      </c>
      <c r="L10" s="2380"/>
      <c r="M10" s="2381"/>
      <c r="N10" s="2381"/>
      <c r="O10" s="2381"/>
      <c r="P10" s="3550"/>
      <c r="Q10" s="2868" t="str">
        <f t="shared" si="6"/>
        <v>土地使用年限（年）</v>
      </c>
      <c r="R10" s="1325" t="s">
        <v>70</v>
      </c>
      <c r="S10" s="1326">
        <f t="shared" si="0"/>
        <v>97</v>
      </c>
      <c r="T10" s="1325" t="s">
        <v>70</v>
      </c>
      <c r="U10" s="1326">
        <f t="shared" si="1"/>
        <v>94</v>
      </c>
      <c r="V10" s="1325" t="s">
        <v>70</v>
      </c>
      <c r="W10" s="1326">
        <f t="shared" si="2"/>
        <v>91</v>
      </c>
      <c r="X10" s="1327"/>
      <c r="Y10" s="3445"/>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3"/>
      <c r="M11" s="2376"/>
      <c r="N11" s="2376"/>
      <c r="O11" s="2376"/>
      <c r="P11" s="3550"/>
      <c r="Q11" s="2868">
        <f t="shared" si="6"/>
        <v>111</v>
      </c>
      <c r="R11" s="1325" t="s">
        <v>70</v>
      </c>
      <c r="S11" s="1326">
        <f t="shared" si="0"/>
        <v>99</v>
      </c>
      <c r="T11" s="1325" t="s">
        <v>70</v>
      </c>
      <c r="U11" s="1326">
        <f t="shared" si="1"/>
        <v>98</v>
      </c>
      <c r="V11" s="1325" t="s">
        <v>70</v>
      </c>
      <c r="W11" s="1326">
        <f t="shared" si="2"/>
        <v>97</v>
      </c>
      <c r="X11" s="1327"/>
      <c r="Y11" s="3445"/>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77"/>
      <c r="M12" s="2378"/>
      <c r="N12" s="2378"/>
      <c r="O12" s="2378"/>
      <c r="P12" s="3550"/>
      <c r="Q12" s="2868">
        <f t="shared" si="6"/>
        <v>111</v>
      </c>
      <c r="R12" s="1325" t="s">
        <v>70</v>
      </c>
      <c r="S12" s="1326">
        <f t="shared" si="0"/>
        <v>98</v>
      </c>
      <c r="T12" s="1325" t="s">
        <v>70</v>
      </c>
      <c r="U12" s="1326">
        <f t="shared" si="1"/>
        <v>96</v>
      </c>
      <c r="V12" s="1325" t="s">
        <v>70</v>
      </c>
      <c r="W12" s="1326">
        <f t="shared" si="2"/>
        <v>94</v>
      </c>
      <c r="X12" s="1327"/>
      <c r="Y12" s="3445"/>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5"/>
      <c r="M13" s="2376"/>
      <c r="N13" s="2376"/>
      <c r="O13" s="2376"/>
      <c r="P13" s="3550"/>
      <c r="Q13" s="2868">
        <f t="shared" si="6"/>
        <v>111</v>
      </c>
      <c r="R13" s="1325" t="s">
        <v>70</v>
      </c>
      <c r="S13" s="1326">
        <f t="shared" si="0"/>
        <v>97</v>
      </c>
      <c r="T13" s="1325" t="s">
        <v>70</v>
      </c>
      <c r="U13" s="1326">
        <f t="shared" si="1"/>
        <v>94</v>
      </c>
      <c r="V13" s="1325" t="s">
        <v>70</v>
      </c>
      <c r="W13" s="1326">
        <f t="shared" si="2"/>
        <v>91</v>
      </c>
      <c r="X13" s="1327"/>
      <c r="Y13" s="3445"/>
      <c r="Z13" s="350">
        <f t="shared" si="7"/>
        <v>111</v>
      </c>
      <c r="AA13" s="1328">
        <f t="shared" si="3"/>
        <v>1.0309278350515463</v>
      </c>
      <c r="AB13" s="1328">
        <f t="shared" si="4"/>
        <v>1.0638297872340425</v>
      </c>
      <c r="AC13" s="1328">
        <f t="shared" si="5"/>
        <v>1.098901098901099</v>
      </c>
    </row>
    <row r="14" spans="1:29" ht="94.5">
      <c r="A14" s="749" t="s">
        <v>580</v>
      </c>
      <c r="B14" s="977"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5"/>
      <c r="M14" s="2376"/>
      <c r="N14" s="2376"/>
      <c r="O14" s="2376"/>
      <c r="P14" s="3551" t="s">
        <v>581</v>
      </c>
      <c r="Q14" s="2870" t="str">
        <f t="shared" si="6"/>
        <v>交通便捷度</v>
      </c>
      <c r="R14" s="1330" t="s">
        <v>70</v>
      </c>
      <c r="S14" s="1331">
        <f t="shared" si="0"/>
        <v>100</v>
      </c>
      <c r="T14" s="1330" t="s">
        <v>70</v>
      </c>
      <c r="U14" s="1331">
        <f t="shared" si="1"/>
        <v>100</v>
      </c>
      <c r="V14" s="1330" t="s">
        <v>70</v>
      </c>
      <c r="W14" s="1331">
        <f t="shared" si="2"/>
        <v>100</v>
      </c>
      <c r="X14" s="2869"/>
      <c r="Y14" s="3551" t="s">
        <v>581</v>
      </c>
      <c r="Z14" s="2871" t="str">
        <f t="shared" si="7"/>
        <v>交通便捷度</v>
      </c>
      <c r="AA14" s="1333">
        <f t="shared" si="3"/>
        <v>1</v>
      </c>
      <c r="AB14" s="1333">
        <f t="shared" si="4"/>
        <v>1</v>
      </c>
      <c r="AC14" s="1333">
        <f t="shared" si="5"/>
        <v>1</v>
      </c>
    </row>
    <row r="15" spans="1:29" ht="15">
      <c r="A15" s="752"/>
      <c r="B15" s="995"/>
      <c r="C15" s="97" t="s">
        <v>124</v>
      </c>
      <c r="D15" s="797"/>
      <c r="E15" s="796" t="s">
        <v>582</v>
      </c>
      <c r="F15" s="798"/>
      <c r="G15" s="796" t="s">
        <v>582</v>
      </c>
      <c r="H15" s="799"/>
      <c r="I15" s="796" t="s">
        <v>582</v>
      </c>
      <c r="J15" s="797"/>
      <c r="K15" s="963"/>
      <c r="L15" s="2385"/>
      <c r="M15" s="2376"/>
      <c r="N15" s="2376"/>
      <c r="O15" s="2376"/>
      <c r="P15" s="3552"/>
      <c r="Q15" s="2870"/>
      <c r="R15" s="1330"/>
      <c r="S15" s="1331"/>
      <c r="T15" s="1330"/>
      <c r="U15" s="1331"/>
      <c r="V15" s="1330"/>
      <c r="W15" s="1331"/>
      <c r="X15" s="2869"/>
      <c r="Y15" s="3552"/>
      <c r="Z15" s="2871"/>
      <c r="AA15" s="1333">
        <v>1</v>
      </c>
      <c r="AB15" s="1333">
        <v>1</v>
      </c>
      <c r="AC15" s="1333">
        <v>1</v>
      </c>
    </row>
    <row r="16" spans="1:29" ht="40.5">
      <c r="A16" s="752"/>
      <c r="B16" s="1039" t="s">
        <v>3071</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5"/>
      <c r="M16" s="2376"/>
      <c r="N16" s="2376"/>
      <c r="O16" s="2376"/>
      <c r="P16" s="3552"/>
      <c r="Q16" s="2870" t="str">
        <f>B16</f>
        <v>公共配套设施</v>
      </c>
      <c r="R16" s="1330" t="s">
        <v>70</v>
      </c>
      <c r="S16" s="1331">
        <f>F16</f>
        <v>100</v>
      </c>
      <c r="T16" s="1330" t="s">
        <v>70</v>
      </c>
      <c r="U16" s="1331">
        <f>H16</f>
        <v>100</v>
      </c>
      <c r="V16" s="1330" t="s">
        <v>70</v>
      </c>
      <c r="W16" s="1331">
        <f>J16</f>
        <v>100</v>
      </c>
      <c r="X16" s="2869"/>
      <c r="Y16" s="3552"/>
      <c r="Z16" s="2871" t="str">
        <f>Q16</f>
        <v>公共配套设施</v>
      </c>
      <c r="AA16" s="1333">
        <f t="shared" si="3"/>
        <v>1</v>
      </c>
      <c r="AB16" s="1333">
        <f t="shared" si="4"/>
        <v>1</v>
      </c>
      <c r="AC16" s="1333">
        <f t="shared" si="5"/>
        <v>1</v>
      </c>
    </row>
    <row r="17" spans="1:29" ht="15">
      <c r="A17" s="752"/>
      <c r="B17" s="980"/>
      <c r="C17" s="102" t="s">
        <v>123</v>
      </c>
      <c r="D17" s="797"/>
      <c r="E17" s="796" t="s">
        <v>583</v>
      </c>
      <c r="F17" s="798"/>
      <c r="G17" s="796" t="s">
        <v>583</v>
      </c>
      <c r="H17" s="797"/>
      <c r="I17" s="796" t="s">
        <v>583</v>
      </c>
      <c r="J17" s="797"/>
      <c r="K17" s="963"/>
      <c r="L17" s="2385"/>
      <c r="M17" s="2376"/>
      <c r="N17" s="2376"/>
      <c r="O17" s="2376"/>
      <c r="P17" s="3552"/>
      <c r="Q17" s="2870"/>
      <c r="R17" s="1330"/>
      <c r="S17" s="1331"/>
      <c r="T17" s="1330"/>
      <c r="U17" s="1331"/>
      <c r="V17" s="1330"/>
      <c r="W17" s="1331"/>
      <c r="X17" s="2869"/>
      <c r="Y17" s="3552"/>
      <c r="Z17" s="2871"/>
      <c r="AA17" s="1333">
        <v>1</v>
      </c>
      <c r="AB17" s="1333">
        <v>1</v>
      </c>
      <c r="AC17" s="1333">
        <v>1</v>
      </c>
    </row>
    <row r="18" spans="1:29" ht="40.5">
      <c r="A18" s="752"/>
      <c r="B18" s="1041" t="s">
        <v>3070</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5"/>
      <c r="M18" s="2376"/>
      <c r="N18" s="2376"/>
      <c r="O18" s="2376"/>
      <c r="P18" s="3552"/>
      <c r="Q18" s="2870" t="str">
        <f>B18</f>
        <v>基础设施水平</v>
      </c>
      <c r="R18" s="1330" t="s">
        <v>70</v>
      </c>
      <c r="S18" s="1331">
        <f>F18</f>
        <v>99</v>
      </c>
      <c r="T18" s="1330" t="s">
        <v>70</v>
      </c>
      <c r="U18" s="1331">
        <f>H18</f>
        <v>98</v>
      </c>
      <c r="V18" s="1330" t="s">
        <v>70</v>
      </c>
      <c r="W18" s="1331">
        <f>J18</f>
        <v>97</v>
      </c>
      <c r="X18" s="2869"/>
      <c r="Y18" s="3552"/>
      <c r="Z18" s="2871"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258</v>
      </c>
      <c r="J19" s="797"/>
      <c r="K19" s="2803"/>
      <c r="L19" s="2385"/>
      <c r="M19" s="2376"/>
      <c r="N19" s="2376"/>
      <c r="O19" s="2376"/>
      <c r="P19" s="3552"/>
      <c r="Q19" s="2870"/>
      <c r="R19" s="1330"/>
      <c r="S19" s="1331"/>
      <c r="T19" s="1330"/>
      <c r="U19" s="1331"/>
      <c r="V19" s="1330"/>
      <c r="W19" s="1331"/>
      <c r="X19" s="2869"/>
      <c r="Y19" s="3552"/>
      <c r="Z19" s="2871"/>
      <c r="AA19" s="1333">
        <v>1</v>
      </c>
      <c r="AB19" s="1333">
        <v>1</v>
      </c>
      <c r="AC19" s="1333">
        <v>1</v>
      </c>
    </row>
    <row r="20" spans="1:29" ht="54">
      <c r="A20" s="752"/>
      <c r="B20" s="979"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5"/>
      <c r="M20" s="2376"/>
      <c r="N20" s="2376"/>
      <c r="O20" s="2376"/>
      <c r="P20" s="3552"/>
      <c r="Q20" s="2870" t="str">
        <f>B20</f>
        <v>自然及人文环境</v>
      </c>
      <c r="R20" s="1330" t="s">
        <v>70</v>
      </c>
      <c r="S20" s="1331">
        <f>F20</f>
        <v>100</v>
      </c>
      <c r="T20" s="1330" t="s">
        <v>70</v>
      </c>
      <c r="U20" s="1331">
        <f>H20</f>
        <v>100</v>
      </c>
      <c r="V20" s="1330" t="s">
        <v>70</v>
      </c>
      <c r="W20" s="1331">
        <f>J20</f>
        <v>100</v>
      </c>
      <c r="X20" s="2869"/>
      <c r="Y20" s="3552"/>
      <c r="Z20" s="2871" t="str">
        <f>Q20</f>
        <v>自然及人文环境</v>
      </c>
      <c r="AA20" s="1333">
        <f t="shared" si="3"/>
        <v>1</v>
      </c>
      <c r="AB20" s="1333">
        <f t="shared" si="4"/>
        <v>1</v>
      </c>
      <c r="AC20" s="1333">
        <f t="shared" si="5"/>
        <v>1</v>
      </c>
    </row>
    <row r="21" spans="1:29" ht="15">
      <c r="A21" s="752"/>
      <c r="B21" s="980"/>
      <c r="C21" s="796" t="s">
        <v>582</v>
      </c>
      <c r="D21" s="797"/>
      <c r="E21" s="796" t="s">
        <v>582</v>
      </c>
      <c r="F21" s="798"/>
      <c r="G21" s="796" t="s">
        <v>582</v>
      </c>
      <c r="H21" s="797"/>
      <c r="I21" s="796" t="s">
        <v>582</v>
      </c>
      <c r="J21" s="797"/>
      <c r="K21" s="963"/>
      <c r="L21" s="2385"/>
      <c r="M21" s="2376"/>
      <c r="N21" s="2376"/>
      <c r="O21" s="2376"/>
      <c r="P21" s="3552"/>
      <c r="Q21" s="2870"/>
      <c r="R21" s="1330"/>
      <c r="S21" s="1331"/>
      <c r="T21" s="1330"/>
      <c r="U21" s="1331"/>
      <c r="V21" s="1330"/>
      <c r="W21" s="1331"/>
      <c r="X21" s="2869"/>
      <c r="Y21" s="3552"/>
      <c r="Z21" s="2871"/>
      <c r="AA21" s="1333">
        <v>1</v>
      </c>
      <c r="AB21" s="1333">
        <v>1</v>
      </c>
      <c r="AC21" s="1333">
        <v>1</v>
      </c>
    </row>
    <row r="22" spans="1:29" ht="15">
      <c r="A22" s="752"/>
      <c r="B22" s="979" t="s">
        <v>653</v>
      </c>
      <c r="C22" s="964" t="s">
        <v>624</v>
      </c>
      <c r="D22" s="799">
        <v>100</v>
      </c>
      <c r="E22" s="964" t="s">
        <v>654</v>
      </c>
      <c r="F22" s="810">
        <f>SUMIF(71:71,E22,72:72)-SUMIF(71:71,C22,72:72)+100</f>
        <v>98</v>
      </c>
      <c r="G22" s="964" t="s">
        <v>654</v>
      </c>
      <c r="H22" s="784">
        <f>SUMIF(71:71,G22,72:72)-SUMIF(71:71,C22,72:72)+100</f>
        <v>98</v>
      </c>
      <c r="I22" s="964" t="s">
        <v>624</v>
      </c>
      <c r="J22" s="784">
        <f>SUMIF(71:71,I22,72:72)-SUMIF(71:71,C22,72:72)+100</f>
        <v>100</v>
      </c>
      <c r="K22" s="960">
        <v>2</v>
      </c>
      <c r="L22" s="2385"/>
      <c r="M22" s="2376"/>
      <c r="N22" s="2376"/>
      <c r="O22" s="2376"/>
      <c r="P22" s="3552"/>
      <c r="Q22" s="2870" t="str">
        <f>B22</f>
        <v>楼层</v>
      </c>
      <c r="R22" s="1330" t="s">
        <v>70</v>
      </c>
      <c r="S22" s="1331">
        <f>F22</f>
        <v>98</v>
      </c>
      <c r="T22" s="1330" t="s">
        <v>70</v>
      </c>
      <c r="U22" s="1331">
        <f>H22</f>
        <v>98</v>
      </c>
      <c r="V22" s="1330" t="s">
        <v>70</v>
      </c>
      <c r="W22" s="1331">
        <f>J22</f>
        <v>100</v>
      </c>
      <c r="X22" s="2869"/>
      <c r="Y22" s="3552"/>
      <c r="Z22" s="2871"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5"/>
      <c r="M23" s="2376"/>
      <c r="N23" s="2376"/>
      <c r="O23" s="2376"/>
      <c r="P23" s="3552"/>
      <c r="Q23" s="2870">
        <f>B23</f>
        <v>111</v>
      </c>
      <c r="R23" s="1330" t="s">
        <v>70</v>
      </c>
      <c r="S23" s="1331">
        <f>F23</f>
        <v>99</v>
      </c>
      <c r="T23" s="1330" t="s">
        <v>70</v>
      </c>
      <c r="U23" s="1331">
        <f>H23</f>
        <v>98</v>
      </c>
      <c r="V23" s="1330" t="s">
        <v>70</v>
      </c>
      <c r="W23" s="1331">
        <f>J23</f>
        <v>97</v>
      </c>
      <c r="X23" s="2869"/>
      <c r="Y23" s="3552"/>
      <c r="Z23" s="2871">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5"/>
      <c r="M24" s="2376"/>
      <c r="N24" s="2376"/>
      <c r="O24" s="2376"/>
      <c r="P24" s="3552"/>
      <c r="Q24" s="2870">
        <f t="shared" ref="Q24:Q36" si="11">B24</f>
        <v>111</v>
      </c>
      <c r="R24" s="1330" t="s">
        <v>70</v>
      </c>
      <c r="S24" s="1331">
        <f>F24</f>
        <v>98</v>
      </c>
      <c r="T24" s="1330" t="s">
        <v>70</v>
      </c>
      <c r="U24" s="1331">
        <f>H24</f>
        <v>96</v>
      </c>
      <c r="V24" s="1330" t="s">
        <v>70</v>
      </c>
      <c r="W24" s="1331">
        <f>J24</f>
        <v>94</v>
      </c>
      <c r="X24" s="2869"/>
      <c r="Y24" s="3552"/>
      <c r="Z24" s="2871">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77"/>
      <c r="M25" s="2378"/>
      <c r="N25" s="2378"/>
      <c r="O25" s="2378"/>
      <c r="P25" s="3552"/>
      <c r="Q25" s="2868">
        <f t="shared" si="11"/>
        <v>111</v>
      </c>
      <c r="R25" s="1325" t="s">
        <v>70</v>
      </c>
      <c r="S25" s="1326">
        <f>F25</f>
        <v>97</v>
      </c>
      <c r="T25" s="1325" t="s">
        <v>70</v>
      </c>
      <c r="U25" s="1326">
        <f>H25</f>
        <v>94</v>
      </c>
      <c r="V25" s="1325" t="s">
        <v>70</v>
      </c>
      <c r="W25" s="1326">
        <f>J25</f>
        <v>91</v>
      </c>
      <c r="X25" s="1327"/>
      <c r="Y25" s="3552"/>
      <c r="Z25" s="350">
        <f>Q25</f>
        <v>111</v>
      </c>
      <c r="AA25" s="1333">
        <f>D25/F25</f>
        <v>1.0309278350515463</v>
      </c>
      <c r="AB25" s="1333">
        <f>D25/H25</f>
        <v>1.0638297872340425</v>
      </c>
      <c r="AC25" s="1333">
        <f>D25/J25</f>
        <v>1.098901098901099</v>
      </c>
    </row>
    <row r="26" spans="1:29" ht="15">
      <c r="A26" s="1000" t="s">
        <v>585</v>
      </c>
      <c r="B26" s="366" t="s">
        <v>655</v>
      </c>
      <c r="C26" s="2804"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0">
        <v>3</v>
      </c>
      <c r="L26" s="2385"/>
      <c r="M26" s="2376"/>
      <c r="N26" s="2376"/>
      <c r="O26" s="2376"/>
      <c r="P26" s="3553" t="s">
        <v>586</v>
      </c>
      <c r="Q26" s="2870" t="str">
        <f t="shared" si="11"/>
        <v>配套类型</v>
      </c>
      <c r="R26" s="1330" t="s">
        <v>70</v>
      </c>
      <c r="S26" s="1331">
        <f t="shared" ref="S26:S36" si="12">F26</f>
        <v>97</v>
      </c>
      <c r="T26" s="1330" t="s">
        <v>70</v>
      </c>
      <c r="U26" s="1331">
        <f t="shared" ref="U26:U36" si="13">H26</f>
        <v>94</v>
      </c>
      <c r="V26" s="1330" t="s">
        <v>70</v>
      </c>
      <c r="W26" s="1331">
        <f t="shared" ref="W26:W36" si="14">J26</f>
        <v>100</v>
      </c>
      <c r="X26" s="2869"/>
      <c r="Y26" s="3554" t="s">
        <v>586</v>
      </c>
      <c r="Z26" s="2871" t="str">
        <f t="shared" ref="Z26:Z36" si="15">Q26</f>
        <v>配套类型</v>
      </c>
      <c r="AA26" s="1333">
        <f t="shared" si="3"/>
        <v>1.0309278350515463</v>
      </c>
      <c r="AB26" s="1333">
        <f t="shared" si="4"/>
        <v>1.0638297872340425</v>
      </c>
      <c r="AC26" s="1333">
        <f t="shared" si="5"/>
        <v>1</v>
      </c>
    </row>
    <row r="27" spans="1:29" s="819" customFormat="1" ht="15">
      <c r="A27" s="1001"/>
      <c r="B27" s="1002" t="s">
        <v>659</v>
      </c>
      <c r="C27" s="1003" t="s">
        <v>308</v>
      </c>
      <c r="D27" s="431">
        <v>100</v>
      </c>
      <c r="E27" s="1003" t="s">
        <v>660</v>
      </c>
      <c r="F27" s="810">
        <f>SUMIF(81:81,E27,82:82)-SUMIF(81:81,C27,82:82)+100</f>
        <v>102</v>
      </c>
      <c r="G27" s="1003" t="s">
        <v>661</v>
      </c>
      <c r="H27" s="784">
        <f>SUMIF(81:81,G27,82:82)-SUMIF(81:81,C27,82:82)+100</f>
        <v>104</v>
      </c>
      <c r="I27" s="1003" t="s">
        <v>309</v>
      </c>
      <c r="J27" s="784">
        <f>SUMIF(81:81,I27,82:82)-SUMIF(81:81,C27,82:82)+100</f>
        <v>106</v>
      </c>
      <c r="K27" s="961"/>
      <c r="L27" s="2383"/>
      <c r="M27" s="2386"/>
      <c r="N27" s="2386"/>
      <c r="O27" s="2386"/>
      <c r="P27" s="3554"/>
      <c r="Q27" s="1334" t="str">
        <f t="shared" si="11"/>
        <v>项目停车位配比</v>
      </c>
      <c r="R27" s="1335" t="s">
        <v>70</v>
      </c>
      <c r="S27" s="1336">
        <f t="shared" si="12"/>
        <v>102</v>
      </c>
      <c r="T27" s="1335" t="s">
        <v>70</v>
      </c>
      <c r="U27" s="1336">
        <f t="shared" si="13"/>
        <v>104</v>
      </c>
      <c r="V27" s="1335" t="s">
        <v>70</v>
      </c>
      <c r="W27" s="1336">
        <f t="shared" si="14"/>
        <v>106</v>
      </c>
      <c r="X27" s="1337"/>
      <c r="Y27" s="3554"/>
      <c r="Z27" s="1338" t="str">
        <f t="shared" si="15"/>
        <v>项目停车位配比</v>
      </c>
      <c r="AA27" s="1333">
        <f t="shared" si="3"/>
        <v>0.98039215686274506</v>
      </c>
      <c r="AB27" s="1333">
        <f t="shared" si="4"/>
        <v>0.96153846153846156</v>
      </c>
      <c r="AC27" s="1333">
        <f t="shared" si="5"/>
        <v>0.94339622641509435</v>
      </c>
    </row>
    <row r="28" spans="1:29" ht="15">
      <c r="A28" s="1004"/>
      <c r="B28" s="1002" t="s">
        <v>662</v>
      </c>
      <c r="C28" s="809" t="s">
        <v>625</v>
      </c>
      <c r="D28" s="784">
        <v>100</v>
      </c>
      <c r="E28" s="809" t="s">
        <v>625</v>
      </c>
      <c r="F28" s="810">
        <f>SUMIF(83:83,E28,84:84)-SUMIF(83:83,C28,84:84)+100</f>
        <v>100</v>
      </c>
      <c r="G28" s="809" t="s">
        <v>633</v>
      </c>
      <c r="H28" s="784">
        <f>SUMIF(83:83,G28,84:84)-SUMIF(83:83,C28,84:84)+100</f>
        <v>97</v>
      </c>
      <c r="I28" s="809" t="s">
        <v>625</v>
      </c>
      <c r="J28" s="784">
        <f>SUMIF(83:83,I28,84:84)-SUMIF(83:83,C28,84:84)+100</f>
        <v>100</v>
      </c>
      <c r="K28" s="960">
        <v>3</v>
      </c>
      <c r="L28" s="2385"/>
      <c r="M28" s="2376"/>
      <c r="N28" s="2376"/>
      <c r="O28" s="2376"/>
      <c r="P28" s="3554"/>
      <c r="Q28" s="2870" t="str">
        <f t="shared" si="11"/>
        <v>公共部分装修</v>
      </c>
      <c r="R28" s="1330" t="s">
        <v>70</v>
      </c>
      <c r="S28" s="1331">
        <f t="shared" si="12"/>
        <v>100</v>
      </c>
      <c r="T28" s="1330" t="s">
        <v>70</v>
      </c>
      <c r="U28" s="1331">
        <f t="shared" si="13"/>
        <v>97</v>
      </c>
      <c r="V28" s="1330" t="s">
        <v>70</v>
      </c>
      <c r="W28" s="1331">
        <f t="shared" si="14"/>
        <v>100</v>
      </c>
      <c r="X28" s="2869"/>
      <c r="Y28" s="3554"/>
      <c r="Z28" s="2871" t="str">
        <f t="shared" si="15"/>
        <v>公共部分装修</v>
      </c>
      <c r="AA28" s="1333">
        <f t="shared" si="3"/>
        <v>1</v>
      </c>
      <c r="AB28" s="1333">
        <f t="shared" si="4"/>
        <v>1.0309278350515463</v>
      </c>
      <c r="AC28" s="1333">
        <f t="shared" si="5"/>
        <v>1</v>
      </c>
    </row>
    <row r="29" spans="1:29" ht="15">
      <c r="A29" s="1004"/>
      <c r="B29" s="1002" t="s">
        <v>663</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5"/>
      <c r="M29" s="2376"/>
      <c r="N29" s="2376"/>
      <c r="O29" s="2376"/>
      <c r="P29" s="3554"/>
      <c r="Q29" s="2870" t="str">
        <f t="shared" si="11"/>
        <v>成新率</v>
      </c>
      <c r="R29" s="1330" t="s">
        <v>70</v>
      </c>
      <c r="S29" s="1331">
        <f t="shared" si="12"/>
        <v>98</v>
      </c>
      <c r="T29" s="1330" t="s">
        <v>70</v>
      </c>
      <c r="U29" s="1331">
        <f t="shared" si="13"/>
        <v>100</v>
      </c>
      <c r="V29" s="1330" t="s">
        <v>70</v>
      </c>
      <c r="W29" s="1331">
        <f t="shared" si="14"/>
        <v>96</v>
      </c>
      <c r="X29" s="2869"/>
      <c r="Y29" s="3554"/>
      <c r="Z29" s="2871" t="str">
        <f t="shared" si="15"/>
        <v>成新率</v>
      </c>
      <c r="AA29" s="1333">
        <f t="shared" si="3"/>
        <v>1.0204081632653061</v>
      </c>
      <c r="AB29" s="1333">
        <f t="shared" si="4"/>
        <v>1</v>
      </c>
      <c r="AC29" s="1333">
        <f t="shared" si="5"/>
        <v>1.0416666666666667</v>
      </c>
    </row>
    <row r="30" spans="1:29" ht="15">
      <c r="A30" s="1004"/>
      <c r="B30" s="1002" t="s">
        <v>664</v>
      </c>
      <c r="C30" s="1005" t="s">
        <v>665</v>
      </c>
      <c r="D30" s="784">
        <v>100</v>
      </c>
      <c r="E30" s="1005" t="s">
        <v>666</v>
      </c>
      <c r="F30" s="810">
        <f>SUMIF(88:88,E30,89:89)-SUMIF(88:88,C30,89:89)+100</f>
        <v>103</v>
      </c>
      <c r="G30" s="1005" t="s">
        <v>667</v>
      </c>
      <c r="H30" s="784">
        <f>SUMIF(88:88,E30,89:89)-SUMIF(88:88,C30,89:89)+100</f>
        <v>103</v>
      </c>
      <c r="I30" s="1005" t="s">
        <v>665</v>
      </c>
      <c r="J30" s="784">
        <f>SUMIF(88:88,E30,89:89)-SUMIF(88:88,C30,89:89)+100</f>
        <v>103</v>
      </c>
      <c r="K30" s="960">
        <v>3</v>
      </c>
      <c r="L30" s="2385"/>
      <c r="M30" s="2376"/>
      <c r="N30" s="2376"/>
      <c r="O30" s="2376"/>
      <c r="P30" s="3554"/>
      <c r="Q30" s="2870" t="str">
        <f t="shared" si="11"/>
        <v>物业等级</v>
      </c>
      <c r="R30" s="1330" t="s">
        <v>70</v>
      </c>
      <c r="S30" s="1331">
        <f t="shared" si="12"/>
        <v>103</v>
      </c>
      <c r="T30" s="1330" t="s">
        <v>70</v>
      </c>
      <c r="U30" s="1331">
        <f t="shared" si="13"/>
        <v>103</v>
      </c>
      <c r="V30" s="1330" t="s">
        <v>70</v>
      </c>
      <c r="W30" s="1331">
        <f t="shared" si="14"/>
        <v>103</v>
      </c>
      <c r="X30" s="2869"/>
      <c r="Y30" s="3554"/>
      <c r="Z30" s="2871" t="str">
        <f t="shared" si="15"/>
        <v>物业等级</v>
      </c>
      <c r="AA30" s="1333">
        <f t="shared" si="3"/>
        <v>0.970873786407767</v>
      </c>
      <c r="AB30" s="1333">
        <f t="shared" si="4"/>
        <v>0.970873786407767</v>
      </c>
      <c r="AC30" s="1333">
        <f t="shared" si="5"/>
        <v>0.970873786407767</v>
      </c>
    </row>
    <row r="31" spans="1:29" s="413" customFormat="1" ht="15">
      <c r="A31" s="1006"/>
      <c r="B31" s="1002" t="s">
        <v>668</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77"/>
      <c r="M31" s="2378"/>
      <c r="N31" s="2378"/>
      <c r="O31" s="2378"/>
      <c r="P31" s="3554"/>
      <c r="Q31" s="2868" t="str">
        <f t="shared" si="11"/>
        <v>停车位面积</v>
      </c>
      <c r="R31" s="1325" t="s">
        <v>70</v>
      </c>
      <c r="S31" s="1326">
        <f t="shared" si="12"/>
        <v>98</v>
      </c>
      <c r="T31" s="1325" t="s">
        <v>70</v>
      </c>
      <c r="U31" s="1326">
        <f t="shared" si="13"/>
        <v>102</v>
      </c>
      <c r="V31" s="1325" t="s">
        <v>70</v>
      </c>
      <c r="W31" s="1326">
        <f t="shared" si="14"/>
        <v>100</v>
      </c>
      <c r="X31" s="1327"/>
      <c r="Y31" s="3554"/>
      <c r="Z31" s="350" t="str">
        <f t="shared" si="15"/>
        <v>停车位面积</v>
      </c>
      <c r="AA31" s="1328">
        <f t="shared" si="3"/>
        <v>1.0204081632653061</v>
      </c>
      <c r="AB31" s="1328">
        <f t="shared" si="4"/>
        <v>0.98039215686274506</v>
      </c>
      <c r="AC31" s="1328">
        <f t="shared" si="5"/>
        <v>1</v>
      </c>
    </row>
    <row r="32" spans="1:29" ht="15">
      <c r="A32" s="1004"/>
      <c r="B32" s="1002"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0">
        <v>5</v>
      </c>
      <c r="L32" s="2385"/>
      <c r="M32" s="2376"/>
      <c r="N32" s="2376"/>
      <c r="O32" s="2376"/>
      <c r="P32" s="3554" t="s">
        <v>586</v>
      </c>
      <c r="Q32" s="2870" t="str">
        <f t="shared" si="11"/>
        <v>车位类型</v>
      </c>
      <c r="R32" s="1330" t="s">
        <v>70</v>
      </c>
      <c r="S32" s="1331">
        <f t="shared" si="12"/>
        <v>100</v>
      </c>
      <c r="T32" s="1330" t="s">
        <v>70</v>
      </c>
      <c r="U32" s="1331">
        <f t="shared" si="13"/>
        <v>100</v>
      </c>
      <c r="V32" s="1330" t="s">
        <v>70</v>
      </c>
      <c r="W32" s="1331">
        <f t="shared" si="14"/>
        <v>95</v>
      </c>
      <c r="X32" s="2869"/>
      <c r="Y32" s="3554" t="s">
        <v>586</v>
      </c>
      <c r="Z32" s="2871" t="str">
        <f t="shared" si="15"/>
        <v>车位类型</v>
      </c>
      <c r="AA32" s="1333">
        <f t="shared" si="3"/>
        <v>1</v>
      </c>
      <c r="AB32" s="1333">
        <f t="shared" si="4"/>
        <v>1</v>
      </c>
      <c r="AC32" s="1333">
        <f t="shared" si="5"/>
        <v>1.0526315789473684</v>
      </c>
    </row>
    <row r="33" spans="1:29" ht="15">
      <c r="A33" s="1004"/>
      <c r="B33" s="1002"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0">
        <v>1</v>
      </c>
      <c r="L33" s="2385"/>
      <c r="M33" s="2376"/>
      <c r="N33" s="2376"/>
      <c r="O33" s="2376"/>
      <c r="P33" s="3554"/>
      <c r="Q33" s="2870" t="str">
        <f t="shared" si="11"/>
        <v>是否直接入户</v>
      </c>
      <c r="R33" s="1330" t="s">
        <v>70</v>
      </c>
      <c r="S33" s="1331">
        <f t="shared" si="12"/>
        <v>99</v>
      </c>
      <c r="T33" s="1330" t="s">
        <v>70</v>
      </c>
      <c r="U33" s="1331">
        <f t="shared" si="13"/>
        <v>100</v>
      </c>
      <c r="V33" s="1330" t="s">
        <v>70</v>
      </c>
      <c r="W33" s="1331">
        <f t="shared" si="14"/>
        <v>99</v>
      </c>
      <c r="X33" s="2869"/>
      <c r="Y33" s="3554"/>
      <c r="Z33" s="2871"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5"/>
      <c r="M34" s="2376"/>
      <c r="N34" s="2376"/>
      <c r="O34" s="2376"/>
      <c r="P34" s="3554"/>
      <c r="Q34" s="2870">
        <f t="shared" si="11"/>
        <v>111</v>
      </c>
      <c r="R34" s="1330" t="s">
        <v>70</v>
      </c>
      <c r="S34" s="1331">
        <f t="shared" si="12"/>
        <v>99</v>
      </c>
      <c r="T34" s="1330" t="s">
        <v>70</v>
      </c>
      <c r="U34" s="1331">
        <f t="shared" si="13"/>
        <v>98</v>
      </c>
      <c r="V34" s="1330" t="s">
        <v>70</v>
      </c>
      <c r="W34" s="1331">
        <f t="shared" si="14"/>
        <v>97</v>
      </c>
      <c r="X34" s="2869"/>
      <c r="Y34" s="3554"/>
      <c r="Z34" s="2871">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3"/>
      <c r="M35" s="2386"/>
      <c r="N35" s="2386"/>
      <c r="O35" s="2386"/>
      <c r="P35" s="3554"/>
      <c r="Q35" s="1334">
        <f t="shared" si="11"/>
        <v>111</v>
      </c>
      <c r="R35" s="1335" t="s">
        <v>70</v>
      </c>
      <c r="S35" s="1336">
        <f t="shared" si="12"/>
        <v>98</v>
      </c>
      <c r="T35" s="1335" t="s">
        <v>70</v>
      </c>
      <c r="U35" s="1336">
        <f t="shared" si="13"/>
        <v>96</v>
      </c>
      <c r="V35" s="1335" t="s">
        <v>70</v>
      </c>
      <c r="W35" s="1336">
        <f t="shared" si="14"/>
        <v>94</v>
      </c>
      <c r="X35" s="1337"/>
      <c r="Y35" s="3554"/>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5"/>
      <c r="M36" s="2376"/>
      <c r="N36" s="2376"/>
      <c r="O36" s="2376"/>
      <c r="P36" s="3554"/>
      <c r="Q36" s="2870">
        <f t="shared" si="11"/>
        <v>111</v>
      </c>
      <c r="R36" s="1330" t="s">
        <v>70</v>
      </c>
      <c r="S36" s="1331">
        <f t="shared" si="12"/>
        <v>97</v>
      </c>
      <c r="T36" s="1330" t="s">
        <v>70</v>
      </c>
      <c r="U36" s="1331">
        <f t="shared" si="13"/>
        <v>94</v>
      </c>
      <c r="V36" s="1330" t="s">
        <v>70</v>
      </c>
      <c r="W36" s="1331">
        <f t="shared" si="14"/>
        <v>91</v>
      </c>
      <c r="X36" s="2869"/>
      <c r="Y36" s="3554"/>
      <c r="Z36" s="2871">
        <f t="shared" si="15"/>
        <v>111</v>
      </c>
      <c r="AA36" s="1333">
        <f t="shared" si="3"/>
        <v>1.0309278350515463</v>
      </c>
      <c r="AB36" s="1333">
        <f t="shared" si="4"/>
        <v>1.0638297872340425</v>
      </c>
      <c r="AC36" s="1333">
        <f t="shared" si="5"/>
        <v>1.098901098901099</v>
      </c>
    </row>
    <row r="37" spans="1:29" ht="15">
      <c r="A37" s="163" t="s">
        <v>2506</v>
      </c>
      <c r="B37" s="2122" t="s">
        <v>2507</v>
      </c>
      <c r="C37" s="2872" t="s">
        <v>23</v>
      </c>
      <c r="D37" s="2873"/>
      <c r="E37" s="2874">
        <v>100000</v>
      </c>
      <c r="F37" s="2875"/>
      <c r="G37" s="2876">
        <v>120000</v>
      </c>
      <c r="H37" s="2877"/>
      <c r="I37" s="2874">
        <v>115000</v>
      </c>
      <c r="J37" s="2877"/>
      <c r="K37" s="967"/>
      <c r="L37" s="2388"/>
      <c r="M37" s="2389"/>
      <c r="N37" s="2376"/>
      <c r="O37" s="2389"/>
      <c r="P37" s="3550" t="str">
        <f>A37</f>
        <v>成交单价</v>
      </c>
      <c r="Q37" s="3550"/>
      <c r="R37" s="3687">
        <f>E37</f>
        <v>100000</v>
      </c>
      <c r="S37" s="3687"/>
      <c r="T37" s="3687">
        <f>G37</f>
        <v>120000</v>
      </c>
      <c r="U37" s="3687"/>
      <c r="V37" s="3687">
        <f>I37</f>
        <v>115000</v>
      </c>
      <c r="W37" s="3687"/>
      <c r="X37" s="1313"/>
      <c r="Y37" s="1339"/>
      <c r="Z37" s="1313"/>
      <c r="AA37" s="1313"/>
      <c r="AB37" s="1313"/>
      <c r="AC37" s="1313"/>
    </row>
    <row r="38" spans="1:29" ht="15.75" thickBot="1">
      <c r="A38" s="834" t="s">
        <v>588</v>
      </c>
      <c r="B38" s="166" t="str">
        <f>B37</f>
        <v>元/车位</v>
      </c>
      <c r="C38" s="2878" t="e">
        <f>R39</f>
        <v>#DIV/0!</v>
      </c>
      <c r="D38" s="2879"/>
      <c r="E38" s="2880" t="e">
        <f>R38</f>
        <v>#DIV/0!</v>
      </c>
      <c r="F38" s="2880"/>
      <c r="G38" s="2878" t="e">
        <f>T38</f>
        <v>#DIV/0!</v>
      </c>
      <c r="H38" s="2879"/>
      <c r="I38" s="2880" t="e">
        <f>V38</f>
        <v>#DIV/0!</v>
      </c>
      <c r="J38" s="2879"/>
      <c r="K38" s="968"/>
      <c r="L38" s="2388"/>
      <c r="M38" s="2389"/>
      <c r="N38" s="2389"/>
      <c r="O38" s="2389"/>
      <c r="P38" s="3550" t="str">
        <f>A38</f>
        <v>比较价值（元/平方米）</v>
      </c>
      <c r="Q38" s="3550"/>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13"/>
      <c r="Y38" s="1313"/>
      <c r="Z38" s="1313"/>
      <c r="AA38" s="1313"/>
      <c r="AB38" s="1313"/>
      <c r="AC38" s="1313"/>
    </row>
    <row r="39" spans="1:29" ht="15.75" thickBot="1">
      <c r="A39" s="840" t="s">
        <v>589</v>
      </c>
      <c r="B39" s="841"/>
      <c r="C39" s="2882" t="e">
        <f>R39</f>
        <v>#DIV/0!</v>
      </c>
      <c r="D39" s="2882"/>
      <c r="E39" s="2882"/>
      <c r="F39" s="2882"/>
      <c r="G39" s="2882"/>
      <c r="H39" s="2882"/>
      <c r="I39" s="2882"/>
      <c r="J39" s="2882"/>
      <c r="K39" s="969"/>
      <c r="L39" s="2388"/>
      <c r="M39" s="2389"/>
      <c r="N39" s="2389"/>
      <c r="O39" s="2389"/>
      <c r="P39" s="3542" t="str">
        <f>A39</f>
        <v>估价对象XX用房的比较价值（楼面单价，元/平方米）</v>
      </c>
      <c r="Q39" s="3543"/>
      <c r="R39" s="3688" t="e">
        <f>IF(F1="售价",ROUND(AVERAGE(R38:V38),0),ROUND(AVERAGE(R38:V38),1))</f>
        <v>#DIV/0!</v>
      </c>
      <c r="S39" s="3688"/>
      <c r="T39" s="3688"/>
      <c r="U39" s="3688"/>
      <c r="V39" s="3688"/>
      <c r="W39" s="3688"/>
      <c r="X39" s="1313"/>
      <c r="Y39" s="1313"/>
      <c r="Z39" s="1313"/>
      <c r="AA39" s="1313"/>
      <c r="AB39" s="1313"/>
      <c r="AC39" s="1313"/>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5" t="s">
        <v>590</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5" t="s">
        <v>591</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50" customFormat="1" ht="13.5" customHeight="1">
      <c r="A44" s="2390"/>
      <c r="B44" s="2390"/>
      <c r="C44" s="845" t="s">
        <v>592</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50"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593</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6" customFormat="1" ht="15">
      <c r="A48" s="853" t="s">
        <v>3203</v>
      </c>
      <c r="B48" s="854"/>
      <c r="C48" s="3082" t="str">
        <f>YEAR(C7)&amp;"-"&amp;MONTH(C7)</f>
        <v>2017-7</v>
      </c>
      <c r="D48" s="3083">
        <f>EDATE(C48,-1)</f>
        <v>42887</v>
      </c>
      <c r="E48" s="3083">
        <f t="shared" ref="E48:O48" si="16">EDATE(D48,-1)</f>
        <v>42856</v>
      </c>
      <c r="F48" s="3083">
        <f t="shared" si="16"/>
        <v>42826</v>
      </c>
      <c r="G48" s="3083">
        <f t="shared" si="16"/>
        <v>42795</v>
      </c>
      <c r="H48" s="3083">
        <f t="shared" si="16"/>
        <v>42767</v>
      </c>
      <c r="I48" s="3083">
        <f t="shared" si="16"/>
        <v>42736</v>
      </c>
      <c r="J48" s="3083">
        <f t="shared" si="16"/>
        <v>42705</v>
      </c>
      <c r="K48" s="3083">
        <f t="shared" si="16"/>
        <v>42675</v>
      </c>
      <c r="L48" s="3083">
        <f t="shared" si="16"/>
        <v>42644</v>
      </c>
      <c r="M48" s="3083">
        <f t="shared" si="16"/>
        <v>42614</v>
      </c>
      <c r="N48" s="3083">
        <f t="shared" si="16"/>
        <v>42583</v>
      </c>
      <c r="O48" s="3083">
        <f t="shared" si="16"/>
        <v>42552</v>
      </c>
      <c r="P48" s="2903"/>
      <c r="Q48" s="2904"/>
      <c r="R48" s="2904"/>
      <c r="S48" s="2904"/>
      <c r="T48" s="2904"/>
      <c r="U48" s="2904"/>
      <c r="V48" s="2904"/>
      <c r="W48" s="2904"/>
      <c r="X48" s="2904"/>
      <c r="Y48" s="2904"/>
      <c r="Z48" s="2904"/>
      <c r="AA48" s="2904"/>
      <c r="AB48" s="2904"/>
      <c r="AC48" s="2904"/>
    </row>
    <row r="49" spans="1:29" s="413" customFormat="1" ht="15">
      <c r="A49" s="857"/>
      <c r="B49" s="858"/>
      <c r="C49" s="3071">
        <v>100</v>
      </c>
      <c r="D49" s="860">
        <v>99.5</v>
      </c>
      <c r="E49" s="860">
        <v>99</v>
      </c>
      <c r="F49" s="860">
        <v>98.5</v>
      </c>
      <c r="G49" s="860">
        <v>98</v>
      </c>
      <c r="H49" s="860">
        <v>97.5</v>
      </c>
      <c r="I49" s="860">
        <v>97</v>
      </c>
      <c r="J49" s="860">
        <v>96.5</v>
      </c>
      <c r="K49" s="860">
        <v>96</v>
      </c>
      <c r="L49" s="860">
        <v>95.5</v>
      </c>
      <c r="M49" s="861">
        <v>95</v>
      </c>
      <c r="N49" s="860">
        <v>94.5</v>
      </c>
      <c r="O49" s="861">
        <v>94</v>
      </c>
      <c r="P49" s="2893"/>
      <c r="Q49" s="2892"/>
      <c r="R49" s="2892"/>
      <c r="S49" s="2892"/>
      <c r="T49" s="2892"/>
      <c r="U49" s="2892"/>
      <c r="V49" s="2892"/>
      <c r="W49" s="2892"/>
      <c r="X49" s="2892"/>
      <c r="Y49" s="2892"/>
      <c r="Z49" s="2892"/>
      <c r="AA49" s="2892"/>
      <c r="AB49" s="2892"/>
      <c r="AC49" s="2892"/>
    </row>
    <row r="50" spans="1:29" s="413" customFormat="1" ht="15.75" thickBot="1">
      <c r="A50" s="863" t="s">
        <v>594</v>
      </c>
      <c r="B50" s="864"/>
      <c r="C50" s="865"/>
      <c r="D50" s="866"/>
      <c r="E50" s="866"/>
      <c r="F50" s="866"/>
      <c r="G50" s="866"/>
      <c r="H50" s="866"/>
      <c r="I50" s="866"/>
      <c r="J50" s="866"/>
      <c r="K50" s="866"/>
      <c r="L50" s="866"/>
      <c r="M50" s="867"/>
      <c r="N50" s="866"/>
      <c r="O50" s="867"/>
      <c r="P50" s="2893"/>
      <c r="Q50" s="2888"/>
      <c r="R50" s="2892"/>
      <c r="S50" s="2892"/>
      <c r="T50" s="2892"/>
      <c r="U50" s="2892"/>
      <c r="V50" s="2892"/>
      <c r="W50" s="2892"/>
      <c r="X50" s="2892"/>
      <c r="Y50" s="2892"/>
      <c r="Z50" s="2892"/>
      <c r="AA50" s="2892"/>
      <c r="AB50" s="2892"/>
      <c r="AC50" s="2892"/>
    </row>
    <row r="51" spans="1:29" s="413" customFormat="1" ht="15">
      <c r="A51" s="869" t="s">
        <v>574</v>
      </c>
      <c r="B51" s="858"/>
      <c r="C51" s="870" t="s">
        <v>595</v>
      </c>
      <c r="D51" s="871" t="s">
        <v>596</v>
      </c>
      <c r="E51" s="871"/>
      <c r="F51" s="871"/>
      <c r="G51" s="871"/>
      <c r="H51" s="871"/>
      <c r="I51" s="871"/>
      <c r="J51" s="871"/>
      <c r="K51" s="871"/>
      <c r="L51" s="872"/>
      <c r="M51" s="873"/>
      <c r="N51" s="2396"/>
      <c r="O51" s="2396"/>
      <c r="P51" s="2891"/>
      <c r="Q51" s="2888"/>
      <c r="R51" s="2892"/>
      <c r="S51" s="2892"/>
      <c r="T51" s="2892"/>
      <c r="U51" s="2892"/>
      <c r="V51" s="2892"/>
      <c r="W51" s="2892"/>
      <c r="X51" s="2892"/>
      <c r="Y51" s="2892"/>
      <c r="Z51" s="2892"/>
      <c r="AA51" s="2892"/>
      <c r="AB51" s="2892"/>
      <c r="AC51" s="2892"/>
    </row>
    <row r="52" spans="1:29" s="413" customFormat="1" ht="15.75" thickBot="1">
      <c r="A52" s="869"/>
      <c r="B52" s="858"/>
      <c r="C52" s="987">
        <v>100</v>
      </c>
      <c r="D52" s="860">
        <v>97</v>
      </c>
      <c r="E52" s="860"/>
      <c r="F52" s="860"/>
      <c r="G52" s="860"/>
      <c r="H52" s="860"/>
      <c r="I52" s="860"/>
      <c r="J52" s="860"/>
      <c r="K52" s="860"/>
      <c r="L52" s="860"/>
      <c r="M52" s="862"/>
      <c r="N52" s="2396"/>
      <c r="O52" s="2396"/>
      <c r="P52" s="2893"/>
      <c r="Q52" s="2888"/>
      <c r="R52" s="2892"/>
      <c r="S52" s="2892"/>
      <c r="T52" s="2892"/>
      <c r="U52" s="2892"/>
      <c r="V52" s="2892"/>
      <c r="W52" s="2892"/>
      <c r="X52" s="2892"/>
      <c r="Y52" s="2892"/>
      <c r="Z52" s="2892"/>
      <c r="AA52" s="2892"/>
      <c r="AB52" s="2892"/>
      <c r="AC52" s="2892"/>
    </row>
    <row r="53" spans="1:29">
      <c r="A53" s="875" t="s">
        <v>597</v>
      </c>
      <c r="B53" s="876" t="s">
        <v>598</v>
      </c>
      <c r="C53" s="877" t="str">
        <f>C9</f>
        <v>车库</v>
      </c>
      <c r="D53" s="878"/>
      <c r="E53" s="878"/>
      <c r="F53" s="878"/>
      <c r="G53" s="878"/>
      <c r="H53" s="878"/>
      <c r="I53" s="878"/>
      <c r="J53" s="878"/>
      <c r="K53" s="879"/>
      <c r="L53" s="880"/>
      <c r="M53" s="881"/>
      <c r="N53" s="2397"/>
      <c r="O53" s="2397"/>
      <c r="P53" s="2894"/>
      <c r="Q53" s="2888"/>
      <c r="R53" s="2389"/>
      <c r="S53" s="2389"/>
      <c r="T53" s="2389"/>
      <c r="U53" s="2389"/>
      <c r="V53" s="2389"/>
      <c r="W53" s="2389"/>
      <c r="X53" s="2389"/>
      <c r="Y53" s="2389"/>
      <c r="Z53" s="2389"/>
      <c r="AA53" s="2389"/>
      <c r="AB53" s="2389"/>
      <c r="AC53" s="2389"/>
    </row>
    <row r="54" spans="1:29" ht="15.75" thickBot="1">
      <c r="A54" s="882"/>
      <c r="B54" s="883"/>
      <c r="C54" s="884">
        <v>100</v>
      </c>
      <c r="D54" s="884"/>
      <c r="E54" s="884"/>
      <c r="F54" s="884"/>
      <c r="G54" s="884"/>
      <c r="H54" s="884"/>
      <c r="I54" s="884"/>
      <c r="J54" s="884"/>
      <c r="K54" s="884"/>
      <c r="L54" s="884"/>
      <c r="M54" s="885"/>
      <c r="N54" s="2398"/>
      <c r="O54" s="2398"/>
      <c r="P54" s="2894"/>
      <c r="Q54" s="2888"/>
      <c r="R54" s="2389"/>
      <c r="S54" s="2389"/>
      <c r="T54" s="2389"/>
      <c r="U54" s="2389"/>
      <c r="V54" s="2389"/>
      <c r="W54" s="2389"/>
      <c r="X54" s="2389"/>
      <c r="Y54" s="2389"/>
      <c r="Z54" s="2389"/>
      <c r="AA54" s="2389"/>
      <c r="AB54" s="2389"/>
      <c r="AC54" s="2389"/>
    </row>
    <row r="55" spans="1:29" ht="27.75" thickTop="1">
      <c r="A55" s="882"/>
      <c r="B55" s="886" t="s">
        <v>578</v>
      </c>
      <c r="C55" s="887" t="s">
        <v>599</v>
      </c>
      <c r="D55" s="887" t="s">
        <v>600</v>
      </c>
      <c r="E55" s="887" t="s">
        <v>601</v>
      </c>
      <c r="F55" s="887" t="s">
        <v>602</v>
      </c>
      <c r="G55" s="887" t="s">
        <v>626</v>
      </c>
      <c r="H55" s="887" t="s">
        <v>627</v>
      </c>
      <c r="I55" s="887" t="s">
        <v>628</v>
      </c>
      <c r="J55" s="887"/>
      <c r="K55" s="888"/>
      <c r="L55" s="889"/>
      <c r="M55" s="890"/>
      <c r="N55" s="2397"/>
      <c r="O55" s="2397"/>
      <c r="P55" s="2894"/>
      <c r="Q55" s="2888"/>
      <c r="R55" s="2389"/>
      <c r="S55" s="2389"/>
      <c r="T55" s="2389"/>
      <c r="U55" s="2389"/>
      <c r="V55" s="2389"/>
      <c r="W55" s="2389"/>
      <c r="X55" s="2389"/>
      <c r="Y55" s="2389"/>
      <c r="Z55" s="2389"/>
      <c r="AA55" s="2389"/>
      <c r="AB55" s="2389"/>
      <c r="AC55" s="2389"/>
    </row>
    <row r="56" spans="1:29" ht="15.75" thickBot="1">
      <c r="A56" s="882"/>
      <c r="B56" s="891"/>
      <c r="C56" s="892" t="s">
        <v>207</v>
      </c>
      <c r="D56" s="892" t="s">
        <v>208</v>
      </c>
      <c r="E56" s="892">
        <v>100</v>
      </c>
      <c r="F56" s="892">
        <f>E56-$K10</f>
        <v>97</v>
      </c>
      <c r="G56" s="892">
        <f>F56-$K10</f>
        <v>94</v>
      </c>
      <c r="H56" s="892">
        <f>G56-$K10</f>
        <v>91</v>
      </c>
      <c r="I56" s="892">
        <f>H56-$K10</f>
        <v>88</v>
      </c>
      <c r="J56" s="892"/>
      <c r="K56" s="892"/>
      <c r="L56" s="892"/>
      <c r="M56" s="893"/>
      <c r="N56" s="2398"/>
      <c r="O56" s="2398"/>
      <c r="P56" s="2894"/>
      <c r="Q56" s="2888"/>
      <c r="R56" s="2389"/>
      <c r="S56" s="2389"/>
      <c r="T56" s="2389"/>
      <c r="U56" s="2389"/>
      <c r="V56" s="2389"/>
      <c r="W56" s="2389"/>
      <c r="X56" s="2389"/>
      <c r="Y56" s="2389"/>
      <c r="Z56" s="2389"/>
      <c r="AA56" s="2389"/>
      <c r="AB56" s="2389"/>
      <c r="AC56" s="2389"/>
    </row>
    <row r="57" spans="1:29" ht="15.75" thickTop="1">
      <c r="A57" s="882"/>
      <c r="B57" s="1008">
        <f>B11</f>
        <v>111</v>
      </c>
      <c r="C57" s="897">
        <v>111</v>
      </c>
      <c r="D57" s="897">
        <v>222</v>
      </c>
      <c r="E57" s="897">
        <v>333</v>
      </c>
      <c r="F57" s="897">
        <v>444</v>
      </c>
      <c r="G57" s="897"/>
      <c r="H57" s="897"/>
      <c r="I57" s="897"/>
      <c r="J57" s="897"/>
      <c r="K57" s="898"/>
      <c r="L57" s="899"/>
      <c r="M57" s="900"/>
      <c r="N57" s="2397"/>
      <c r="O57" s="2397"/>
      <c r="P57" s="2894"/>
      <c r="Q57" s="2888"/>
      <c r="R57" s="2389"/>
      <c r="S57" s="2389"/>
      <c r="T57" s="2389"/>
      <c r="U57" s="2389"/>
      <c r="V57" s="2389"/>
      <c r="W57" s="2389"/>
      <c r="X57" s="2389"/>
      <c r="Y57" s="2389"/>
      <c r="Z57" s="2389"/>
      <c r="AA57" s="2389"/>
      <c r="AB57" s="2389"/>
      <c r="AC57" s="2389"/>
    </row>
    <row r="58" spans="1:29" ht="15.75" thickBot="1">
      <c r="A58" s="882"/>
      <c r="B58" s="883"/>
      <c r="C58" s="908">
        <v>100</v>
      </c>
      <c r="D58" s="884">
        <v>99</v>
      </c>
      <c r="E58" s="884">
        <v>98</v>
      </c>
      <c r="F58" s="884">
        <v>97</v>
      </c>
      <c r="G58" s="884"/>
      <c r="H58" s="884"/>
      <c r="I58" s="884"/>
      <c r="J58" s="884"/>
      <c r="K58" s="884"/>
      <c r="L58" s="884"/>
      <c r="M58" s="885"/>
      <c r="N58" s="2398"/>
      <c r="O58" s="2398"/>
      <c r="P58" s="2894"/>
      <c r="Q58" s="2888"/>
      <c r="R58" s="2389"/>
      <c r="S58" s="2389"/>
      <c r="T58" s="2389"/>
      <c r="U58" s="2389"/>
      <c r="V58" s="2389"/>
      <c r="W58" s="2389"/>
      <c r="X58" s="2389"/>
      <c r="Y58" s="2389"/>
      <c r="Z58" s="2389"/>
      <c r="AA58" s="2389"/>
      <c r="AB58" s="2389"/>
      <c r="AC58" s="2389"/>
    </row>
    <row r="59" spans="1:29" s="819" customFormat="1" ht="15.75" thickTop="1">
      <c r="A59" s="901"/>
      <c r="B59" s="886">
        <f>B12</f>
        <v>111</v>
      </c>
      <c r="C59" s="897">
        <v>111</v>
      </c>
      <c r="D59" s="897">
        <v>222</v>
      </c>
      <c r="E59" s="897">
        <v>333</v>
      </c>
      <c r="F59" s="897">
        <v>444</v>
      </c>
      <c r="G59" s="902"/>
      <c r="H59" s="903"/>
      <c r="I59" s="903"/>
      <c r="J59" s="903"/>
      <c r="K59" s="903"/>
      <c r="L59" s="904"/>
      <c r="M59" s="905"/>
      <c r="N59" s="2399"/>
      <c r="O59" s="2399"/>
      <c r="P59" s="2895"/>
      <c r="Q59" s="2896"/>
      <c r="R59" s="2897"/>
      <c r="S59" s="2897"/>
      <c r="T59" s="2897"/>
      <c r="U59" s="2897"/>
      <c r="V59" s="2897"/>
      <c r="W59" s="2897"/>
      <c r="X59" s="2897"/>
      <c r="Y59" s="2897"/>
      <c r="Z59" s="2897"/>
      <c r="AA59" s="2897"/>
      <c r="AB59" s="2897"/>
      <c r="AC59" s="2897"/>
    </row>
    <row r="60" spans="1:29" s="819" customFormat="1" ht="15.75" thickBot="1">
      <c r="A60" s="901"/>
      <c r="B60" s="891"/>
      <c r="C60" s="908">
        <v>100</v>
      </c>
      <c r="D60" s="884">
        <v>98</v>
      </c>
      <c r="E60" s="884">
        <v>96</v>
      </c>
      <c r="F60" s="884">
        <v>94</v>
      </c>
      <c r="G60" s="884"/>
      <c r="H60" s="884"/>
      <c r="I60" s="884"/>
      <c r="J60" s="884"/>
      <c r="K60" s="884"/>
      <c r="L60" s="884"/>
      <c r="M60" s="885"/>
      <c r="N60" s="2398"/>
      <c r="O60" s="2398"/>
      <c r="P60" s="2895"/>
      <c r="Q60" s="2896"/>
      <c r="R60" s="2897"/>
      <c r="S60" s="2897"/>
      <c r="T60" s="2897"/>
      <c r="U60" s="2897"/>
      <c r="V60" s="2897"/>
      <c r="W60" s="2897"/>
      <c r="X60" s="2897"/>
      <c r="Y60" s="2897"/>
      <c r="Z60" s="2897"/>
      <c r="AA60" s="2897"/>
      <c r="AB60" s="2897"/>
      <c r="AC60" s="2897"/>
    </row>
    <row r="61" spans="1:29" s="819" customFormat="1" ht="15.75" thickTop="1">
      <c r="A61" s="901"/>
      <c r="B61" s="886">
        <f>B13</f>
        <v>111</v>
      </c>
      <c r="C61" s="902">
        <v>111</v>
      </c>
      <c r="D61" s="902">
        <v>222</v>
      </c>
      <c r="E61" s="902">
        <v>333</v>
      </c>
      <c r="F61" s="902">
        <v>444</v>
      </c>
      <c r="G61" s="902"/>
      <c r="H61" s="903"/>
      <c r="I61" s="903"/>
      <c r="J61" s="903"/>
      <c r="K61" s="903"/>
      <c r="L61" s="904"/>
      <c r="M61" s="905"/>
      <c r="N61" s="2399"/>
      <c r="O61" s="2399"/>
      <c r="P61" s="2898"/>
      <c r="Q61" s="2899"/>
      <c r="R61" s="2897"/>
      <c r="S61" s="2897"/>
      <c r="T61" s="2897"/>
      <c r="U61" s="2897"/>
      <c r="V61" s="2897"/>
      <c r="W61" s="2897"/>
      <c r="X61" s="2897"/>
      <c r="Y61" s="2897"/>
      <c r="Z61" s="2897"/>
      <c r="AA61" s="2897"/>
      <c r="AB61" s="2897"/>
      <c r="AC61" s="2897"/>
    </row>
    <row r="62" spans="1:29" s="819" customFormat="1" ht="15.75" thickBot="1">
      <c r="A62" s="901"/>
      <c r="B62" s="891"/>
      <c r="C62" s="908">
        <v>100</v>
      </c>
      <c r="D62" s="908">
        <v>97</v>
      </c>
      <c r="E62" s="908">
        <v>94</v>
      </c>
      <c r="F62" s="908">
        <v>91</v>
      </c>
      <c r="G62" s="908"/>
      <c r="H62" s="910"/>
      <c r="I62" s="910"/>
      <c r="J62" s="910"/>
      <c r="K62" s="910"/>
      <c r="L62" s="910"/>
      <c r="M62" s="911"/>
      <c r="N62" s="2399"/>
      <c r="O62" s="2399"/>
      <c r="P62" s="2895"/>
      <c r="Q62" s="2896"/>
      <c r="R62" s="2897"/>
      <c r="S62" s="2897"/>
      <c r="T62" s="2897"/>
      <c r="U62" s="2897"/>
      <c r="V62" s="2897"/>
      <c r="W62" s="2897"/>
      <c r="X62" s="2897"/>
      <c r="Y62" s="2897"/>
      <c r="Z62" s="2897"/>
      <c r="AA62" s="2897"/>
      <c r="AB62" s="2897"/>
      <c r="AC62" s="2897"/>
    </row>
    <row r="63" spans="1:29" ht="15" thickTop="1">
      <c r="A63" s="875" t="s">
        <v>580</v>
      </c>
      <c r="B63" s="876" t="s">
        <v>609</v>
      </c>
      <c r="C63" s="921" t="s">
        <v>604</v>
      </c>
      <c r="D63" s="921" t="s">
        <v>605</v>
      </c>
      <c r="E63" s="921" t="s">
        <v>606</v>
      </c>
      <c r="F63" s="921" t="s">
        <v>607</v>
      </c>
      <c r="G63" s="921" t="s">
        <v>608</v>
      </c>
      <c r="H63" s="877"/>
      <c r="I63" s="877"/>
      <c r="J63" s="877"/>
      <c r="K63" s="922"/>
      <c r="L63" s="923"/>
      <c r="M63" s="924"/>
      <c r="N63" s="2397"/>
      <c r="O63" s="2397"/>
      <c r="P63" s="2900"/>
      <c r="Q63" s="2888"/>
      <c r="R63" s="2389"/>
      <c r="S63" s="2389"/>
      <c r="T63" s="2389"/>
      <c r="U63" s="2389"/>
      <c r="V63" s="2389"/>
      <c r="W63" s="2389"/>
      <c r="X63" s="2389"/>
      <c r="Y63" s="2389"/>
      <c r="Z63" s="2389"/>
      <c r="AA63" s="2389"/>
      <c r="AB63" s="2389"/>
      <c r="AC63" s="2389"/>
    </row>
    <row r="64" spans="1:29" ht="15.75" thickBot="1">
      <c r="A64" s="882"/>
      <c r="B64" s="891"/>
      <c r="C64" s="892">
        <v>100</v>
      </c>
      <c r="D64" s="892">
        <f>C64-$K14</f>
        <v>98</v>
      </c>
      <c r="E64" s="892">
        <f>D64-$K14</f>
        <v>96</v>
      </c>
      <c r="F64" s="892">
        <f>E64-$K14</f>
        <v>94</v>
      </c>
      <c r="G64" s="892">
        <f>F64-$K14</f>
        <v>92</v>
      </c>
      <c r="H64" s="892"/>
      <c r="I64" s="892"/>
      <c r="J64" s="892"/>
      <c r="K64" s="892"/>
      <c r="L64" s="892"/>
      <c r="M64" s="893"/>
      <c r="N64" s="2398"/>
      <c r="O64" s="2398"/>
      <c r="P64" s="2894"/>
      <c r="Q64" s="2888"/>
      <c r="R64" s="2389"/>
      <c r="S64" s="2389"/>
      <c r="T64" s="2389"/>
      <c r="U64" s="2389"/>
      <c r="V64" s="2389"/>
      <c r="W64" s="2389"/>
      <c r="X64" s="2389"/>
      <c r="Y64" s="2389"/>
      <c r="Z64" s="2389"/>
      <c r="AA64" s="2389"/>
      <c r="AB64" s="2389"/>
      <c r="AC64" s="2389"/>
    </row>
    <row r="65" spans="1:29" ht="15.75" thickTop="1">
      <c r="A65" s="882"/>
      <c r="B65" s="1060" t="s">
        <v>3042</v>
      </c>
      <c r="C65" s="926" t="s">
        <v>604</v>
      </c>
      <c r="D65" s="926" t="s">
        <v>605</v>
      </c>
      <c r="E65" s="926" t="s">
        <v>606</v>
      </c>
      <c r="F65" s="926" t="s">
        <v>607</v>
      </c>
      <c r="G65" s="926" t="s">
        <v>608</v>
      </c>
      <c r="H65" s="887"/>
      <c r="I65" s="887"/>
      <c r="J65" s="887"/>
      <c r="K65" s="888"/>
      <c r="L65" s="889"/>
      <c r="M65" s="890"/>
      <c r="N65" s="2397"/>
      <c r="O65" s="2397"/>
      <c r="P65" s="2894"/>
      <c r="Q65" s="2888"/>
      <c r="R65" s="2389"/>
      <c r="S65" s="2389"/>
      <c r="T65" s="2389"/>
      <c r="U65" s="2389"/>
      <c r="V65" s="2389"/>
      <c r="W65" s="2389"/>
      <c r="X65" s="2389"/>
      <c r="Y65" s="2389"/>
      <c r="Z65" s="2389"/>
      <c r="AA65" s="2389"/>
      <c r="AB65" s="2389"/>
      <c r="AC65" s="2389"/>
    </row>
    <row r="66" spans="1:29" ht="15.75" thickBot="1">
      <c r="A66" s="882"/>
      <c r="B66" s="891"/>
      <c r="C66" s="892">
        <v>100</v>
      </c>
      <c r="D66" s="892">
        <f>C66-$K16</f>
        <v>97</v>
      </c>
      <c r="E66" s="892">
        <f>D66-$K16</f>
        <v>94</v>
      </c>
      <c r="F66" s="892">
        <f>E66-$K16</f>
        <v>91</v>
      </c>
      <c r="G66" s="892">
        <f>F66-$K16</f>
        <v>88</v>
      </c>
      <c r="H66" s="892"/>
      <c r="I66" s="892"/>
      <c r="J66" s="892"/>
      <c r="K66" s="892"/>
      <c r="L66" s="892"/>
      <c r="M66" s="893"/>
      <c r="N66" s="2398"/>
      <c r="O66" s="2398"/>
      <c r="P66" s="2894"/>
      <c r="Q66" s="2888"/>
      <c r="R66" s="2389"/>
      <c r="S66" s="2389"/>
      <c r="T66" s="2389"/>
      <c r="U66" s="2389"/>
      <c r="V66" s="2389"/>
      <c r="W66" s="2389"/>
      <c r="X66" s="2389"/>
      <c r="Y66" s="2389"/>
      <c r="Z66" s="2389"/>
      <c r="AA66" s="2389"/>
      <c r="AB66" s="2389"/>
      <c r="AC66" s="2389"/>
    </row>
    <row r="67" spans="1:29" ht="15.75" thickTop="1">
      <c r="A67" s="882"/>
      <c r="B67" s="1062" t="s">
        <v>3072</v>
      </c>
      <c r="C67" s="213" t="s">
        <v>3062</v>
      </c>
      <c r="D67" s="213" t="s">
        <v>3063</v>
      </c>
      <c r="E67" s="213" t="s">
        <v>3064</v>
      </c>
      <c r="F67" s="213" t="s">
        <v>3065</v>
      </c>
      <c r="G67" s="213" t="s">
        <v>3066</v>
      </c>
      <c r="H67" s="887"/>
      <c r="I67" s="887"/>
      <c r="J67" s="887"/>
      <c r="K67" s="887"/>
      <c r="L67" s="887"/>
      <c r="M67" s="2801"/>
      <c r="N67" s="2398"/>
      <c r="O67" s="2398"/>
      <c r="P67" s="2894"/>
      <c r="Q67" s="2888"/>
      <c r="R67" s="2389"/>
      <c r="S67" s="2389"/>
      <c r="T67" s="2389"/>
      <c r="U67" s="2389"/>
      <c r="V67" s="2389"/>
      <c r="W67" s="2389"/>
      <c r="X67" s="2389"/>
      <c r="Y67" s="2389"/>
      <c r="Z67" s="2389"/>
      <c r="AA67" s="2389"/>
      <c r="AB67" s="2389"/>
      <c r="AC67" s="2389"/>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398"/>
      <c r="O68" s="2398"/>
      <c r="P68" s="2894"/>
      <c r="Q68" s="2888"/>
      <c r="R68" s="2389"/>
      <c r="S68" s="2389"/>
      <c r="T68" s="2389"/>
      <c r="U68" s="2389"/>
      <c r="V68" s="2389"/>
      <c r="W68" s="2389"/>
      <c r="X68" s="2389"/>
      <c r="Y68" s="2389"/>
      <c r="Z68" s="2389"/>
      <c r="AA68" s="2389"/>
      <c r="AB68" s="2389"/>
      <c r="AC68" s="2389"/>
    </row>
    <row r="69" spans="1:29" ht="15.75" thickTop="1">
      <c r="A69" s="882"/>
      <c r="B69" s="886" t="s">
        <v>611</v>
      </c>
      <c r="C69" s="926" t="s">
        <v>604</v>
      </c>
      <c r="D69" s="926" t="s">
        <v>605</v>
      </c>
      <c r="E69" s="926" t="s">
        <v>606</v>
      </c>
      <c r="F69" s="926" t="s">
        <v>607</v>
      </c>
      <c r="G69" s="926" t="s">
        <v>608</v>
      </c>
      <c r="H69" s="887"/>
      <c r="I69" s="887"/>
      <c r="J69" s="887"/>
      <c r="K69" s="888"/>
      <c r="L69" s="889"/>
      <c r="M69" s="890"/>
      <c r="N69" s="2397"/>
      <c r="O69" s="2397"/>
      <c r="P69" s="2894"/>
      <c r="Q69" s="2888"/>
      <c r="R69" s="2389"/>
      <c r="S69" s="2389"/>
      <c r="T69" s="2389"/>
      <c r="U69" s="2389"/>
      <c r="V69" s="2389"/>
      <c r="W69" s="2389"/>
      <c r="X69" s="2389"/>
      <c r="Y69" s="2389"/>
      <c r="Z69" s="2389"/>
      <c r="AA69" s="2389"/>
      <c r="AB69" s="2389"/>
      <c r="AC69" s="2389"/>
    </row>
    <row r="70" spans="1:29" ht="15.75" thickBot="1">
      <c r="A70" s="882"/>
      <c r="B70" s="891"/>
      <c r="C70" s="892">
        <v>100</v>
      </c>
      <c r="D70" s="892">
        <f>C70-$K20</f>
        <v>99</v>
      </c>
      <c r="E70" s="892">
        <f>D70-$K20</f>
        <v>98</v>
      </c>
      <c r="F70" s="892">
        <f>E70-$K20</f>
        <v>97</v>
      </c>
      <c r="G70" s="892">
        <f>F70-$K20</f>
        <v>96</v>
      </c>
      <c r="H70" s="892"/>
      <c r="I70" s="892"/>
      <c r="J70" s="892"/>
      <c r="K70" s="892"/>
      <c r="L70" s="892"/>
      <c r="M70" s="893"/>
      <c r="N70" s="2398"/>
      <c r="O70" s="2398"/>
      <c r="P70" s="2894"/>
      <c r="Q70" s="2888"/>
      <c r="R70" s="2389"/>
      <c r="S70" s="2389"/>
      <c r="T70" s="2389"/>
      <c r="U70" s="2389"/>
      <c r="V70" s="2389"/>
      <c r="W70" s="2389"/>
      <c r="X70" s="2389"/>
      <c r="Y70" s="2389"/>
      <c r="Z70" s="2389"/>
      <c r="AA70" s="2389"/>
      <c r="AB70" s="2389"/>
      <c r="AC70" s="2389"/>
    </row>
    <row r="71" spans="1:29" ht="15.75" thickTop="1">
      <c r="A71" s="882"/>
      <c r="B71" s="886" t="s">
        <v>612</v>
      </c>
      <c r="C71" s="902" t="s">
        <v>675</v>
      </c>
      <c r="D71" s="902" t="s">
        <v>676</v>
      </c>
      <c r="E71" s="902"/>
      <c r="F71" s="902"/>
      <c r="G71" s="902"/>
      <c r="H71" s="931"/>
      <c r="I71" s="931"/>
      <c r="J71" s="931"/>
      <c r="K71" s="932"/>
      <c r="L71" s="933"/>
      <c r="M71" s="934"/>
      <c r="N71" s="2397"/>
      <c r="O71" s="2397"/>
      <c r="P71" s="2894"/>
      <c r="Q71" s="2888"/>
      <c r="R71" s="2389"/>
      <c r="S71" s="2389"/>
      <c r="T71" s="2389"/>
      <c r="U71" s="2389"/>
      <c r="V71" s="2389"/>
      <c r="W71" s="2389"/>
      <c r="X71" s="2389"/>
      <c r="Y71" s="2389"/>
      <c r="Z71" s="2389"/>
      <c r="AA71" s="2389"/>
      <c r="AB71" s="2389"/>
      <c r="AC71" s="2389"/>
    </row>
    <row r="72" spans="1:29" ht="15.75" thickBot="1">
      <c r="A72" s="882"/>
      <c r="B72" s="891"/>
      <c r="C72" s="892">
        <v>100</v>
      </c>
      <c r="D72" s="892">
        <f>C72-$K22</f>
        <v>98</v>
      </c>
      <c r="E72" s="892">
        <f>D72-$K22</f>
        <v>96</v>
      </c>
      <c r="F72" s="892">
        <f>E72-$K22</f>
        <v>94</v>
      </c>
      <c r="G72" s="892">
        <f>F72-$K22</f>
        <v>92</v>
      </c>
      <c r="H72" s="892"/>
      <c r="I72" s="892"/>
      <c r="J72" s="892"/>
      <c r="K72" s="892"/>
      <c r="L72" s="892"/>
      <c r="M72" s="893"/>
      <c r="N72" s="2398"/>
      <c r="O72" s="2398"/>
      <c r="P72" s="2894"/>
      <c r="Q72" s="2888"/>
      <c r="R72" s="2389"/>
      <c r="S72" s="2389"/>
      <c r="T72" s="2389"/>
      <c r="U72" s="2389"/>
      <c r="V72" s="2389"/>
      <c r="W72" s="2389"/>
      <c r="X72" s="2389"/>
      <c r="Y72" s="2389"/>
      <c r="Z72" s="2389"/>
      <c r="AA72" s="2389"/>
      <c r="AB72" s="2389"/>
      <c r="AC72" s="2389"/>
    </row>
    <row r="73" spans="1:29" s="413" customFormat="1" ht="15.75" thickTop="1">
      <c r="A73" s="927"/>
      <c r="B73" s="886">
        <f>B23</f>
        <v>111</v>
      </c>
      <c r="C73" s="897">
        <v>111</v>
      </c>
      <c r="D73" s="897">
        <v>222</v>
      </c>
      <c r="E73" s="897">
        <v>333</v>
      </c>
      <c r="F73" s="897">
        <v>444</v>
      </c>
      <c r="G73" s="902"/>
      <c r="H73" s="902"/>
      <c r="I73" s="902"/>
      <c r="J73" s="902"/>
      <c r="K73" s="902"/>
      <c r="L73" s="928"/>
      <c r="M73" s="929"/>
      <c r="N73" s="2396"/>
      <c r="O73" s="2396"/>
      <c r="P73" s="2894"/>
      <c r="Q73" s="2888"/>
      <c r="R73" s="2892"/>
      <c r="S73" s="2892"/>
      <c r="T73" s="2892"/>
      <c r="U73" s="2892"/>
      <c r="V73" s="2892"/>
      <c r="W73" s="2892"/>
      <c r="X73" s="2892"/>
      <c r="Y73" s="2892"/>
      <c r="Z73" s="2892"/>
      <c r="AA73" s="2892"/>
      <c r="AB73" s="2892"/>
      <c r="AC73" s="2892"/>
    </row>
    <row r="74" spans="1:29" s="413" customFormat="1" ht="15.75" thickBot="1">
      <c r="A74" s="927"/>
      <c r="B74" s="891"/>
      <c r="C74" s="908">
        <v>100</v>
      </c>
      <c r="D74" s="884">
        <v>99</v>
      </c>
      <c r="E74" s="884">
        <v>98</v>
      </c>
      <c r="F74" s="884">
        <v>97</v>
      </c>
      <c r="G74" s="884"/>
      <c r="H74" s="884"/>
      <c r="I74" s="884"/>
      <c r="J74" s="884"/>
      <c r="K74" s="884"/>
      <c r="L74" s="884"/>
      <c r="M74" s="885"/>
      <c r="N74" s="2398"/>
      <c r="O74" s="2398"/>
      <c r="P74" s="2894"/>
      <c r="Q74" s="2888"/>
      <c r="R74" s="2892"/>
      <c r="S74" s="2892"/>
      <c r="T74" s="2892"/>
      <c r="U74" s="2892"/>
      <c r="V74" s="2892"/>
      <c r="W74" s="2892"/>
      <c r="X74" s="2892"/>
      <c r="Y74" s="2892"/>
      <c r="Z74" s="2892"/>
      <c r="AA74" s="2892"/>
      <c r="AB74" s="2892"/>
      <c r="AC74" s="2892"/>
    </row>
    <row r="75" spans="1:29" s="413" customFormat="1" ht="15.75" thickTop="1">
      <c r="A75" s="927"/>
      <c r="B75" s="886">
        <f>B24</f>
        <v>111</v>
      </c>
      <c r="C75" s="897">
        <v>111</v>
      </c>
      <c r="D75" s="897">
        <v>222</v>
      </c>
      <c r="E75" s="897">
        <v>333</v>
      </c>
      <c r="F75" s="897">
        <v>444</v>
      </c>
      <c r="G75" s="902"/>
      <c r="H75" s="902"/>
      <c r="I75" s="902"/>
      <c r="J75" s="902"/>
      <c r="K75" s="902"/>
      <c r="L75" s="902"/>
      <c r="M75" s="929"/>
      <c r="N75" s="2396"/>
      <c r="O75" s="2396"/>
      <c r="P75" s="2894"/>
      <c r="Q75" s="2888"/>
      <c r="R75" s="2892"/>
      <c r="S75" s="2892"/>
      <c r="T75" s="2892"/>
      <c r="U75" s="2892"/>
      <c r="V75" s="2892"/>
      <c r="W75" s="2892"/>
      <c r="X75" s="2892"/>
      <c r="Y75" s="2892"/>
      <c r="Z75" s="2892"/>
      <c r="AA75" s="2892"/>
      <c r="AB75" s="2892"/>
      <c r="AC75" s="2892"/>
    </row>
    <row r="76" spans="1:29" s="413" customFormat="1" ht="15.75" thickBot="1">
      <c r="A76" s="927"/>
      <c r="B76" s="891"/>
      <c r="C76" s="908">
        <v>100</v>
      </c>
      <c r="D76" s="884">
        <v>98</v>
      </c>
      <c r="E76" s="884">
        <v>96</v>
      </c>
      <c r="F76" s="884">
        <v>94</v>
      </c>
      <c r="G76" s="884"/>
      <c r="H76" s="884"/>
      <c r="I76" s="884"/>
      <c r="J76" s="884"/>
      <c r="K76" s="884"/>
      <c r="L76" s="884"/>
      <c r="M76" s="885"/>
      <c r="N76" s="2398"/>
      <c r="O76" s="2398"/>
      <c r="P76" s="2894"/>
      <c r="Q76" s="2888"/>
      <c r="R76" s="2892"/>
      <c r="S76" s="2892"/>
      <c r="T76" s="2892"/>
      <c r="U76" s="2892"/>
      <c r="V76" s="2892"/>
      <c r="W76" s="2892"/>
      <c r="X76" s="2892"/>
      <c r="Y76" s="2892"/>
      <c r="Z76" s="2892"/>
      <c r="AA76" s="2892"/>
      <c r="AB76" s="2892"/>
      <c r="AC76" s="2892"/>
    </row>
    <row r="77" spans="1:29" s="819" customFormat="1" ht="15.75" thickTop="1">
      <c r="A77" s="901"/>
      <c r="B77" s="886">
        <f>B25</f>
        <v>111</v>
      </c>
      <c r="C77" s="902">
        <v>111</v>
      </c>
      <c r="D77" s="902">
        <v>222</v>
      </c>
      <c r="E77" s="902">
        <v>333</v>
      </c>
      <c r="F77" s="902">
        <v>444</v>
      </c>
      <c r="G77" s="902"/>
      <c r="H77" s="903"/>
      <c r="I77" s="903"/>
      <c r="J77" s="903"/>
      <c r="K77" s="903"/>
      <c r="L77" s="904"/>
      <c r="M77" s="905"/>
      <c r="N77" s="2399"/>
      <c r="O77" s="2399"/>
      <c r="P77" s="2895"/>
      <c r="Q77" s="2896"/>
      <c r="R77" s="2897"/>
      <c r="S77" s="2897"/>
      <c r="T77" s="2897"/>
      <c r="U77" s="2897"/>
      <c r="V77" s="2897"/>
      <c r="W77" s="2897"/>
      <c r="X77" s="2897"/>
      <c r="Y77" s="2897"/>
      <c r="Z77" s="2897"/>
      <c r="AA77" s="2897"/>
      <c r="AB77" s="2897"/>
      <c r="AC77" s="2897"/>
    </row>
    <row r="78" spans="1:29" s="819" customFormat="1" ht="15.75" thickBot="1">
      <c r="A78" s="901"/>
      <c r="B78" s="891"/>
      <c r="C78" s="908">
        <v>100</v>
      </c>
      <c r="D78" s="908">
        <v>97</v>
      </c>
      <c r="E78" s="908">
        <v>94</v>
      </c>
      <c r="F78" s="908">
        <v>91</v>
      </c>
      <c r="G78" s="884"/>
      <c r="H78" s="884"/>
      <c r="I78" s="884"/>
      <c r="J78" s="884"/>
      <c r="K78" s="884"/>
      <c r="L78" s="884"/>
      <c r="M78" s="885"/>
      <c r="N78" s="2399"/>
      <c r="O78" s="2399"/>
      <c r="P78" s="2895"/>
      <c r="Q78" s="2896"/>
      <c r="R78" s="2897"/>
      <c r="S78" s="2897"/>
      <c r="T78" s="2897"/>
      <c r="U78" s="2897"/>
      <c r="V78" s="2897"/>
      <c r="W78" s="2897"/>
      <c r="X78" s="2897"/>
      <c r="Y78" s="2897"/>
      <c r="Z78" s="2897"/>
      <c r="AA78" s="2897"/>
      <c r="AB78" s="2897"/>
      <c r="AC78" s="2897"/>
    </row>
    <row r="79" spans="1:29" ht="27.75" thickTop="1">
      <c r="A79" s="875" t="s">
        <v>585</v>
      </c>
      <c r="B79" s="876" t="s">
        <v>677</v>
      </c>
      <c r="C79" s="877" t="str">
        <f>C26</f>
        <v>住宅</v>
      </c>
      <c r="D79" s="878" t="s">
        <v>678</v>
      </c>
      <c r="E79" s="878" t="s">
        <v>679</v>
      </c>
      <c r="F79" s="878"/>
      <c r="G79" s="878"/>
      <c r="H79" s="878"/>
      <c r="I79" s="878"/>
      <c r="J79" s="878"/>
      <c r="K79" s="879"/>
      <c r="L79" s="880"/>
      <c r="M79" s="881"/>
      <c r="N79" s="2397"/>
      <c r="O79" s="2397"/>
      <c r="P79" s="2894"/>
      <c r="Q79" s="2888"/>
      <c r="R79" s="2389"/>
      <c r="S79" s="2389"/>
      <c r="T79" s="2389"/>
      <c r="U79" s="2389"/>
      <c r="V79" s="2389"/>
      <c r="W79" s="2389"/>
      <c r="X79" s="2389"/>
      <c r="Y79" s="2389"/>
      <c r="Z79" s="2389"/>
      <c r="AA79" s="2389"/>
      <c r="AB79" s="2389"/>
      <c r="AC79" s="2389"/>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2"/>
      <c r="B81" s="886" t="s">
        <v>680</v>
      </c>
      <c r="C81" s="1009" t="s">
        <v>308</v>
      </c>
      <c r="D81" s="1009" t="s">
        <v>311</v>
      </c>
      <c r="E81" s="1009" t="s">
        <v>310</v>
      </c>
      <c r="F81" s="1009" t="s">
        <v>309</v>
      </c>
      <c r="G81" s="1009"/>
      <c r="H81" s="1009"/>
      <c r="I81" s="1009"/>
      <c r="J81" s="1009"/>
      <c r="K81" s="1010"/>
      <c r="L81" s="1011"/>
      <c r="M81" s="1012"/>
      <c r="N81" s="2396"/>
      <c r="O81" s="2396"/>
      <c r="P81" s="2894"/>
      <c r="Q81" s="2888"/>
      <c r="R81" s="2389"/>
      <c r="S81" s="2389"/>
      <c r="T81" s="2389"/>
      <c r="U81" s="2389"/>
      <c r="V81" s="2389"/>
      <c r="W81" s="2389"/>
      <c r="X81" s="2389"/>
      <c r="Y81" s="2389"/>
      <c r="Z81" s="2389"/>
      <c r="AA81" s="2389"/>
      <c r="AB81" s="2389"/>
      <c r="AC81" s="2389"/>
    </row>
    <row r="82" spans="1:29" s="819" customFormat="1" ht="15.75" thickBot="1">
      <c r="A82" s="901"/>
      <c r="B82" s="891"/>
      <c r="C82" s="908">
        <v>100</v>
      </c>
      <c r="D82" s="884">
        <v>102</v>
      </c>
      <c r="E82" s="884">
        <v>104</v>
      </c>
      <c r="F82" s="884">
        <v>106</v>
      </c>
      <c r="G82" s="884">
        <v>108</v>
      </c>
      <c r="H82" s="884">
        <v>110</v>
      </c>
      <c r="I82" s="884"/>
      <c r="J82" s="884"/>
      <c r="K82" s="884"/>
      <c r="L82" s="884"/>
      <c r="M82" s="885"/>
      <c r="N82" s="2398"/>
      <c r="O82" s="2398"/>
      <c r="P82" s="2895"/>
      <c r="Q82" s="2896"/>
      <c r="R82" s="2897"/>
      <c r="S82" s="2897"/>
      <c r="T82" s="2897"/>
      <c r="U82" s="2897"/>
      <c r="V82" s="2897"/>
      <c r="W82" s="2897"/>
      <c r="X82" s="2897"/>
      <c r="Y82" s="2897"/>
      <c r="Z82" s="2897"/>
      <c r="AA82" s="2897"/>
      <c r="AB82" s="2897"/>
      <c r="AC82" s="2897"/>
    </row>
    <row r="83" spans="1:29" ht="15" thickTop="1">
      <c r="A83" s="947"/>
      <c r="B83" s="886" t="s">
        <v>613</v>
      </c>
      <c r="C83" s="902" t="s">
        <v>614</v>
      </c>
      <c r="D83" s="902" t="s">
        <v>634</v>
      </c>
      <c r="E83" s="931"/>
      <c r="F83" s="931"/>
      <c r="G83" s="931"/>
      <c r="H83" s="931"/>
      <c r="I83" s="931"/>
      <c r="J83" s="931"/>
      <c r="K83" s="932"/>
      <c r="L83" s="933"/>
      <c r="M83" s="934"/>
      <c r="N83" s="2397"/>
      <c r="O83" s="2397"/>
      <c r="P83" s="2894"/>
      <c r="Q83" s="2888"/>
      <c r="R83" s="2389"/>
      <c r="S83" s="2389"/>
      <c r="T83" s="2389"/>
      <c r="U83" s="2389"/>
      <c r="V83" s="2389"/>
      <c r="W83" s="2389"/>
      <c r="X83" s="2389"/>
      <c r="Y83" s="2389"/>
      <c r="Z83" s="2389"/>
      <c r="AA83" s="2389"/>
      <c r="AB83" s="2389"/>
      <c r="AC83" s="2389"/>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7"/>
      <c r="B85" s="886" t="s">
        <v>681</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97"/>
      <c r="O85" s="2397"/>
      <c r="P85" s="2894"/>
      <c r="Q85" s="2888"/>
      <c r="R85" s="2389"/>
      <c r="S85" s="2389"/>
      <c r="T85" s="2389"/>
      <c r="U85" s="2389"/>
      <c r="V85" s="2389"/>
      <c r="W85" s="2389"/>
      <c r="X85" s="2389"/>
      <c r="Y85" s="2389"/>
      <c r="Z85" s="2389"/>
      <c r="AA85" s="2389"/>
      <c r="AB85" s="2389"/>
      <c r="AC85" s="2389"/>
    </row>
    <row r="86" spans="1:29">
      <c r="A86" s="947"/>
      <c r="B86" s="894"/>
      <c r="C86" s="951">
        <v>0.5</v>
      </c>
      <c r="D86" s="951">
        <v>0.6</v>
      </c>
      <c r="E86" s="951">
        <v>0.7</v>
      </c>
      <c r="F86" s="951">
        <v>0.8</v>
      </c>
      <c r="G86" s="951">
        <v>0.9</v>
      </c>
      <c r="H86" s="951">
        <v>1.0001</v>
      </c>
      <c r="I86" s="971"/>
      <c r="J86" s="971"/>
      <c r="K86" s="972"/>
      <c r="L86" s="973"/>
      <c r="M86" s="974"/>
      <c r="N86" s="2397"/>
      <c r="O86" s="2397"/>
      <c r="P86" s="2894"/>
      <c r="Q86" s="2888"/>
      <c r="R86" s="2389"/>
      <c r="S86" s="2389"/>
      <c r="T86" s="2389"/>
      <c r="U86" s="2389"/>
      <c r="V86" s="2389"/>
      <c r="W86" s="2389"/>
      <c r="X86" s="2389"/>
      <c r="Y86" s="2389"/>
      <c r="Z86" s="2389"/>
      <c r="AA86" s="2389"/>
      <c r="AB86" s="2389"/>
      <c r="AC86" s="2389"/>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7"/>
      <c r="B88" s="894" t="s">
        <v>682</v>
      </c>
      <c r="C88" s="878" t="s">
        <v>683</v>
      </c>
      <c r="D88" s="878" t="s">
        <v>684</v>
      </c>
      <c r="E88" s="878" t="s">
        <v>685</v>
      </c>
      <c r="F88" s="878"/>
      <c r="G88" s="878"/>
      <c r="H88" s="878"/>
      <c r="I88" s="878"/>
      <c r="J88" s="878"/>
      <c r="K88" s="879"/>
      <c r="L88" s="880"/>
      <c r="M88" s="881"/>
      <c r="N88" s="2397"/>
      <c r="O88" s="2397"/>
      <c r="P88" s="2894"/>
      <c r="Q88" s="2888"/>
      <c r="R88" s="2389"/>
      <c r="S88" s="2389"/>
      <c r="T88" s="2389"/>
      <c r="U88" s="2389"/>
      <c r="V88" s="2389"/>
      <c r="W88" s="2389"/>
      <c r="X88" s="2389"/>
      <c r="Y88" s="2389"/>
      <c r="Z88" s="2389"/>
      <c r="AA88" s="2389"/>
      <c r="AB88" s="2389"/>
      <c r="AC88" s="2389"/>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98"/>
      <c r="O89" s="2398"/>
      <c r="P89" s="2894"/>
      <c r="Q89" s="2888"/>
      <c r="R89" s="2389"/>
      <c r="S89" s="2389"/>
      <c r="T89" s="2389"/>
      <c r="U89" s="2389"/>
      <c r="V89" s="2389"/>
      <c r="W89" s="2389"/>
      <c r="X89" s="2389"/>
      <c r="Y89" s="2389"/>
      <c r="Z89" s="2389"/>
      <c r="AA89" s="2389"/>
      <c r="AB89" s="2389"/>
      <c r="AC89" s="2389"/>
    </row>
    <row r="90" spans="1:29" s="819" customFormat="1" ht="15" thickTop="1">
      <c r="A90" s="941"/>
      <c r="B90" s="886" t="s">
        <v>686</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399"/>
      <c r="O90" s="2399"/>
      <c r="P90" s="2895"/>
      <c r="Q90" s="2896"/>
      <c r="R90" s="2897"/>
      <c r="S90" s="2897"/>
      <c r="T90" s="2897"/>
      <c r="U90" s="2897"/>
      <c r="V90" s="2897"/>
      <c r="W90" s="2897"/>
      <c r="X90" s="2897"/>
      <c r="Y90" s="2897"/>
      <c r="Z90" s="2897"/>
      <c r="AA90" s="2897"/>
      <c r="AB90" s="2897"/>
      <c r="AC90" s="2897"/>
    </row>
    <row r="91" spans="1:29" s="819" customFormat="1">
      <c r="A91" s="941"/>
      <c r="B91" s="894"/>
      <c r="C91" s="943">
        <v>20</v>
      </c>
      <c r="D91" s="943">
        <v>30</v>
      </c>
      <c r="E91" s="943">
        <v>45</v>
      </c>
      <c r="F91" s="943"/>
      <c r="G91" s="943"/>
      <c r="H91" s="943"/>
      <c r="I91" s="943"/>
      <c r="J91" s="944"/>
      <c r="K91" s="944"/>
      <c r="L91" s="945"/>
      <c r="M91" s="946"/>
      <c r="N91" s="2399"/>
      <c r="O91" s="2399"/>
      <c r="P91" s="2895"/>
      <c r="Q91" s="2896"/>
      <c r="R91" s="2897"/>
      <c r="S91" s="2897"/>
      <c r="T91" s="2897"/>
      <c r="U91" s="2897"/>
      <c r="V91" s="2897"/>
      <c r="W91" s="2897"/>
      <c r="X91" s="2897"/>
      <c r="Y91" s="2897"/>
      <c r="Z91" s="2897"/>
      <c r="AA91" s="2897"/>
      <c r="AB91" s="2897"/>
      <c r="AC91" s="2897"/>
    </row>
    <row r="92" spans="1:29" s="819" customFormat="1" ht="15.75" thickBot="1">
      <c r="A92" s="901"/>
      <c r="B92" s="891"/>
      <c r="C92" s="908">
        <v>100</v>
      </c>
      <c r="D92" s="884">
        <v>102</v>
      </c>
      <c r="E92" s="884">
        <v>104</v>
      </c>
      <c r="F92" s="884">
        <v>106</v>
      </c>
      <c r="G92" s="884">
        <v>108</v>
      </c>
      <c r="H92" s="884">
        <v>110</v>
      </c>
      <c r="I92" s="884"/>
      <c r="J92" s="884"/>
      <c r="K92" s="884"/>
      <c r="L92" s="884"/>
      <c r="M92" s="885"/>
      <c r="N92" s="2399"/>
      <c r="O92" s="2399"/>
      <c r="P92" s="2895"/>
      <c r="Q92" s="2896"/>
      <c r="R92" s="2897"/>
      <c r="S92" s="2897"/>
      <c r="T92" s="2897"/>
      <c r="U92" s="2897"/>
      <c r="V92" s="2897"/>
      <c r="W92" s="2897"/>
      <c r="X92" s="2897"/>
      <c r="Y92" s="2897"/>
      <c r="Z92" s="2897"/>
      <c r="AA92" s="2897"/>
      <c r="AB92" s="2897"/>
      <c r="AC92" s="2897"/>
    </row>
    <row r="93" spans="1:29" ht="15" thickTop="1">
      <c r="A93" s="947"/>
      <c r="B93" s="886" t="s">
        <v>687</v>
      </c>
      <c r="C93" s="902" t="s">
        <v>688</v>
      </c>
      <c r="D93" s="902" t="s">
        <v>689</v>
      </c>
      <c r="E93" s="931"/>
      <c r="F93" s="931"/>
      <c r="G93" s="931"/>
      <c r="H93" s="931"/>
      <c r="I93" s="931"/>
      <c r="J93" s="931"/>
      <c r="K93" s="932"/>
      <c r="L93" s="933"/>
      <c r="M93" s="934"/>
      <c r="N93" s="2397"/>
      <c r="O93" s="2397"/>
      <c r="P93" s="2894"/>
      <c r="Q93" s="2888"/>
      <c r="R93" s="2389"/>
      <c r="S93" s="2389"/>
      <c r="T93" s="2389"/>
      <c r="U93" s="2389"/>
      <c r="V93" s="2389"/>
      <c r="W93" s="2389"/>
      <c r="X93" s="2389"/>
      <c r="Y93" s="2389"/>
      <c r="Z93" s="2389"/>
      <c r="AA93" s="2389"/>
      <c r="AB93" s="2389"/>
      <c r="AC93" s="2389"/>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7"/>
      <c r="B95" s="886" t="s">
        <v>690</v>
      </c>
      <c r="C95" s="878" t="s">
        <v>691</v>
      </c>
      <c r="D95" s="878" t="s">
        <v>692</v>
      </c>
      <c r="E95" s="878"/>
      <c r="F95" s="878"/>
      <c r="G95" s="878"/>
      <c r="H95" s="878"/>
      <c r="I95" s="878"/>
      <c r="J95" s="878"/>
      <c r="K95" s="879"/>
      <c r="L95" s="880"/>
      <c r="M95" s="881"/>
      <c r="N95" s="2397"/>
      <c r="O95" s="2397"/>
      <c r="P95" s="2894"/>
      <c r="Q95" s="2888"/>
      <c r="R95" s="2389"/>
      <c r="S95" s="2389"/>
      <c r="T95" s="2389"/>
      <c r="U95" s="2389"/>
      <c r="V95" s="2389"/>
      <c r="W95" s="2389"/>
      <c r="X95" s="2389"/>
      <c r="Y95" s="2389"/>
      <c r="Z95" s="2389"/>
      <c r="AA95" s="2389"/>
      <c r="AB95" s="2389"/>
      <c r="AC95" s="2389"/>
    </row>
    <row r="96" spans="1:29" ht="15.75" thickBot="1">
      <c r="A96" s="882"/>
      <c r="B96" s="891"/>
      <c r="C96" s="892">
        <v>100</v>
      </c>
      <c r="D96" s="892">
        <f>C96-$K33</f>
        <v>99</v>
      </c>
      <c r="E96" s="892">
        <f>D96-$K33</f>
        <v>98</v>
      </c>
      <c r="F96" s="892">
        <f>E96-$K33</f>
        <v>97</v>
      </c>
      <c r="G96" s="892">
        <f>F96-$K33</f>
        <v>96</v>
      </c>
      <c r="H96" s="892"/>
      <c r="I96" s="892"/>
      <c r="J96" s="892"/>
      <c r="K96" s="892"/>
      <c r="L96" s="892"/>
      <c r="M96" s="893"/>
      <c r="N96" s="2398"/>
      <c r="O96" s="2398"/>
      <c r="P96" s="2894"/>
      <c r="Q96" s="2888"/>
      <c r="R96" s="2389"/>
      <c r="S96" s="2389"/>
      <c r="T96" s="2389"/>
      <c r="U96" s="2389"/>
      <c r="V96" s="2389"/>
      <c r="W96" s="2389"/>
      <c r="X96" s="2389"/>
      <c r="Y96" s="2389"/>
      <c r="Z96" s="2389"/>
      <c r="AA96" s="2389"/>
      <c r="AB96" s="2389"/>
      <c r="AC96" s="2389"/>
    </row>
    <row r="97" spans="1:29" ht="15" thickTop="1">
      <c r="A97" s="947"/>
      <c r="B97" s="984">
        <f>B34</f>
        <v>111</v>
      </c>
      <c r="C97" s="897">
        <v>111</v>
      </c>
      <c r="D97" s="897">
        <v>222</v>
      </c>
      <c r="E97" s="897">
        <v>333</v>
      </c>
      <c r="F97" s="897">
        <v>444</v>
      </c>
      <c r="G97" s="902"/>
      <c r="H97" s="903"/>
      <c r="I97" s="903"/>
      <c r="J97" s="903"/>
      <c r="K97" s="903"/>
      <c r="L97" s="904"/>
      <c r="M97" s="905"/>
      <c r="N97" s="2398"/>
      <c r="O97" s="2398"/>
      <c r="P97" s="2901"/>
      <c r="Q97" s="2902"/>
      <c r="R97" s="2389"/>
      <c r="S97" s="2389"/>
      <c r="T97" s="2389"/>
      <c r="U97" s="2389"/>
      <c r="V97" s="2389"/>
      <c r="W97" s="2389"/>
      <c r="X97" s="2389"/>
      <c r="Y97" s="2389"/>
      <c r="Z97" s="2389"/>
      <c r="AA97" s="2389"/>
      <c r="AB97" s="2389"/>
      <c r="AC97" s="2389"/>
    </row>
    <row r="98" spans="1:29" ht="15.75" thickBot="1">
      <c r="A98" s="882"/>
      <c r="B98" s="891"/>
      <c r="C98" s="908">
        <v>100</v>
      </c>
      <c r="D98" s="884">
        <v>99</v>
      </c>
      <c r="E98" s="884">
        <v>98</v>
      </c>
      <c r="F98" s="884">
        <v>97</v>
      </c>
      <c r="G98" s="908"/>
      <c r="H98" s="910"/>
      <c r="I98" s="910"/>
      <c r="J98" s="910"/>
      <c r="K98" s="910"/>
      <c r="L98" s="910"/>
      <c r="M98" s="911"/>
      <c r="N98" s="2398"/>
      <c r="O98" s="2398"/>
      <c r="P98" s="2894"/>
      <c r="Q98" s="2888"/>
      <c r="R98" s="2389"/>
      <c r="S98" s="2389"/>
      <c r="T98" s="2389"/>
      <c r="U98" s="2389"/>
      <c r="V98" s="2389"/>
      <c r="W98" s="2389"/>
      <c r="X98" s="2389"/>
      <c r="Y98" s="2389"/>
      <c r="Z98" s="2389"/>
      <c r="AA98" s="2389"/>
      <c r="AB98" s="2389"/>
      <c r="AC98" s="2389"/>
    </row>
    <row r="99" spans="1:29" s="819" customFormat="1" ht="15" thickTop="1">
      <c r="A99" s="941"/>
      <c r="B99" s="886">
        <f>B35</f>
        <v>111</v>
      </c>
      <c r="C99" s="897">
        <v>111</v>
      </c>
      <c r="D99" s="897">
        <v>222</v>
      </c>
      <c r="E99" s="897">
        <v>333</v>
      </c>
      <c r="F99" s="897">
        <v>444</v>
      </c>
      <c r="G99" s="902"/>
      <c r="H99" s="903"/>
      <c r="I99" s="903"/>
      <c r="J99" s="903"/>
      <c r="K99" s="903"/>
      <c r="L99" s="904"/>
      <c r="M99" s="905"/>
      <c r="N99" s="2399"/>
      <c r="O99" s="2399"/>
      <c r="P99" s="2895"/>
      <c r="Q99" s="2896"/>
      <c r="R99" s="2897"/>
      <c r="S99" s="2897"/>
      <c r="T99" s="2897"/>
      <c r="U99" s="2897"/>
      <c r="V99" s="2897"/>
      <c r="W99" s="2897"/>
      <c r="X99" s="2897"/>
      <c r="Y99" s="2897"/>
      <c r="Z99" s="2897"/>
      <c r="AA99" s="2897"/>
      <c r="AB99" s="2897"/>
      <c r="AC99" s="2897"/>
    </row>
    <row r="100" spans="1:29" s="819" customFormat="1" ht="15.75" thickBot="1">
      <c r="A100" s="901"/>
      <c r="B100" s="883"/>
      <c r="C100" s="908">
        <v>100</v>
      </c>
      <c r="D100" s="884">
        <v>98</v>
      </c>
      <c r="E100" s="884">
        <v>96</v>
      </c>
      <c r="F100" s="884">
        <v>94</v>
      </c>
      <c r="G100" s="908"/>
      <c r="H100" s="910"/>
      <c r="I100" s="910"/>
      <c r="J100" s="910"/>
      <c r="K100" s="910"/>
      <c r="L100" s="910"/>
      <c r="M100" s="911"/>
      <c r="N100" s="2399"/>
      <c r="O100" s="2399"/>
      <c r="P100" s="2895"/>
      <c r="Q100" s="2896"/>
      <c r="R100" s="2897"/>
      <c r="S100" s="2897"/>
      <c r="T100" s="2897"/>
      <c r="U100" s="2897"/>
      <c r="V100" s="2897"/>
      <c r="W100" s="2897"/>
      <c r="X100" s="2897"/>
      <c r="Y100" s="2897"/>
      <c r="Z100" s="2897"/>
      <c r="AA100" s="2897"/>
      <c r="AB100" s="2897"/>
      <c r="AC100" s="2897"/>
    </row>
    <row r="101" spans="1:29" ht="15" thickTop="1">
      <c r="A101" s="947"/>
      <c r="B101" s="886">
        <f>B36</f>
        <v>111</v>
      </c>
      <c r="C101" s="902">
        <v>111</v>
      </c>
      <c r="D101" s="902">
        <v>222</v>
      </c>
      <c r="E101" s="902">
        <v>333</v>
      </c>
      <c r="F101" s="902">
        <v>444</v>
      </c>
      <c r="G101" s="902"/>
      <c r="H101" s="903"/>
      <c r="I101" s="903"/>
      <c r="J101" s="903"/>
      <c r="K101" s="903"/>
      <c r="L101" s="904"/>
      <c r="M101" s="905"/>
      <c r="N101" s="2397"/>
      <c r="O101" s="2397"/>
      <c r="P101" s="2894"/>
      <c r="Q101" s="2888"/>
      <c r="R101" s="2389"/>
      <c r="S101" s="2389"/>
      <c r="T101" s="2389"/>
      <c r="U101" s="2389"/>
      <c r="V101" s="2389"/>
      <c r="W101" s="2389"/>
      <c r="X101" s="2389"/>
      <c r="Y101" s="2389"/>
      <c r="Z101" s="2389"/>
      <c r="AA101" s="2389"/>
      <c r="AB101" s="2389"/>
      <c r="AC101" s="2389"/>
    </row>
    <row r="102" spans="1:29" ht="15.75" thickBot="1">
      <c r="A102" s="882"/>
      <c r="B102" s="891"/>
      <c r="C102" s="908">
        <v>100</v>
      </c>
      <c r="D102" s="908">
        <v>97</v>
      </c>
      <c r="E102" s="908">
        <v>94</v>
      </c>
      <c r="F102" s="908">
        <v>91</v>
      </c>
      <c r="G102" s="908"/>
      <c r="H102" s="910"/>
      <c r="I102" s="910"/>
      <c r="J102" s="910"/>
      <c r="K102" s="910"/>
      <c r="L102" s="910"/>
      <c r="M102" s="911"/>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74" t="s">
        <v>42</v>
      </c>
      <c r="C1" s="3164" t="s">
        <v>636</v>
      </c>
      <c r="D1" s="3145"/>
      <c r="E1" s="3175"/>
      <c r="F1" s="3147" t="s">
        <v>3103</v>
      </c>
      <c r="G1" s="3176" t="s">
        <v>638</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6" customFormat="1" ht="28.5" customHeight="1" thickTop="1">
      <c r="A2" s="3161" t="s">
        <v>639</v>
      </c>
      <c r="B2" s="2883" t="e">
        <f ca="1">IF(C2="——",ROUND(B3*D3/10000,0),ROUND(B3*D3/10000,0)-D2)</f>
        <v>#DIV/0!</v>
      </c>
      <c r="C2" s="3139" t="s">
        <v>3105</v>
      </c>
      <c r="D2" s="2369" t="e">
        <f ca="1">SUMIF(INDIRECT("'"&amp;F2&amp;"'"&amp;"!A:A"),"承租人权益价值",INDIRECT("'"&amp;F2&amp;"'"&amp;"!c:c"))</f>
        <v>#N/A</v>
      </c>
      <c r="E2" s="3140" t="s">
        <v>1109</v>
      </c>
      <c r="F2" s="3141" t="s">
        <v>3077</v>
      </c>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640</v>
      </c>
      <c r="B3" s="957" t="e">
        <f>C37</f>
        <v>#DIV/0!</v>
      </c>
      <c r="C3" s="748" t="s">
        <v>641</v>
      </c>
      <c r="D3" s="747">
        <f>SUMIF('数据-汇总表'!$C19:$C33,D1,'数据-汇总表'!$E19:$E33)</f>
        <v>0</v>
      </c>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642</v>
      </c>
      <c r="B4" s="750"/>
      <c r="C4" s="3559" t="s">
        <v>643</v>
      </c>
      <c r="D4" s="3560"/>
      <c r="E4" s="3561" t="s">
        <v>644</v>
      </c>
      <c r="F4" s="3562"/>
      <c r="G4" s="3559" t="s">
        <v>645</v>
      </c>
      <c r="H4" s="3560"/>
      <c r="I4" s="3559" t="s">
        <v>646</v>
      </c>
      <c r="J4" s="3560"/>
      <c r="K4" s="958" t="s">
        <v>647</v>
      </c>
      <c r="L4" s="2375"/>
      <c r="M4" s="2376"/>
      <c r="N4" s="2376"/>
      <c r="O4" s="2376"/>
      <c r="P4" s="3563" t="s">
        <v>648</v>
      </c>
      <c r="Q4" s="3564"/>
      <c r="R4" s="3569" t="s">
        <v>644</v>
      </c>
      <c r="S4" s="3570"/>
      <c r="T4" s="3569" t="s">
        <v>645</v>
      </c>
      <c r="U4" s="3570"/>
      <c r="V4" s="3555" t="s">
        <v>646</v>
      </c>
      <c r="W4" s="3555"/>
      <c r="X4" s="1324"/>
      <c r="Y4" s="3569" t="s">
        <v>648</v>
      </c>
      <c r="Z4" s="3570"/>
      <c r="AA4" s="3556" t="s">
        <v>644</v>
      </c>
      <c r="AB4" s="3557" t="s">
        <v>645</v>
      </c>
      <c r="AC4" s="3556" t="s">
        <v>646</v>
      </c>
    </row>
    <row r="5" spans="1:29" ht="15">
      <c r="A5" s="752"/>
      <c r="B5" s="753"/>
      <c r="C5" s="3575" t="s">
        <v>1453</v>
      </c>
      <c r="D5" s="3576"/>
      <c r="E5" s="3582" t="s">
        <v>1454</v>
      </c>
      <c r="F5" s="3583"/>
      <c r="G5" s="3575" t="s">
        <v>66</v>
      </c>
      <c r="H5" s="3576"/>
      <c r="I5" s="3575" t="s">
        <v>1455</v>
      </c>
      <c r="J5" s="3576"/>
      <c r="K5" s="958"/>
      <c r="L5" s="2375"/>
      <c r="M5" s="2376"/>
      <c r="N5" s="2376"/>
      <c r="O5" s="2376"/>
      <c r="P5" s="3565"/>
      <c r="Q5" s="3566"/>
      <c r="R5" s="3571"/>
      <c r="S5" s="3572"/>
      <c r="T5" s="3571"/>
      <c r="U5" s="3572"/>
      <c r="V5" s="3555"/>
      <c r="W5" s="3555"/>
      <c r="X5" s="1324"/>
      <c r="Y5" s="3571"/>
      <c r="Z5" s="3572"/>
      <c r="AA5" s="3557"/>
      <c r="AB5" s="3557"/>
      <c r="AC5" s="3557"/>
    </row>
    <row r="6" spans="1:29" ht="15.75" thickBot="1">
      <c r="A6" s="754"/>
      <c r="B6" s="755"/>
      <c r="C6" s="3580" t="s">
        <v>1456</v>
      </c>
      <c r="D6" s="3581"/>
      <c r="E6" s="3669" t="s">
        <v>1456</v>
      </c>
      <c r="F6" s="3670"/>
      <c r="G6" s="3580" t="s">
        <v>1456</v>
      </c>
      <c r="H6" s="3581"/>
      <c r="I6" s="3580" t="s">
        <v>1456</v>
      </c>
      <c r="J6" s="3581"/>
      <c r="K6" s="958" t="s">
        <v>571</v>
      </c>
      <c r="L6" s="2375"/>
      <c r="M6" s="2376"/>
      <c r="N6" s="2376"/>
      <c r="O6" s="2376"/>
      <c r="P6" s="3567"/>
      <c r="Q6" s="3568"/>
      <c r="R6" s="3571"/>
      <c r="S6" s="3572"/>
      <c r="T6" s="3573"/>
      <c r="U6" s="3574"/>
      <c r="V6" s="3555"/>
      <c r="W6" s="3555"/>
      <c r="X6" s="1324"/>
      <c r="Y6" s="3573"/>
      <c r="Z6" s="3574"/>
      <c r="AA6" s="3558"/>
      <c r="AB6" s="3558"/>
      <c r="AC6" s="3558"/>
    </row>
    <row r="7" spans="1:29" s="413" customFormat="1" ht="15.75" thickBot="1">
      <c r="A7" s="756" t="s">
        <v>572</v>
      </c>
      <c r="B7" s="757"/>
      <c r="C7" s="758">
        <f>'数据-取费表'!B2</f>
        <v>42930</v>
      </c>
      <c r="D7" s="759">
        <v>100</v>
      </c>
      <c r="E7" s="1022">
        <v>42007</v>
      </c>
      <c r="F7" s="761">
        <f>SUMIF(46:46,YEAR(E7)&amp;"-"&amp;MONTH(E7),47:47)</f>
        <v>0</v>
      </c>
      <c r="G7" s="1023">
        <v>41918</v>
      </c>
      <c r="H7" s="759">
        <f>SUMIF(46:46,YEAR(G7)&amp;"-"&amp;MONTH(G7),47:47)</f>
        <v>0</v>
      </c>
      <c r="I7" s="1023">
        <v>42003</v>
      </c>
      <c r="J7" s="759">
        <f>SUMIF(46:46,YEAR(I7)&amp;"-"&amp;MONTH(I7),47:47)</f>
        <v>0</v>
      </c>
      <c r="K7" s="959"/>
      <c r="L7" s="2377"/>
      <c r="M7" s="2378"/>
      <c r="N7" s="2378"/>
      <c r="O7" s="2378"/>
      <c r="P7" s="3577" t="s">
        <v>573</v>
      </c>
      <c r="Q7" s="3579"/>
      <c r="R7" s="1325" t="s">
        <v>70</v>
      </c>
      <c r="S7" s="1326">
        <f t="shared" ref="S7:S14" si="0">F7</f>
        <v>0</v>
      </c>
      <c r="T7" s="1325" t="s">
        <v>70</v>
      </c>
      <c r="U7" s="1326">
        <f t="shared" ref="U7:U14" si="1">H7</f>
        <v>0</v>
      </c>
      <c r="V7" s="1325" t="s">
        <v>70</v>
      </c>
      <c r="W7" s="1326">
        <f t="shared" ref="W7:W14" si="2">J7</f>
        <v>0</v>
      </c>
      <c r="X7" s="1327"/>
      <c r="Y7" s="3577" t="s">
        <v>573</v>
      </c>
      <c r="Z7" s="3578"/>
      <c r="AA7" s="1328" t="e">
        <f>D7/F7</f>
        <v>#DIV/0!</v>
      </c>
      <c r="AB7" s="1328" t="e">
        <f>D7/H7</f>
        <v>#DIV/0!</v>
      </c>
      <c r="AC7" s="1328" t="e">
        <f>D7/J7</f>
        <v>#DIV/0!</v>
      </c>
    </row>
    <row r="8" spans="1:29" s="413" customFormat="1" ht="15.75" thickBot="1">
      <c r="A8" s="756" t="s">
        <v>574</v>
      </c>
      <c r="B8" s="757"/>
      <c r="C8" s="763" t="s">
        <v>595</v>
      </c>
      <c r="D8" s="759">
        <v>100</v>
      </c>
      <c r="E8" s="763" t="s">
        <v>615</v>
      </c>
      <c r="F8" s="761">
        <f>SUMIF(49:49,E8,50:50)-SUMIF(49:49,C8,50:50)+100</f>
        <v>95</v>
      </c>
      <c r="G8" s="763" t="s">
        <v>595</v>
      </c>
      <c r="H8" s="759">
        <f>SUMIF(49:49,G8,50:50)-SUMIF(49:49,C8,50:50)+100</f>
        <v>100</v>
      </c>
      <c r="I8" s="763" t="s">
        <v>595</v>
      </c>
      <c r="J8" s="759">
        <f>SUMIF(49:49,I8,50:50)-SUMIF(49:49,C8,50:50)+100</f>
        <v>100</v>
      </c>
      <c r="K8" s="959"/>
      <c r="L8" s="2377"/>
      <c r="M8" s="2378"/>
      <c r="N8" s="2378"/>
      <c r="O8" s="2378"/>
      <c r="P8" s="3577" t="s">
        <v>616</v>
      </c>
      <c r="Q8" s="3578"/>
      <c r="R8" s="1325" t="s">
        <v>70</v>
      </c>
      <c r="S8" s="1326">
        <f t="shared" si="0"/>
        <v>95</v>
      </c>
      <c r="T8" s="1325" t="s">
        <v>70</v>
      </c>
      <c r="U8" s="1326">
        <f t="shared" si="1"/>
        <v>100</v>
      </c>
      <c r="V8" s="1325" t="s">
        <v>70</v>
      </c>
      <c r="W8" s="1326">
        <f t="shared" si="2"/>
        <v>100</v>
      </c>
      <c r="X8" s="1327"/>
      <c r="Y8" s="3577" t="s">
        <v>616</v>
      </c>
      <c r="Z8" s="3578"/>
      <c r="AA8" s="1328">
        <f t="shared" ref="AA8:AA34" si="3">D8/F8</f>
        <v>1.0526315789473684</v>
      </c>
      <c r="AB8" s="1328">
        <f t="shared" ref="AB8:AB34" si="4">D8/H8</f>
        <v>1</v>
      </c>
      <c r="AC8" s="1328">
        <f t="shared" ref="AC8:AC34" si="5">D8/J8</f>
        <v>1</v>
      </c>
    </row>
    <row r="9" spans="1:29" s="413" customFormat="1">
      <c r="A9" s="764" t="s">
        <v>575</v>
      </c>
      <c r="B9" s="367" t="s">
        <v>598</v>
      </c>
      <c r="C9" s="1352" t="s">
        <v>1457</v>
      </c>
      <c r="D9" s="430">
        <v>100</v>
      </c>
      <c r="E9" s="768" t="s">
        <v>693</v>
      </c>
      <c r="F9" s="430">
        <f>SUMIF(51:51,E9,52:52)-SUMIF(51:51,C9,52:52)+100</f>
        <v>100</v>
      </c>
      <c r="G9" s="768" t="s">
        <v>693</v>
      </c>
      <c r="H9" s="430">
        <f>SUMIF(51:51,G9,52:52)-SUMIF(51:51,C9,52:52)+100</f>
        <v>100</v>
      </c>
      <c r="I9" s="768" t="s">
        <v>693</v>
      </c>
      <c r="J9" s="430">
        <f>SUMIF(51:51,I9,52:52)-SUMIF(51:51,C9,52:52)+100</f>
        <v>100</v>
      </c>
      <c r="K9" s="959"/>
      <c r="L9" s="2377"/>
      <c r="M9" s="2378"/>
      <c r="N9" s="2378"/>
      <c r="O9" s="2379"/>
      <c r="P9" s="3550" t="s">
        <v>576</v>
      </c>
      <c r="Q9" s="302" t="str">
        <f t="shared" ref="Q9:Q14" si="6">B9</f>
        <v>用途</v>
      </c>
      <c r="R9" s="1325" t="s">
        <v>70</v>
      </c>
      <c r="S9" s="1326">
        <f t="shared" si="0"/>
        <v>100</v>
      </c>
      <c r="T9" s="1325" t="s">
        <v>70</v>
      </c>
      <c r="U9" s="1326">
        <f t="shared" si="1"/>
        <v>100</v>
      </c>
      <c r="V9" s="1325" t="s">
        <v>70</v>
      </c>
      <c r="W9" s="1326">
        <f t="shared" si="2"/>
        <v>100</v>
      </c>
      <c r="X9" s="1327"/>
      <c r="Y9" s="3445" t="s">
        <v>577</v>
      </c>
      <c r="Z9" s="350" t="str">
        <f t="shared" ref="Z9:Z14" si="7">Q9</f>
        <v>用途</v>
      </c>
      <c r="AA9" s="1328">
        <f t="shared" si="3"/>
        <v>1</v>
      </c>
      <c r="AB9" s="1328">
        <f t="shared" si="4"/>
        <v>1</v>
      </c>
      <c r="AC9" s="1328">
        <f t="shared" si="5"/>
        <v>1</v>
      </c>
    </row>
    <row r="10" spans="1:29" s="776" customFormat="1" ht="27">
      <c r="A10" s="770"/>
      <c r="B10" s="771" t="s">
        <v>578</v>
      </c>
      <c r="C10" s="772" t="s">
        <v>629</v>
      </c>
      <c r="D10" s="431">
        <v>100</v>
      </c>
      <c r="E10" s="772" t="s">
        <v>617</v>
      </c>
      <c r="F10" s="431">
        <f>SUMIF(53:53,E10,54:54)-SUMIF(53:53,C10,54:54)+100</f>
        <v>97</v>
      </c>
      <c r="G10" s="773" t="s">
        <v>618</v>
      </c>
      <c r="H10" s="431">
        <f>SUMIF(53:53,G10,54:54)-SUMIF(53:53,C10,54:54)+100</f>
        <v>94</v>
      </c>
      <c r="I10" s="772" t="s">
        <v>619</v>
      </c>
      <c r="J10" s="431">
        <f>SUMIF(53:53,I10,54:54)-SUMIF(53:53,C10,54:54)+100</f>
        <v>91</v>
      </c>
      <c r="K10" s="960">
        <v>3</v>
      </c>
      <c r="L10" s="2380"/>
      <c r="M10" s="2381"/>
      <c r="N10" s="2381"/>
      <c r="O10" s="2382"/>
      <c r="P10" s="3550"/>
      <c r="Q10" s="302" t="str">
        <f t="shared" si="6"/>
        <v>土地使用年限（年）</v>
      </c>
      <c r="R10" s="1325" t="s">
        <v>70</v>
      </c>
      <c r="S10" s="1326">
        <f t="shared" si="0"/>
        <v>97</v>
      </c>
      <c r="T10" s="1325" t="s">
        <v>70</v>
      </c>
      <c r="U10" s="1326">
        <f t="shared" si="1"/>
        <v>94</v>
      </c>
      <c r="V10" s="1325" t="s">
        <v>70</v>
      </c>
      <c r="W10" s="1326">
        <f t="shared" si="2"/>
        <v>91</v>
      </c>
      <c r="X10" s="1327"/>
      <c r="Y10" s="3445"/>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3"/>
      <c r="M11" s="2376"/>
      <c r="N11" s="2376"/>
      <c r="O11" s="2384"/>
      <c r="P11" s="3550"/>
      <c r="Q11" s="302">
        <f t="shared" si="6"/>
        <v>111</v>
      </c>
      <c r="R11" s="1325" t="s">
        <v>70</v>
      </c>
      <c r="S11" s="1326">
        <f t="shared" si="0"/>
        <v>99</v>
      </c>
      <c r="T11" s="1325" t="s">
        <v>70</v>
      </c>
      <c r="U11" s="1326">
        <f t="shared" si="1"/>
        <v>98</v>
      </c>
      <c r="V11" s="1325" t="s">
        <v>70</v>
      </c>
      <c r="W11" s="1326">
        <f t="shared" si="2"/>
        <v>97</v>
      </c>
      <c r="X11" s="1327"/>
      <c r="Y11" s="3445"/>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77"/>
      <c r="M12" s="2378"/>
      <c r="N12" s="2378"/>
      <c r="O12" s="2379"/>
      <c r="P12" s="3550"/>
      <c r="Q12" s="302">
        <f t="shared" si="6"/>
        <v>111</v>
      </c>
      <c r="R12" s="1325" t="s">
        <v>70</v>
      </c>
      <c r="S12" s="1326">
        <f t="shared" si="0"/>
        <v>98</v>
      </c>
      <c r="T12" s="1325" t="s">
        <v>70</v>
      </c>
      <c r="U12" s="1326">
        <f t="shared" si="1"/>
        <v>96</v>
      </c>
      <c r="V12" s="1325" t="s">
        <v>70</v>
      </c>
      <c r="W12" s="1326">
        <f t="shared" si="2"/>
        <v>94</v>
      </c>
      <c r="X12" s="1327"/>
      <c r="Y12" s="3445"/>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5"/>
      <c r="M13" s="2376"/>
      <c r="N13" s="2376"/>
      <c r="O13" s="2384"/>
      <c r="P13" s="3550"/>
      <c r="Q13" s="302">
        <f t="shared" si="6"/>
        <v>111</v>
      </c>
      <c r="R13" s="1325" t="s">
        <v>70</v>
      </c>
      <c r="S13" s="1326">
        <f t="shared" si="0"/>
        <v>97</v>
      </c>
      <c r="T13" s="1325" t="s">
        <v>70</v>
      </c>
      <c r="U13" s="1326">
        <f t="shared" si="1"/>
        <v>94</v>
      </c>
      <c r="V13" s="1325" t="s">
        <v>70</v>
      </c>
      <c r="W13" s="1326">
        <f t="shared" si="2"/>
        <v>91</v>
      </c>
      <c r="X13" s="1327"/>
      <c r="Y13" s="3445"/>
      <c r="Z13" s="350">
        <f t="shared" si="7"/>
        <v>111</v>
      </c>
      <c r="AA13" s="1328">
        <f t="shared" si="3"/>
        <v>1.0309278350515463</v>
      </c>
      <c r="AB13" s="1328">
        <f t="shared" si="4"/>
        <v>1.0638297872340425</v>
      </c>
      <c r="AC13" s="1328">
        <f t="shared" si="5"/>
        <v>1.098901098901099</v>
      </c>
    </row>
    <row r="14" spans="1:29" ht="94.5">
      <c r="A14" s="789" t="s">
        <v>580</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5"/>
      <c r="M14" s="2376"/>
      <c r="N14" s="2376"/>
      <c r="O14" s="2384"/>
      <c r="P14" s="3551" t="s">
        <v>581</v>
      </c>
      <c r="Q14" s="1329" t="str">
        <f t="shared" si="6"/>
        <v>交通便捷度</v>
      </c>
      <c r="R14" s="1330" t="s">
        <v>70</v>
      </c>
      <c r="S14" s="1331">
        <f t="shared" si="0"/>
        <v>102</v>
      </c>
      <c r="T14" s="1330" t="s">
        <v>70</v>
      </c>
      <c r="U14" s="1331">
        <f t="shared" si="1"/>
        <v>98</v>
      </c>
      <c r="V14" s="1330" t="s">
        <v>70</v>
      </c>
      <c r="W14" s="1331">
        <f t="shared" si="2"/>
        <v>96</v>
      </c>
      <c r="X14" s="1324"/>
      <c r="Y14" s="3551" t="s">
        <v>581</v>
      </c>
      <c r="Z14" s="1332" t="str">
        <f t="shared" si="7"/>
        <v>交通便捷度</v>
      </c>
      <c r="AA14" s="1333">
        <f t="shared" si="3"/>
        <v>0.98039215686274506</v>
      </c>
      <c r="AB14" s="1333">
        <f t="shared" si="4"/>
        <v>1.0204081632653061</v>
      </c>
      <c r="AC14" s="1333">
        <f t="shared" si="5"/>
        <v>1.0416666666666667</v>
      </c>
    </row>
    <row r="15" spans="1:29" ht="15">
      <c r="A15" s="777"/>
      <c r="B15" s="795"/>
      <c r="C15" s="97" t="s">
        <v>2804</v>
      </c>
      <c r="D15" s="797"/>
      <c r="E15" s="796" t="s">
        <v>583</v>
      </c>
      <c r="F15" s="798"/>
      <c r="G15" s="796" t="s">
        <v>621</v>
      </c>
      <c r="H15" s="799"/>
      <c r="I15" s="796" t="s">
        <v>622</v>
      </c>
      <c r="J15" s="797"/>
      <c r="K15" s="963"/>
      <c r="L15" s="2385"/>
      <c r="M15" s="2376"/>
      <c r="N15" s="2376"/>
      <c r="O15" s="2384"/>
      <c r="P15" s="3552"/>
      <c r="Q15" s="1329"/>
      <c r="R15" s="1330"/>
      <c r="S15" s="1331"/>
      <c r="T15" s="1330"/>
      <c r="U15" s="1331"/>
      <c r="V15" s="1330"/>
      <c r="W15" s="1331"/>
      <c r="X15" s="1324"/>
      <c r="Y15" s="3552"/>
      <c r="Z15" s="1332"/>
      <c r="AA15" s="1333">
        <v>1</v>
      </c>
      <c r="AB15" s="1333">
        <v>1</v>
      </c>
      <c r="AC15" s="1333">
        <v>1</v>
      </c>
    </row>
    <row r="16" spans="1:29" ht="40.5">
      <c r="A16" s="777"/>
      <c r="B16" s="1362" t="s">
        <v>3071</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5"/>
      <c r="M16" s="2376"/>
      <c r="N16" s="2376"/>
      <c r="O16" s="2384"/>
      <c r="P16" s="3552"/>
      <c r="Q16" s="1329" t="str">
        <f>B16</f>
        <v>公共配套设施</v>
      </c>
      <c r="R16" s="1330" t="s">
        <v>70</v>
      </c>
      <c r="S16" s="1331">
        <f>F16</f>
        <v>98</v>
      </c>
      <c r="T16" s="1330" t="s">
        <v>70</v>
      </c>
      <c r="U16" s="1331">
        <f>H16</f>
        <v>96</v>
      </c>
      <c r="V16" s="1330" t="s">
        <v>70</v>
      </c>
      <c r="W16" s="1331">
        <f>J16</f>
        <v>102</v>
      </c>
      <c r="X16" s="1324"/>
      <c r="Y16" s="3552"/>
      <c r="Z16" s="1332" t="str">
        <f>Q16</f>
        <v>公共配套设施</v>
      </c>
      <c r="AA16" s="1333">
        <f t="shared" si="3"/>
        <v>1.0204081632653061</v>
      </c>
      <c r="AB16" s="1333">
        <f t="shared" si="4"/>
        <v>1.0416666666666667</v>
      </c>
      <c r="AC16" s="1333">
        <f t="shared" si="5"/>
        <v>0.98039215686274506</v>
      </c>
    </row>
    <row r="17" spans="1:29" ht="15">
      <c r="A17" s="777"/>
      <c r="B17" s="805"/>
      <c r="C17" s="102" t="s">
        <v>2805</v>
      </c>
      <c r="D17" s="797"/>
      <c r="E17" s="796" t="s">
        <v>582</v>
      </c>
      <c r="F17" s="798"/>
      <c r="G17" s="796" t="s">
        <v>621</v>
      </c>
      <c r="H17" s="797"/>
      <c r="I17" s="796" t="s">
        <v>584</v>
      </c>
      <c r="J17" s="797"/>
      <c r="K17" s="963"/>
      <c r="L17" s="2385"/>
      <c r="M17" s="2376"/>
      <c r="N17" s="2376"/>
      <c r="O17" s="2384"/>
      <c r="P17" s="3552"/>
      <c r="Q17" s="1329"/>
      <c r="R17" s="1330"/>
      <c r="S17" s="1331"/>
      <c r="T17" s="1330"/>
      <c r="U17" s="1331"/>
      <c r="V17" s="1330"/>
      <c r="W17" s="1331"/>
      <c r="X17" s="1324"/>
      <c r="Y17" s="3552"/>
      <c r="Z17" s="1332"/>
      <c r="AA17" s="1333">
        <v>1</v>
      </c>
      <c r="AB17" s="1333">
        <v>1</v>
      </c>
      <c r="AC17" s="1333">
        <v>1</v>
      </c>
    </row>
    <row r="18" spans="1:29" ht="40.5">
      <c r="A18" s="777"/>
      <c r="B18" s="1418" t="s">
        <v>3073</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5"/>
      <c r="M18" s="2376"/>
      <c r="N18" s="2376"/>
      <c r="O18" s="2384"/>
      <c r="P18" s="3552"/>
      <c r="Q18" s="2785" t="str">
        <f>B18</f>
        <v>基础设施水平</v>
      </c>
      <c r="R18" s="1330" t="s">
        <v>70</v>
      </c>
      <c r="S18" s="1331">
        <f>F18</f>
        <v>98.5</v>
      </c>
      <c r="T18" s="1330" t="s">
        <v>70</v>
      </c>
      <c r="U18" s="1331">
        <f>H18</f>
        <v>97</v>
      </c>
      <c r="V18" s="1330" t="s">
        <v>70</v>
      </c>
      <c r="W18" s="1331">
        <f>J18</f>
        <v>95.5</v>
      </c>
      <c r="X18" s="2787"/>
      <c r="Y18" s="3552"/>
      <c r="Z18" s="2786" t="str">
        <f>Q18</f>
        <v>基础设施水平</v>
      </c>
      <c r="AA18" s="1333">
        <f t="shared" ref="AA18" si="8">D18/F18</f>
        <v>1.015228426395939</v>
      </c>
      <c r="AB18" s="1333">
        <f t="shared" ref="AB18" si="9">D18/H18</f>
        <v>1.0309278350515463</v>
      </c>
      <c r="AC18" s="1333">
        <f t="shared" ref="AC18" si="10">D18/J18</f>
        <v>1.0471204188481675</v>
      </c>
    </row>
    <row r="19" spans="1:29" ht="15">
      <c r="A19" s="777"/>
      <c r="B19" s="2805"/>
      <c r="C19" s="102" t="s">
        <v>56</v>
      </c>
      <c r="D19" s="799"/>
      <c r="E19" s="102" t="s">
        <v>161</v>
      </c>
      <c r="F19" s="802"/>
      <c r="G19" s="102" t="s">
        <v>162</v>
      </c>
      <c r="H19" s="797"/>
      <c r="I19" s="97" t="s">
        <v>258</v>
      </c>
      <c r="J19" s="797"/>
      <c r="K19" s="2803"/>
      <c r="L19" s="2385"/>
      <c r="M19" s="2376"/>
      <c r="N19" s="2376"/>
      <c r="O19" s="2384"/>
      <c r="P19" s="3552"/>
      <c r="Q19" s="2785"/>
      <c r="R19" s="1330"/>
      <c r="S19" s="1331"/>
      <c r="T19" s="1330"/>
      <c r="U19" s="1331"/>
      <c r="V19" s="1330"/>
      <c r="W19" s="1331"/>
      <c r="X19" s="2787"/>
      <c r="Y19" s="3552"/>
      <c r="Z19" s="2786"/>
      <c r="AA19" s="1333">
        <v>1</v>
      </c>
      <c r="AB19" s="1333">
        <v>1</v>
      </c>
      <c r="AC19" s="1333">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5"/>
      <c r="M20" s="2376"/>
      <c r="N20" s="2376"/>
      <c r="O20" s="2384"/>
      <c r="P20" s="3552"/>
      <c r="Q20" s="1329" t="str">
        <f>B20</f>
        <v>自然及人文环境</v>
      </c>
      <c r="R20" s="1330" t="s">
        <v>70</v>
      </c>
      <c r="S20" s="1331">
        <f>F20</f>
        <v>97</v>
      </c>
      <c r="T20" s="1330" t="s">
        <v>70</v>
      </c>
      <c r="U20" s="1331">
        <f>H20</f>
        <v>103</v>
      </c>
      <c r="V20" s="1330" t="s">
        <v>70</v>
      </c>
      <c r="W20" s="1331">
        <f>J20</f>
        <v>106</v>
      </c>
      <c r="X20" s="1324"/>
      <c r="Y20" s="3552"/>
      <c r="Z20" s="1332" t="str">
        <f>Q20</f>
        <v>自然及人文环境</v>
      </c>
      <c r="AA20" s="1333">
        <f t="shared" si="3"/>
        <v>1.0309278350515463</v>
      </c>
      <c r="AB20" s="1333">
        <f t="shared" si="4"/>
        <v>0.970873786407767</v>
      </c>
      <c r="AC20" s="1333">
        <f t="shared" si="5"/>
        <v>0.94339622641509435</v>
      </c>
    </row>
    <row r="21" spans="1:29" ht="15">
      <c r="A21" s="777"/>
      <c r="B21" s="805"/>
      <c r="C21" s="796" t="s">
        <v>582</v>
      </c>
      <c r="D21" s="797"/>
      <c r="E21" s="796" t="s">
        <v>621</v>
      </c>
      <c r="F21" s="798"/>
      <c r="G21" s="796" t="s">
        <v>583</v>
      </c>
      <c r="H21" s="797"/>
      <c r="I21" s="796" t="s">
        <v>584</v>
      </c>
      <c r="J21" s="797"/>
      <c r="K21" s="963"/>
      <c r="L21" s="2385"/>
      <c r="M21" s="2376"/>
      <c r="N21" s="2376"/>
      <c r="O21" s="2384"/>
      <c r="P21" s="3552"/>
      <c r="Q21" s="1329"/>
      <c r="R21" s="1330"/>
      <c r="S21" s="1331"/>
      <c r="T21" s="1330"/>
      <c r="U21" s="1331"/>
      <c r="V21" s="1330"/>
      <c r="W21" s="1331"/>
      <c r="X21" s="1324"/>
      <c r="Y21" s="3552"/>
      <c r="Z21" s="1332"/>
      <c r="AA21" s="1333">
        <v>1</v>
      </c>
      <c r="AB21" s="1333">
        <v>1</v>
      </c>
      <c r="AC21" s="1333">
        <v>1</v>
      </c>
    </row>
    <row r="22" spans="1:29" ht="15">
      <c r="A22" s="777"/>
      <c r="B22" s="800" t="s">
        <v>653</v>
      </c>
      <c r="C22" s="964" t="s">
        <v>624</v>
      </c>
      <c r="D22" s="799">
        <v>100</v>
      </c>
      <c r="E22" s="964" t="s">
        <v>654</v>
      </c>
      <c r="F22" s="810">
        <f>SUMIF(69:69,E22,70:70)-SUMIF(69:69,C22,70:70)+100</f>
        <v>98</v>
      </c>
      <c r="G22" s="964" t="s">
        <v>654</v>
      </c>
      <c r="H22" s="784">
        <f>SUMIF(69:69,G22,70:70)-SUMIF(69:69,C22,70:70)+100</f>
        <v>98</v>
      </c>
      <c r="I22" s="964" t="s">
        <v>624</v>
      </c>
      <c r="J22" s="784">
        <f>SUMIF(69:69,I22,70:70)-SUMIF(69:69,C22,70:70)+100</f>
        <v>100</v>
      </c>
      <c r="K22" s="960">
        <v>2</v>
      </c>
      <c r="L22" s="2385"/>
      <c r="M22" s="2376"/>
      <c r="N22" s="2376"/>
      <c r="O22" s="2384"/>
      <c r="P22" s="3552"/>
      <c r="Q22" s="1329" t="str">
        <f>B22</f>
        <v>楼层</v>
      </c>
      <c r="R22" s="1330" t="s">
        <v>70</v>
      </c>
      <c r="S22" s="1331">
        <f>F22</f>
        <v>98</v>
      </c>
      <c r="T22" s="1330" t="s">
        <v>70</v>
      </c>
      <c r="U22" s="1331">
        <f>H22</f>
        <v>98</v>
      </c>
      <c r="V22" s="1330" t="s">
        <v>70</v>
      </c>
      <c r="W22" s="1331">
        <f>J22</f>
        <v>100</v>
      </c>
      <c r="X22" s="1324"/>
      <c r="Y22" s="3552"/>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5"/>
      <c r="M23" s="2376"/>
      <c r="N23" s="2376"/>
      <c r="O23" s="2384"/>
      <c r="P23" s="3552"/>
      <c r="Q23" s="1329">
        <f>B23</f>
        <v>111</v>
      </c>
      <c r="R23" s="1330" t="s">
        <v>70</v>
      </c>
      <c r="S23" s="1331">
        <f>F23</f>
        <v>99</v>
      </c>
      <c r="T23" s="1330" t="s">
        <v>70</v>
      </c>
      <c r="U23" s="1331">
        <f>H23</f>
        <v>98</v>
      </c>
      <c r="V23" s="1330" t="s">
        <v>70</v>
      </c>
      <c r="W23" s="1331">
        <f>J23</f>
        <v>97</v>
      </c>
      <c r="X23" s="1324"/>
      <c r="Y23" s="3552"/>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5"/>
      <c r="M24" s="2376"/>
      <c r="N24" s="2376"/>
      <c r="O24" s="2384"/>
      <c r="P24" s="3552"/>
      <c r="Q24" s="1329">
        <f t="shared" ref="Q24:Q34" si="11">B24</f>
        <v>111</v>
      </c>
      <c r="R24" s="1330" t="s">
        <v>70</v>
      </c>
      <c r="S24" s="1331">
        <f>F24</f>
        <v>98</v>
      </c>
      <c r="T24" s="1330" t="s">
        <v>70</v>
      </c>
      <c r="U24" s="1331">
        <f>H24</f>
        <v>96</v>
      </c>
      <c r="V24" s="1330" t="s">
        <v>70</v>
      </c>
      <c r="W24" s="1331">
        <f>J24</f>
        <v>94</v>
      </c>
      <c r="X24" s="1324"/>
      <c r="Y24" s="3552"/>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77"/>
      <c r="M25" s="2378"/>
      <c r="N25" s="2378"/>
      <c r="O25" s="2379"/>
      <c r="P25" s="3552"/>
      <c r="Q25" s="302">
        <f t="shared" si="11"/>
        <v>111</v>
      </c>
      <c r="R25" s="1325" t="s">
        <v>70</v>
      </c>
      <c r="S25" s="1326">
        <f>F25</f>
        <v>97</v>
      </c>
      <c r="T25" s="1325" t="s">
        <v>70</v>
      </c>
      <c r="U25" s="1326">
        <f>H25</f>
        <v>94</v>
      </c>
      <c r="V25" s="1325" t="s">
        <v>70</v>
      </c>
      <c r="W25" s="1326">
        <f>J25</f>
        <v>91</v>
      </c>
      <c r="X25" s="1327"/>
      <c r="Y25" s="3552"/>
      <c r="Z25" s="350">
        <f>Q25</f>
        <v>111</v>
      </c>
      <c r="AA25" s="1333">
        <f>D25/F25</f>
        <v>1.0309278350515463</v>
      </c>
      <c r="AB25" s="1333">
        <f>D25/H25</f>
        <v>1.0638297872340425</v>
      </c>
      <c r="AC25" s="1333">
        <f>D25/J25</f>
        <v>1.098901098901099</v>
      </c>
    </row>
    <row r="26" spans="1:29" ht="15">
      <c r="A26" s="814" t="s">
        <v>585</v>
      </c>
      <c r="B26" s="367" t="s">
        <v>662</v>
      </c>
      <c r="C26" s="197" t="s">
        <v>132</v>
      </c>
      <c r="D26" s="815">
        <v>100</v>
      </c>
      <c r="E26" s="197" t="s">
        <v>307</v>
      </c>
      <c r="F26" s="1015">
        <f>SUMIF(77:77,E26,78:78)-SUMIF(77:77,C26,78:78)+100</f>
        <v>97</v>
      </c>
      <c r="G26" s="197" t="s">
        <v>132</v>
      </c>
      <c r="H26" s="815">
        <f>SUMIF(77:77,G26,78:78)-SUMIF(77:77,C26,78:78)+100</f>
        <v>100</v>
      </c>
      <c r="I26" s="197" t="s">
        <v>307</v>
      </c>
      <c r="J26" s="815">
        <f>SUMIF(77:77,I26,78:78)-SUMIF(77:77,C26,78:78)+100</f>
        <v>97</v>
      </c>
      <c r="K26" s="960">
        <v>3</v>
      </c>
      <c r="L26" s="2385"/>
      <c r="M26" s="2376"/>
      <c r="N26" s="2376"/>
      <c r="O26" s="2384"/>
      <c r="P26" s="3553" t="s">
        <v>694</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54" t="s">
        <v>694</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663</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3"/>
      <c r="M27" s="2386"/>
      <c r="N27" s="2386"/>
      <c r="O27" s="2387"/>
      <c r="P27" s="3554"/>
      <c r="Q27" s="1334" t="str">
        <f t="shared" si="11"/>
        <v>成新率</v>
      </c>
      <c r="R27" s="1335" t="s">
        <v>70</v>
      </c>
      <c r="S27" s="1336">
        <f t="shared" si="12"/>
        <v>102</v>
      </c>
      <c r="T27" s="1335" t="s">
        <v>70</v>
      </c>
      <c r="U27" s="1336">
        <f t="shared" si="13"/>
        <v>102</v>
      </c>
      <c r="V27" s="1335" t="s">
        <v>70</v>
      </c>
      <c r="W27" s="1336">
        <f t="shared" si="14"/>
        <v>100</v>
      </c>
      <c r="X27" s="1337"/>
      <c r="Y27" s="3554"/>
      <c r="Z27" s="1338" t="str">
        <f t="shared" si="15"/>
        <v>成新率</v>
      </c>
      <c r="AA27" s="1333">
        <f t="shared" si="3"/>
        <v>0.98039215686274506</v>
      </c>
      <c r="AB27" s="1333">
        <f t="shared" si="4"/>
        <v>0.98039215686274506</v>
      </c>
      <c r="AC27" s="1333">
        <f t="shared" si="5"/>
        <v>1</v>
      </c>
    </row>
    <row r="28" spans="1:29" ht="15">
      <c r="A28" s="820"/>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0">
        <v>3</v>
      </c>
      <c r="L28" s="2385"/>
      <c r="M28" s="2376"/>
      <c r="N28" s="2376"/>
      <c r="O28" s="2384"/>
      <c r="P28" s="3554"/>
      <c r="Q28" s="1329" t="str">
        <f t="shared" si="11"/>
        <v>物业等级</v>
      </c>
      <c r="R28" s="1330" t="s">
        <v>70</v>
      </c>
      <c r="S28" s="1331">
        <f t="shared" si="12"/>
        <v>94</v>
      </c>
      <c r="T28" s="1330" t="s">
        <v>70</v>
      </c>
      <c r="U28" s="1331">
        <f t="shared" si="13"/>
        <v>97</v>
      </c>
      <c r="V28" s="1330" t="s">
        <v>70</v>
      </c>
      <c r="W28" s="1331">
        <f t="shared" si="14"/>
        <v>100</v>
      </c>
      <c r="X28" s="1324"/>
      <c r="Y28" s="3554"/>
      <c r="Z28" s="1332" t="str">
        <f t="shared" si="15"/>
        <v>物业等级</v>
      </c>
      <c r="AA28" s="1333">
        <f t="shared" si="3"/>
        <v>1.0638297872340425</v>
      </c>
      <c r="AB28" s="1333">
        <f t="shared" si="4"/>
        <v>1.0309278350515463</v>
      </c>
      <c r="AC28" s="1333">
        <f t="shared" si="5"/>
        <v>1</v>
      </c>
    </row>
    <row r="29" spans="1:29" ht="15">
      <c r="A29" s="820"/>
      <c r="B29" s="771" t="s">
        <v>695</v>
      </c>
      <c r="C29" s="1419" t="s">
        <v>239</v>
      </c>
      <c r="D29" s="784">
        <v>100</v>
      </c>
      <c r="E29" s="1419" t="s">
        <v>240</v>
      </c>
      <c r="F29" s="810">
        <f>SUMIF(84:84,E29,85:85)-SUMIF(84:84,C29,85:85)+100</f>
        <v>98</v>
      </c>
      <c r="G29" s="1419" t="s">
        <v>239</v>
      </c>
      <c r="H29" s="784">
        <f>SUMIF(84:84,G29,85:85)-SUMIF(84:84,C29,85:85)+100</f>
        <v>100</v>
      </c>
      <c r="I29" s="1419" t="s">
        <v>240</v>
      </c>
      <c r="J29" s="784">
        <f>SUMIF(84:84,I29,85:85)-SUMIF(84:84,C29,85:85)+100</f>
        <v>98</v>
      </c>
      <c r="K29" s="960">
        <v>2</v>
      </c>
      <c r="L29" s="2385"/>
      <c r="M29" s="2376"/>
      <c r="N29" s="2376"/>
      <c r="O29" s="2384"/>
      <c r="P29" s="3554"/>
      <c r="Q29" s="1329" t="str">
        <f t="shared" si="11"/>
        <v>有无电梯</v>
      </c>
      <c r="R29" s="1330" t="s">
        <v>70</v>
      </c>
      <c r="S29" s="1331">
        <f t="shared" si="12"/>
        <v>98</v>
      </c>
      <c r="T29" s="1330" t="s">
        <v>70</v>
      </c>
      <c r="U29" s="1331">
        <f t="shared" si="13"/>
        <v>100</v>
      </c>
      <c r="V29" s="1330" t="s">
        <v>70</v>
      </c>
      <c r="W29" s="1331">
        <f t="shared" si="14"/>
        <v>98</v>
      </c>
      <c r="X29" s="1324"/>
      <c r="Y29" s="3554"/>
      <c r="Z29" s="1332" t="str">
        <f t="shared" si="15"/>
        <v>有无电梯</v>
      </c>
      <c r="AA29" s="1333">
        <f t="shared" si="3"/>
        <v>1.0204081632653061</v>
      </c>
      <c r="AB29" s="1333">
        <f t="shared" si="4"/>
        <v>1</v>
      </c>
      <c r="AC29" s="1333">
        <f t="shared" si="5"/>
        <v>1.0204081632653061</v>
      </c>
    </row>
    <row r="30" spans="1:29" ht="15">
      <c r="A30" s="820"/>
      <c r="B30" s="771" t="s">
        <v>696</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5"/>
      <c r="M30" s="2376"/>
      <c r="N30" s="2376"/>
      <c r="O30" s="2384"/>
      <c r="P30" s="3554"/>
      <c r="Q30" s="1329" t="str">
        <f t="shared" si="11"/>
        <v>建筑面积</v>
      </c>
      <c r="R30" s="1330" t="s">
        <v>70</v>
      </c>
      <c r="S30" s="1331">
        <f t="shared" si="12"/>
        <v>96</v>
      </c>
      <c r="T30" s="1330" t="s">
        <v>70</v>
      </c>
      <c r="U30" s="1331">
        <f t="shared" si="13"/>
        <v>98</v>
      </c>
      <c r="V30" s="1330" t="s">
        <v>70</v>
      </c>
      <c r="W30" s="1331">
        <f t="shared" si="14"/>
        <v>102</v>
      </c>
      <c r="X30" s="1324"/>
      <c r="Y30" s="3554"/>
      <c r="Z30" s="1332" t="str">
        <f t="shared" si="15"/>
        <v>建筑面积</v>
      </c>
      <c r="AA30" s="1333">
        <f t="shared" si="3"/>
        <v>1.0416666666666667</v>
      </c>
      <c r="AB30" s="1333">
        <f t="shared" si="4"/>
        <v>1.0204081632653061</v>
      </c>
      <c r="AC30" s="1333">
        <f t="shared" si="5"/>
        <v>0.98039215686274506</v>
      </c>
    </row>
    <row r="31" spans="1:29" s="413" customFormat="1" ht="15">
      <c r="A31" s="821"/>
      <c r="B31" s="771" t="s">
        <v>697</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77"/>
      <c r="M31" s="2378"/>
      <c r="N31" s="2378"/>
      <c r="O31" s="2379"/>
      <c r="P31" s="3554"/>
      <c r="Q31" s="302" t="str">
        <f t="shared" si="11"/>
        <v>是否封闭</v>
      </c>
      <c r="R31" s="1325" t="s">
        <v>70</v>
      </c>
      <c r="S31" s="1326">
        <f t="shared" si="12"/>
        <v>102</v>
      </c>
      <c r="T31" s="1325" t="s">
        <v>70</v>
      </c>
      <c r="U31" s="1326">
        <f t="shared" si="13"/>
        <v>102</v>
      </c>
      <c r="V31" s="1325" t="s">
        <v>70</v>
      </c>
      <c r="W31" s="1326">
        <f t="shared" si="14"/>
        <v>100</v>
      </c>
      <c r="X31" s="1327"/>
      <c r="Y31" s="3554"/>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5"/>
      <c r="M32" s="2376"/>
      <c r="N32" s="2376"/>
      <c r="O32" s="2384"/>
      <c r="P32" s="3554" t="s">
        <v>586</v>
      </c>
      <c r="Q32" s="1329">
        <f t="shared" si="11"/>
        <v>111</v>
      </c>
      <c r="R32" s="1330" t="s">
        <v>70</v>
      </c>
      <c r="S32" s="1331">
        <f t="shared" si="12"/>
        <v>99</v>
      </c>
      <c r="T32" s="1330" t="s">
        <v>70</v>
      </c>
      <c r="U32" s="1331">
        <f t="shared" si="13"/>
        <v>98</v>
      </c>
      <c r="V32" s="1330" t="s">
        <v>70</v>
      </c>
      <c r="W32" s="1331">
        <f t="shared" si="14"/>
        <v>97</v>
      </c>
      <c r="X32" s="1324"/>
      <c r="Y32" s="3554" t="s">
        <v>586</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5"/>
      <c r="M33" s="2376"/>
      <c r="N33" s="2376"/>
      <c r="O33" s="2384"/>
      <c r="P33" s="3554"/>
      <c r="Q33" s="1329">
        <f t="shared" si="11"/>
        <v>111</v>
      </c>
      <c r="R33" s="1330" t="s">
        <v>70</v>
      </c>
      <c r="S33" s="1331">
        <f t="shared" si="12"/>
        <v>98</v>
      </c>
      <c r="T33" s="1330" t="s">
        <v>70</v>
      </c>
      <c r="U33" s="1331">
        <f t="shared" si="13"/>
        <v>96</v>
      </c>
      <c r="V33" s="1330" t="s">
        <v>70</v>
      </c>
      <c r="W33" s="1331">
        <f t="shared" si="14"/>
        <v>94</v>
      </c>
      <c r="X33" s="1324"/>
      <c r="Y33" s="3554"/>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5"/>
      <c r="M34" s="2376"/>
      <c r="N34" s="2376"/>
      <c r="O34" s="2384"/>
      <c r="P34" s="3554"/>
      <c r="Q34" s="1329">
        <f t="shared" si="11"/>
        <v>111</v>
      </c>
      <c r="R34" s="1330" t="s">
        <v>70</v>
      </c>
      <c r="S34" s="1331">
        <f t="shared" si="12"/>
        <v>97</v>
      </c>
      <c r="T34" s="1330" t="s">
        <v>70</v>
      </c>
      <c r="U34" s="1331">
        <f t="shared" si="13"/>
        <v>94</v>
      </c>
      <c r="V34" s="1330" t="s">
        <v>70</v>
      </c>
      <c r="W34" s="1331">
        <f t="shared" si="14"/>
        <v>91</v>
      </c>
      <c r="X34" s="1324"/>
      <c r="Y34" s="3554"/>
      <c r="Z34" s="1332">
        <f t="shared" si="15"/>
        <v>111</v>
      </c>
      <c r="AA34" s="1333">
        <f t="shared" si="3"/>
        <v>1.0309278350515463</v>
      </c>
      <c r="AB34" s="1333">
        <f t="shared" si="4"/>
        <v>1.0638297872340425</v>
      </c>
      <c r="AC34" s="1333">
        <f t="shared" si="5"/>
        <v>1.098901098901099</v>
      </c>
    </row>
    <row r="35" spans="1:29" ht="15">
      <c r="A35" s="827" t="s">
        <v>587</v>
      </c>
      <c r="B35" s="828"/>
      <c r="C35" s="2872" t="s">
        <v>23</v>
      </c>
      <c r="D35" s="2873"/>
      <c r="E35" s="2874">
        <v>30000</v>
      </c>
      <c r="F35" s="2875"/>
      <c r="G35" s="2876">
        <v>35000</v>
      </c>
      <c r="H35" s="2877"/>
      <c r="I35" s="2874">
        <v>32000</v>
      </c>
      <c r="J35" s="2877"/>
      <c r="K35" s="1406"/>
      <c r="L35" s="2388"/>
      <c r="M35" s="2389"/>
      <c r="N35" s="2376"/>
      <c r="O35" s="2389"/>
      <c r="P35" s="3550" t="str">
        <f>A35</f>
        <v>成交单价（元/平方米）</v>
      </c>
      <c r="Q35" s="3550"/>
      <c r="R35" s="3687">
        <f>E35</f>
        <v>30000</v>
      </c>
      <c r="S35" s="3687"/>
      <c r="T35" s="3687">
        <f>G35</f>
        <v>35000</v>
      </c>
      <c r="U35" s="3687"/>
      <c r="V35" s="3687">
        <f>I35</f>
        <v>32000</v>
      </c>
      <c r="W35" s="3687"/>
      <c r="X35" s="1313"/>
      <c r="Y35" s="1339"/>
      <c r="Z35" s="1313"/>
      <c r="AA35" s="1313"/>
      <c r="AB35" s="1313"/>
      <c r="AC35" s="1313"/>
    </row>
    <row r="36" spans="1:29" ht="15.75" thickBot="1">
      <c r="A36" s="834" t="s">
        <v>588</v>
      </c>
      <c r="B36" s="835"/>
      <c r="C36" s="2878" t="e">
        <f>R37</f>
        <v>#DIV/0!</v>
      </c>
      <c r="D36" s="2879"/>
      <c r="E36" s="2880" t="e">
        <f>R36</f>
        <v>#DIV/0!</v>
      </c>
      <c r="F36" s="2880"/>
      <c r="G36" s="2878" t="e">
        <f>T36</f>
        <v>#DIV/0!</v>
      </c>
      <c r="H36" s="2879"/>
      <c r="I36" s="2880" t="e">
        <f>V36</f>
        <v>#DIV/0!</v>
      </c>
      <c r="J36" s="2879"/>
      <c r="K36" s="1407"/>
      <c r="L36" s="2388"/>
      <c r="M36" s="2389"/>
      <c r="N36" s="2376"/>
      <c r="O36" s="2389"/>
      <c r="P36" s="3550" t="str">
        <f>A36</f>
        <v>比较价值（元/平方米）</v>
      </c>
      <c r="Q36" s="3550"/>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13"/>
      <c r="Y36" s="1313"/>
      <c r="Z36" s="1313"/>
      <c r="AA36" s="1313"/>
      <c r="AB36" s="1313"/>
      <c r="AC36" s="1313"/>
    </row>
    <row r="37" spans="1:29" ht="15.75" thickBot="1">
      <c r="A37" s="115" t="s">
        <v>1458</v>
      </c>
      <c r="B37" s="841"/>
      <c r="C37" s="2882" t="e">
        <f>R37</f>
        <v>#DIV/0!</v>
      </c>
      <c r="D37" s="2882"/>
      <c r="E37" s="2882"/>
      <c r="F37" s="2882"/>
      <c r="G37" s="2882"/>
      <c r="H37" s="2882"/>
      <c r="I37" s="2882"/>
      <c r="J37" s="2882"/>
      <c r="K37" s="1408"/>
      <c r="L37" s="2388"/>
      <c r="M37" s="2389"/>
      <c r="N37" s="2389"/>
      <c r="O37" s="2389"/>
      <c r="P37" s="3542" t="str">
        <f>A37</f>
        <v>估价对象XX用房的比较价值（楼面单价，元/平方米）</v>
      </c>
      <c r="Q37" s="3543"/>
      <c r="R37" s="3688" t="e">
        <f>IF(F1="售价",ROUND(AVERAGE(R36:V36),0),ROUND(AVERAGE(R36:V36),1))</f>
        <v>#DIV/0!</v>
      </c>
      <c r="S37" s="3688"/>
      <c r="T37" s="3688"/>
      <c r="U37" s="3688"/>
      <c r="V37" s="3688"/>
      <c r="W37" s="3688"/>
      <c r="X37" s="1313"/>
      <c r="Y37" s="1313"/>
      <c r="Z37" s="1313"/>
      <c r="AA37" s="1313"/>
      <c r="AB37" s="1313"/>
      <c r="AC37" s="1313"/>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5" t="s">
        <v>590</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1"/>
      <c r="L40" s="2212"/>
      <c r="M40" s="2389"/>
      <c r="N40" s="2389"/>
      <c r="O40" s="2389"/>
    </row>
    <row r="41" spans="1:29" ht="13.5" customHeight="1">
      <c r="A41" s="2389"/>
      <c r="B41" s="2389"/>
      <c r="C41" s="845" t="s">
        <v>591</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1"/>
      <c r="L41" s="2212"/>
      <c r="M41" s="2389"/>
      <c r="N41" s="2389"/>
      <c r="O41" s="2389"/>
    </row>
    <row r="42" spans="1:29" s="850" customFormat="1" ht="13.5" customHeight="1">
      <c r="A42" s="2390"/>
      <c r="B42" s="2390"/>
      <c r="C42" s="845" t="s">
        <v>592</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3"/>
      <c r="L42" s="2394"/>
      <c r="M42" s="2390"/>
      <c r="N42" s="2390"/>
      <c r="O42" s="2390"/>
    </row>
    <row r="43" spans="1:29" s="850"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7" t="s">
        <v>593</v>
      </c>
      <c r="B45" s="1313"/>
      <c r="C45" s="1318"/>
      <c r="D45" s="1318"/>
      <c r="E45" s="1318"/>
      <c r="F45" s="1319"/>
      <c r="G45" s="1319"/>
      <c r="H45" s="1318"/>
      <c r="I45" s="1318"/>
      <c r="J45" s="1318"/>
      <c r="K45" s="1320"/>
      <c r="L45" s="1321"/>
      <c r="M45" s="1318"/>
      <c r="N45" s="1318"/>
      <c r="O45" s="1318"/>
      <c r="P45" s="851"/>
      <c r="Q45" s="852"/>
    </row>
    <row r="46" spans="1:29" s="856" customFormat="1" ht="15">
      <c r="A46" s="853" t="s">
        <v>572</v>
      </c>
      <c r="B46" s="854"/>
      <c r="C46" s="3082" t="str">
        <f>YEAR(C7)&amp;"-"&amp;MONTH(C7)</f>
        <v>2017-7</v>
      </c>
      <c r="D46" s="3083">
        <f>EDATE(C46,-1)</f>
        <v>42887</v>
      </c>
      <c r="E46" s="3083">
        <f t="shared" ref="E46:O46" si="16">EDATE(D46,-1)</f>
        <v>42856</v>
      </c>
      <c r="F46" s="3083">
        <f t="shared" si="16"/>
        <v>42826</v>
      </c>
      <c r="G46" s="3083">
        <f t="shared" si="16"/>
        <v>42795</v>
      </c>
      <c r="H46" s="3083">
        <f t="shared" si="16"/>
        <v>42767</v>
      </c>
      <c r="I46" s="3083">
        <f t="shared" si="16"/>
        <v>42736</v>
      </c>
      <c r="J46" s="3083">
        <f t="shared" si="16"/>
        <v>42705</v>
      </c>
      <c r="K46" s="3083">
        <f t="shared" si="16"/>
        <v>42675</v>
      </c>
      <c r="L46" s="3083">
        <f t="shared" si="16"/>
        <v>42644</v>
      </c>
      <c r="M46" s="3083">
        <f t="shared" si="16"/>
        <v>42614</v>
      </c>
      <c r="N46" s="3083">
        <f t="shared" si="16"/>
        <v>42583</v>
      </c>
      <c r="O46" s="3083">
        <f t="shared" si="16"/>
        <v>42552</v>
      </c>
      <c r="P46" s="855"/>
    </row>
    <row r="47" spans="1:29" s="413" customFormat="1" ht="15">
      <c r="A47" s="857"/>
      <c r="B47" s="858"/>
      <c r="C47" s="3080">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594</v>
      </c>
      <c r="B48" s="864"/>
      <c r="C48" s="865"/>
      <c r="D48" s="866"/>
      <c r="E48" s="866"/>
      <c r="F48" s="866"/>
      <c r="G48" s="866"/>
      <c r="H48" s="866"/>
      <c r="I48" s="866"/>
      <c r="J48" s="866"/>
      <c r="K48" s="866"/>
      <c r="L48" s="866"/>
      <c r="M48" s="867"/>
      <c r="N48" s="866"/>
      <c r="O48" s="868"/>
      <c r="P48" s="852"/>
      <c r="Q48" s="852"/>
    </row>
    <row r="49" spans="1:17" s="413" customFormat="1" ht="15">
      <c r="A49" s="869" t="s">
        <v>574</v>
      </c>
      <c r="B49" s="858"/>
      <c r="C49" s="870" t="s">
        <v>595</v>
      </c>
      <c r="D49" s="140" t="s">
        <v>1459</v>
      </c>
      <c r="E49" s="140"/>
      <c r="F49" s="140"/>
      <c r="G49" s="140"/>
      <c r="H49" s="140"/>
      <c r="I49" s="140"/>
      <c r="J49" s="140"/>
      <c r="K49" s="140"/>
      <c r="L49" s="141"/>
      <c r="M49" s="1057"/>
      <c r="N49" s="2396"/>
      <c r="O49" s="2396"/>
      <c r="P49" s="874"/>
      <c r="Q49" s="852"/>
    </row>
    <row r="50" spans="1:17" s="413" customFormat="1" ht="15.75" thickBot="1">
      <c r="A50" s="869"/>
      <c r="B50" s="858"/>
      <c r="C50" s="987">
        <v>100</v>
      </c>
      <c r="D50" s="860">
        <v>95</v>
      </c>
      <c r="E50" s="860"/>
      <c r="F50" s="860"/>
      <c r="G50" s="860"/>
      <c r="H50" s="860"/>
      <c r="I50" s="860"/>
      <c r="J50" s="860"/>
      <c r="K50" s="860"/>
      <c r="L50" s="860"/>
      <c r="M50" s="862"/>
      <c r="N50" s="2396"/>
      <c r="O50" s="2396"/>
      <c r="P50" s="852"/>
      <c r="Q50" s="852"/>
    </row>
    <row r="51" spans="1:17">
      <c r="A51" s="875" t="s">
        <v>597</v>
      </c>
      <c r="B51" s="876" t="s">
        <v>598</v>
      </c>
      <c r="C51" s="877" t="str">
        <f>C9</f>
        <v>仓储</v>
      </c>
      <c r="D51" s="122"/>
      <c r="E51" s="122"/>
      <c r="F51" s="122"/>
      <c r="G51" s="122"/>
      <c r="H51" s="122"/>
      <c r="I51" s="122"/>
      <c r="J51" s="122"/>
      <c r="K51" s="123"/>
      <c r="L51" s="124"/>
      <c r="M51" s="125"/>
      <c r="N51" s="2397"/>
      <c r="O51" s="2397"/>
      <c r="P51" s="340"/>
      <c r="Q51" s="852"/>
    </row>
    <row r="52" spans="1:17" ht="15.75" thickBot="1">
      <c r="A52" s="882"/>
      <c r="B52" s="883"/>
      <c r="C52" s="884">
        <v>100</v>
      </c>
      <c r="D52" s="884"/>
      <c r="E52" s="884"/>
      <c r="F52" s="884"/>
      <c r="G52" s="884"/>
      <c r="H52" s="884"/>
      <c r="I52" s="884"/>
      <c r="J52" s="884"/>
      <c r="K52" s="884"/>
      <c r="L52" s="884"/>
      <c r="M52" s="885"/>
      <c r="N52" s="2398"/>
      <c r="O52" s="2398"/>
      <c r="P52" s="340"/>
      <c r="Q52" s="852"/>
    </row>
    <row r="53" spans="1:17" ht="27.75" thickTop="1">
      <c r="A53" s="882"/>
      <c r="B53" s="886" t="s">
        <v>578</v>
      </c>
      <c r="C53" s="887" t="s">
        <v>599</v>
      </c>
      <c r="D53" s="887" t="s">
        <v>600</v>
      </c>
      <c r="E53" s="887" t="s">
        <v>601</v>
      </c>
      <c r="F53" s="887" t="s">
        <v>602</v>
      </c>
      <c r="G53" s="887" t="s">
        <v>626</v>
      </c>
      <c r="H53" s="887" t="s">
        <v>627</v>
      </c>
      <c r="I53" s="887" t="s">
        <v>628</v>
      </c>
      <c r="J53" s="887"/>
      <c r="K53" s="888"/>
      <c r="L53" s="889"/>
      <c r="M53" s="890"/>
      <c r="N53" s="2397"/>
      <c r="O53" s="2397"/>
      <c r="P53" s="340"/>
      <c r="Q53" s="852"/>
    </row>
    <row r="54" spans="1:17" ht="15.75" thickBot="1">
      <c r="A54" s="882"/>
      <c r="B54" s="891"/>
      <c r="C54" s="892" t="s">
        <v>207</v>
      </c>
      <c r="D54" s="892" t="s">
        <v>208</v>
      </c>
      <c r="E54" s="892">
        <v>100</v>
      </c>
      <c r="F54" s="892">
        <f>E54-$K10</f>
        <v>97</v>
      </c>
      <c r="G54" s="892">
        <f>F54-$K10</f>
        <v>94</v>
      </c>
      <c r="H54" s="892">
        <f>G54-$K10</f>
        <v>91</v>
      </c>
      <c r="I54" s="892">
        <f>H54-$K10</f>
        <v>88</v>
      </c>
      <c r="J54" s="892"/>
      <c r="K54" s="892"/>
      <c r="L54" s="892"/>
      <c r="M54" s="893"/>
      <c r="N54" s="2398"/>
      <c r="O54" s="2398"/>
      <c r="P54" s="340"/>
      <c r="Q54" s="852"/>
    </row>
    <row r="55" spans="1:17" ht="15.75" thickTop="1">
      <c r="A55" s="882"/>
      <c r="B55" s="213">
        <f>B11</f>
        <v>111</v>
      </c>
      <c r="C55" s="126">
        <v>111</v>
      </c>
      <c r="D55" s="126">
        <v>222</v>
      </c>
      <c r="E55" s="126">
        <v>333</v>
      </c>
      <c r="F55" s="126">
        <v>444</v>
      </c>
      <c r="G55" s="126"/>
      <c r="H55" s="126"/>
      <c r="I55" s="126"/>
      <c r="J55" s="126"/>
      <c r="K55" s="127"/>
      <c r="L55" s="128"/>
      <c r="M55" s="129"/>
      <c r="N55" s="2397"/>
      <c r="O55" s="2397"/>
      <c r="P55" s="340"/>
      <c r="Q55" s="852"/>
    </row>
    <row r="56" spans="1:17" ht="15.75" thickBot="1">
      <c r="A56" s="882"/>
      <c r="B56" s="1059"/>
      <c r="C56" s="908">
        <v>100</v>
      </c>
      <c r="D56" s="884">
        <v>99</v>
      </c>
      <c r="E56" s="884">
        <v>98</v>
      </c>
      <c r="F56" s="884">
        <v>97</v>
      </c>
      <c r="G56" s="884"/>
      <c r="H56" s="884"/>
      <c r="I56" s="884"/>
      <c r="J56" s="884"/>
      <c r="K56" s="884"/>
      <c r="L56" s="884"/>
      <c r="M56" s="885"/>
      <c r="N56" s="2398"/>
      <c r="O56" s="2398"/>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399"/>
      <c r="O57" s="2399"/>
      <c r="P57" s="906"/>
      <c r="Q57" s="907"/>
    </row>
    <row r="58" spans="1:17" s="819" customFormat="1" ht="15.75" thickBot="1">
      <c r="A58" s="901"/>
      <c r="B58" s="1061"/>
      <c r="C58" s="908">
        <v>100</v>
      </c>
      <c r="D58" s="884">
        <v>98</v>
      </c>
      <c r="E58" s="884">
        <v>96</v>
      </c>
      <c r="F58" s="884">
        <v>94</v>
      </c>
      <c r="G58" s="884"/>
      <c r="H58" s="884"/>
      <c r="I58" s="884"/>
      <c r="J58" s="884"/>
      <c r="K58" s="884"/>
      <c r="L58" s="884"/>
      <c r="M58" s="885"/>
      <c r="N58" s="2398"/>
      <c r="O58" s="2398"/>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399"/>
      <c r="O59" s="2399"/>
      <c r="P59" s="818"/>
      <c r="Q59" s="909"/>
    </row>
    <row r="60" spans="1:17" s="819" customFormat="1" ht="15.75" thickBot="1">
      <c r="A60" s="901"/>
      <c r="B60" s="1061"/>
      <c r="C60" s="908">
        <v>100</v>
      </c>
      <c r="D60" s="908">
        <v>97</v>
      </c>
      <c r="E60" s="908">
        <v>94</v>
      </c>
      <c r="F60" s="908">
        <v>91</v>
      </c>
      <c r="G60" s="908"/>
      <c r="H60" s="910"/>
      <c r="I60" s="910"/>
      <c r="J60" s="910"/>
      <c r="K60" s="910"/>
      <c r="L60" s="910"/>
      <c r="M60" s="911"/>
      <c r="N60" s="2399"/>
      <c r="O60" s="2399"/>
      <c r="P60" s="906"/>
      <c r="Q60" s="907"/>
    </row>
    <row r="61" spans="1:17" ht="15" thickTop="1">
      <c r="A61" s="875" t="s">
        <v>580</v>
      </c>
      <c r="B61" s="876" t="s">
        <v>609</v>
      </c>
      <c r="C61" s="921" t="s">
        <v>604</v>
      </c>
      <c r="D61" s="921" t="s">
        <v>605</v>
      </c>
      <c r="E61" s="921" t="s">
        <v>606</v>
      </c>
      <c r="F61" s="921" t="s">
        <v>607</v>
      </c>
      <c r="G61" s="921" t="s">
        <v>608</v>
      </c>
      <c r="H61" s="877"/>
      <c r="I61" s="877"/>
      <c r="J61" s="877"/>
      <c r="K61" s="922"/>
      <c r="L61" s="923"/>
      <c r="M61" s="924"/>
      <c r="N61" s="2397"/>
      <c r="O61" s="2397"/>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98"/>
      <c r="O62" s="2398"/>
      <c r="P62" s="340"/>
      <c r="Q62" s="852"/>
    </row>
    <row r="63" spans="1:17" ht="27.75" thickTop="1">
      <c r="A63" s="882"/>
      <c r="B63" s="886" t="s">
        <v>610</v>
      </c>
      <c r="C63" s="926" t="s">
        <v>604</v>
      </c>
      <c r="D63" s="926" t="s">
        <v>605</v>
      </c>
      <c r="E63" s="926" t="s">
        <v>606</v>
      </c>
      <c r="F63" s="926" t="s">
        <v>607</v>
      </c>
      <c r="G63" s="926" t="s">
        <v>608</v>
      </c>
      <c r="H63" s="887"/>
      <c r="I63" s="887"/>
      <c r="J63" s="887"/>
      <c r="K63" s="888"/>
      <c r="L63" s="889"/>
      <c r="M63" s="890"/>
      <c r="N63" s="2397"/>
      <c r="O63" s="2397"/>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98"/>
      <c r="O64" s="2398"/>
      <c r="P64" s="340"/>
      <c r="Q64" s="852"/>
    </row>
    <row r="65" spans="1:17" ht="15.75" thickTop="1">
      <c r="A65" s="882"/>
      <c r="B65" s="1062" t="s">
        <v>3072</v>
      </c>
      <c r="C65" s="213" t="s">
        <v>3062</v>
      </c>
      <c r="D65" s="213" t="s">
        <v>3063</v>
      </c>
      <c r="E65" s="213" t="s">
        <v>3064</v>
      </c>
      <c r="F65" s="213" t="s">
        <v>3065</v>
      </c>
      <c r="G65" s="213" t="s">
        <v>3066</v>
      </c>
      <c r="H65" s="887"/>
      <c r="I65" s="887"/>
      <c r="J65" s="887"/>
      <c r="K65" s="887"/>
      <c r="L65" s="887"/>
      <c r="M65" s="2801"/>
      <c r="N65" s="2398"/>
      <c r="O65" s="2398"/>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398"/>
      <c r="O66" s="2398"/>
      <c r="P66" s="340"/>
      <c r="Q66" s="852"/>
    </row>
    <row r="67" spans="1:17" ht="15.75" thickTop="1">
      <c r="A67" s="882"/>
      <c r="B67" s="886" t="s">
        <v>611</v>
      </c>
      <c r="C67" s="926" t="s">
        <v>604</v>
      </c>
      <c r="D67" s="926" t="s">
        <v>605</v>
      </c>
      <c r="E67" s="926" t="s">
        <v>606</v>
      </c>
      <c r="F67" s="926" t="s">
        <v>607</v>
      </c>
      <c r="G67" s="926" t="s">
        <v>608</v>
      </c>
      <c r="H67" s="887"/>
      <c r="I67" s="887"/>
      <c r="J67" s="887"/>
      <c r="K67" s="888"/>
      <c r="L67" s="889"/>
      <c r="M67" s="890"/>
      <c r="N67" s="2397"/>
      <c r="O67" s="2397"/>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98"/>
      <c r="O68" s="2398"/>
      <c r="P68" s="340"/>
      <c r="Q68" s="852"/>
    </row>
    <row r="69" spans="1:17" ht="15.75" thickTop="1">
      <c r="A69" s="882"/>
      <c r="B69" s="886" t="s">
        <v>612</v>
      </c>
      <c r="C69" s="139" t="s">
        <v>1460</v>
      </c>
      <c r="D69" s="139" t="s">
        <v>1461</v>
      </c>
      <c r="E69" s="139"/>
      <c r="F69" s="139"/>
      <c r="G69" s="139"/>
      <c r="H69" s="131"/>
      <c r="I69" s="131"/>
      <c r="J69" s="131"/>
      <c r="K69" s="132"/>
      <c r="L69" s="133"/>
      <c r="M69" s="134"/>
      <c r="N69" s="2397"/>
      <c r="O69" s="2397"/>
      <c r="P69" s="340"/>
      <c r="Q69" s="852"/>
    </row>
    <row r="70" spans="1:17" ht="15.75" thickBot="1">
      <c r="A70" s="882"/>
      <c r="B70" s="891"/>
      <c r="C70" s="892">
        <v>100</v>
      </c>
      <c r="D70" s="892">
        <f>C70-$K22</f>
        <v>98</v>
      </c>
      <c r="E70" s="892"/>
      <c r="F70" s="892"/>
      <c r="G70" s="892"/>
      <c r="H70" s="892"/>
      <c r="I70" s="892"/>
      <c r="J70" s="892"/>
      <c r="K70" s="892"/>
      <c r="L70" s="892"/>
      <c r="M70" s="893"/>
      <c r="N70" s="2398"/>
      <c r="O70" s="2398"/>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6"/>
      <c r="O71" s="2396"/>
      <c r="P71" s="340"/>
      <c r="Q71" s="852"/>
    </row>
    <row r="72" spans="1:17" s="413" customFormat="1" ht="15.75" thickBot="1">
      <c r="A72" s="927"/>
      <c r="B72" s="1061"/>
      <c r="C72" s="908">
        <v>100</v>
      </c>
      <c r="D72" s="884">
        <v>99</v>
      </c>
      <c r="E72" s="884">
        <v>98</v>
      </c>
      <c r="F72" s="884">
        <v>97</v>
      </c>
      <c r="G72" s="884"/>
      <c r="H72" s="884"/>
      <c r="I72" s="884"/>
      <c r="J72" s="884"/>
      <c r="K72" s="884"/>
      <c r="L72" s="884"/>
      <c r="M72" s="885"/>
      <c r="N72" s="2398"/>
      <c r="O72" s="2398"/>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6"/>
      <c r="O73" s="2396"/>
      <c r="P73" s="340"/>
      <c r="Q73" s="852"/>
    </row>
    <row r="74" spans="1:17" s="413" customFormat="1" ht="15.75" thickBot="1">
      <c r="A74" s="927"/>
      <c r="B74" s="1061"/>
      <c r="C74" s="908">
        <v>100</v>
      </c>
      <c r="D74" s="884">
        <v>98</v>
      </c>
      <c r="E74" s="884">
        <v>96</v>
      </c>
      <c r="F74" s="884">
        <v>94</v>
      </c>
      <c r="G74" s="884"/>
      <c r="H74" s="884"/>
      <c r="I74" s="884"/>
      <c r="J74" s="884"/>
      <c r="K74" s="884"/>
      <c r="L74" s="884"/>
      <c r="M74" s="885"/>
      <c r="N74" s="2398"/>
      <c r="O74" s="2398"/>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399"/>
      <c r="O75" s="2399"/>
      <c r="P75" s="906"/>
      <c r="Q75" s="907"/>
    </row>
    <row r="76" spans="1:17" s="819" customFormat="1" ht="15.75" thickBot="1">
      <c r="A76" s="901"/>
      <c r="B76" s="1061"/>
      <c r="C76" s="908">
        <v>100</v>
      </c>
      <c r="D76" s="908">
        <v>97</v>
      </c>
      <c r="E76" s="908">
        <v>94</v>
      </c>
      <c r="F76" s="908">
        <v>91</v>
      </c>
      <c r="G76" s="884"/>
      <c r="H76" s="884"/>
      <c r="I76" s="884"/>
      <c r="J76" s="884"/>
      <c r="K76" s="884"/>
      <c r="L76" s="884"/>
      <c r="M76" s="885"/>
      <c r="N76" s="2399"/>
      <c r="O76" s="2399"/>
      <c r="P76" s="906"/>
      <c r="Q76" s="907"/>
    </row>
    <row r="77" spans="1:17" ht="15" thickTop="1">
      <c r="A77" s="875" t="s">
        <v>585</v>
      </c>
      <c r="B77" s="876" t="s">
        <v>613</v>
      </c>
      <c r="C77" s="139" t="s">
        <v>1462</v>
      </c>
      <c r="D77" s="139" t="s">
        <v>1463</v>
      </c>
      <c r="E77" s="122"/>
      <c r="F77" s="122"/>
      <c r="G77" s="122"/>
      <c r="H77" s="122"/>
      <c r="I77" s="122"/>
      <c r="J77" s="122"/>
      <c r="K77" s="123"/>
      <c r="L77" s="124"/>
      <c r="M77" s="125"/>
      <c r="N77" s="2397"/>
      <c r="O77" s="2397"/>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98"/>
      <c r="O78" s="2398"/>
      <c r="P78" s="340"/>
      <c r="Q78" s="852"/>
    </row>
    <row r="79" spans="1:17" ht="15.75" thickTop="1">
      <c r="A79" s="882"/>
      <c r="B79" s="886" t="s">
        <v>681</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6"/>
      <c r="O79" s="2396"/>
      <c r="P79" s="340"/>
      <c r="Q79" s="852"/>
    </row>
    <row r="80" spans="1:17" ht="15">
      <c r="A80" s="882"/>
      <c r="B80" s="894"/>
      <c r="C80" s="951">
        <v>0.5</v>
      </c>
      <c r="D80" s="951">
        <v>0.6</v>
      </c>
      <c r="E80" s="951">
        <v>0.7</v>
      </c>
      <c r="F80" s="951">
        <v>0.8</v>
      </c>
      <c r="G80" s="951">
        <v>0.9</v>
      </c>
      <c r="H80" s="951">
        <v>1.0001</v>
      </c>
      <c r="I80" s="1008"/>
      <c r="J80" s="1008"/>
      <c r="K80" s="1016"/>
      <c r="L80" s="1017"/>
      <c r="M80" s="1018"/>
      <c r="N80" s="2396"/>
      <c r="O80" s="2396"/>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98"/>
      <c r="O81" s="2398"/>
      <c r="P81" s="906"/>
      <c r="Q81" s="907"/>
    </row>
    <row r="82" spans="1:17" ht="15" thickTop="1">
      <c r="A82" s="947"/>
      <c r="B82" s="894" t="s">
        <v>682</v>
      </c>
      <c r="C82" s="139" t="s">
        <v>1464</v>
      </c>
      <c r="D82" s="139" t="s">
        <v>1465</v>
      </c>
      <c r="E82" s="131" t="s">
        <v>1466</v>
      </c>
      <c r="F82" s="131"/>
      <c r="G82" s="131"/>
      <c r="H82" s="131"/>
      <c r="I82" s="131"/>
      <c r="J82" s="131"/>
      <c r="K82" s="132"/>
      <c r="L82" s="133"/>
      <c r="M82" s="134"/>
      <c r="N82" s="2397"/>
      <c r="O82" s="2397"/>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98"/>
      <c r="O83" s="2398"/>
      <c r="P83" s="340"/>
      <c r="Q83" s="852"/>
    </row>
    <row r="84" spans="1:17" ht="15" thickTop="1">
      <c r="A84" s="947"/>
      <c r="B84" s="886" t="s">
        <v>698</v>
      </c>
      <c r="C84" s="139" t="s">
        <v>241</v>
      </c>
      <c r="D84" s="139" t="s">
        <v>242</v>
      </c>
      <c r="E84" s="139"/>
      <c r="F84" s="139"/>
      <c r="G84" s="139"/>
      <c r="H84" s="139"/>
      <c r="I84" s="131"/>
      <c r="J84" s="131"/>
      <c r="K84" s="132"/>
      <c r="L84" s="133"/>
      <c r="M84" s="134"/>
      <c r="N84" s="2397"/>
      <c r="O84" s="2397"/>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98"/>
      <c r="O85" s="2398"/>
      <c r="P85" s="340"/>
      <c r="Q85" s="852"/>
    </row>
    <row r="86" spans="1:17" ht="15" thickTop="1">
      <c r="A86" s="947"/>
      <c r="B86" s="894" t="s">
        <v>699</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397"/>
      <c r="O86" s="2397"/>
      <c r="P86" s="340"/>
      <c r="Q86" s="852"/>
    </row>
    <row r="87" spans="1:17">
      <c r="A87" s="947"/>
      <c r="B87" s="894"/>
      <c r="C87" s="943">
        <v>0</v>
      </c>
      <c r="D87" s="943">
        <v>30</v>
      </c>
      <c r="E87" s="943">
        <v>50</v>
      </c>
      <c r="F87" s="943">
        <v>80</v>
      </c>
      <c r="G87" s="943">
        <v>100</v>
      </c>
      <c r="H87" s="943"/>
      <c r="I87" s="943"/>
      <c r="J87" s="944"/>
      <c r="K87" s="944"/>
      <c r="L87" s="945"/>
      <c r="M87" s="946"/>
      <c r="N87" s="2397"/>
      <c r="O87" s="2397"/>
      <c r="P87" s="340"/>
      <c r="Q87" s="852"/>
    </row>
    <row r="88" spans="1:17" ht="15.75" thickBot="1">
      <c r="A88" s="882"/>
      <c r="B88" s="891"/>
      <c r="C88" s="908">
        <v>100</v>
      </c>
      <c r="D88" s="884">
        <v>102</v>
      </c>
      <c r="E88" s="884">
        <v>104</v>
      </c>
      <c r="F88" s="884">
        <v>106</v>
      </c>
      <c r="G88" s="884"/>
      <c r="H88" s="884"/>
      <c r="I88" s="884"/>
      <c r="J88" s="884"/>
      <c r="K88" s="884"/>
      <c r="L88" s="884"/>
      <c r="M88" s="884"/>
      <c r="N88" s="2398"/>
      <c r="O88" s="2398"/>
      <c r="P88" s="340"/>
      <c r="Q88" s="852"/>
    </row>
    <row r="89" spans="1:17" s="819" customFormat="1" ht="15" thickTop="1">
      <c r="A89" s="941"/>
      <c r="B89" s="886" t="s">
        <v>700</v>
      </c>
      <c r="C89" s="139" t="s">
        <v>238</v>
      </c>
      <c r="D89" s="139" t="s">
        <v>237</v>
      </c>
      <c r="E89" s="139"/>
      <c r="F89" s="139"/>
      <c r="G89" s="139"/>
      <c r="H89" s="139"/>
      <c r="I89" s="139"/>
      <c r="J89" s="139"/>
      <c r="K89" s="139"/>
      <c r="L89" s="139"/>
      <c r="M89" s="1391"/>
      <c r="N89" s="2399"/>
      <c r="O89" s="2399"/>
      <c r="P89" s="906"/>
      <c r="Q89" s="907"/>
    </row>
    <row r="90" spans="1:17" s="819" customFormat="1" ht="15.75" thickBot="1">
      <c r="A90" s="901"/>
      <c r="B90" s="891"/>
      <c r="C90" s="908">
        <v>100</v>
      </c>
      <c r="D90" s="884">
        <v>102</v>
      </c>
      <c r="E90" s="884"/>
      <c r="F90" s="884"/>
      <c r="G90" s="884"/>
      <c r="H90" s="884"/>
      <c r="I90" s="884"/>
      <c r="J90" s="884"/>
      <c r="K90" s="884"/>
      <c r="L90" s="884"/>
      <c r="M90" s="885"/>
      <c r="N90" s="2399"/>
      <c r="O90" s="2399"/>
      <c r="P90" s="906"/>
      <c r="Q90" s="907"/>
    </row>
    <row r="91" spans="1:17" ht="15" thickTop="1">
      <c r="A91" s="947"/>
      <c r="B91" s="1060">
        <f>B32</f>
        <v>111</v>
      </c>
      <c r="C91" s="126">
        <v>111</v>
      </c>
      <c r="D91" s="126">
        <v>222</v>
      </c>
      <c r="E91" s="126">
        <v>333</v>
      </c>
      <c r="F91" s="126">
        <v>444</v>
      </c>
      <c r="G91" s="139"/>
      <c r="H91" s="1065"/>
      <c r="I91" s="1065"/>
      <c r="J91" s="1065"/>
      <c r="K91" s="1065"/>
      <c r="L91" s="1066"/>
      <c r="M91" s="1067"/>
      <c r="N91" s="2397"/>
      <c r="O91" s="2397"/>
      <c r="P91" s="340"/>
      <c r="Q91" s="852"/>
    </row>
    <row r="92" spans="1:17" ht="15.75" thickBot="1">
      <c r="A92" s="882"/>
      <c r="B92" s="1061"/>
      <c r="C92" s="908">
        <v>100</v>
      </c>
      <c r="D92" s="884">
        <v>99</v>
      </c>
      <c r="E92" s="884">
        <v>98</v>
      </c>
      <c r="F92" s="884">
        <v>97</v>
      </c>
      <c r="G92" s="908"/>
      <c r="H92" s="910"/>
      <c r="I92" s="910"/>
      <c r="J92" s="910"/>
      <c r="K92" s="910"/>
      <c r="L92" s="910"/>
      <c r="M92" s="911"/>
      <c r="N92" s="2398"/>
      <c r="O92" s="2398"/>
      <c r="P92" s="340"/>
      <c r="Q92" s="852"/>
    </row>
    <row r="93" spans="1:17" ht="15" thickTop="1">
      <c r="A93" s="947"/>
      <c r="B93" s="1060">
        <f>B33</f>
        <v>111</v>
      </c>
      <c r="C93" s="126">
        <v>111</v>
      </c>
      <c r="D93" s="126">
        <v>222</v>
      </c>
      <c r="E93" s="126">
        <v>333</v>
      </c>
      <c r="F93" s="126">
        <v>444</v>
      </c>
      <c r="G93" s="139"/>
      <c r="H93" s="1065"/>
      <c r="I93" s="1065"/>
      <c r="J93" s="1065"/>
      <c r="K93" s="1065"/>
      <c r="L93" s="1066"/>
      <c r="M93" s="1067"/>
      <c r="N93" s="2397"/>
      <c r="O93" s="2397"/>
      <c r="P93" s="340"/>
      <c r="Q93" s="852"/>
    </row>
    <row r="94" spans="1:17" ht="15.75" thickBot="1">
      <c r="A94" s="882"/>
      <c r="B94" s="1061"/>
      <c r="C94" s="908">
        <v>100</v>
      </c>
      <c r="D94" s="884">
        <v>98</v>
      </c>
      <c r="E94" s="884">
        <v>96</v>
      </c>
      <c r="F94" s="884">
        <v>94</v>
      </c>
      <c r="G94" s="908"/>
      <c r="H94" s="910"/>
      <c r="I94" s="910"/>
      <c r="J94" s="910"/>
      <c r="K94" s="910"/>
      <c r="L94" s="910"/>
      <c r="M94" s="911"/>
      <c r="N94" s="2398"/>
      <c r="O94" s="2398"/>
      <c r="P94" s="340"/>
      <c r="Q94" s="852"/>
    </row>
    <row r="95" spans="1:17" ht="15" thickTop="1">
      <c r="A95" s="947"/>
      <c r="B95" s="211">
        <f>B34</f>
        <v>111</v>
      </c>
      <c r="C95" s="126">
        <v>111</v>
      </c>
      <c r="D95" s="126">
        <v>222</v>
      </c>
      <c r="E95" s="126">
        <v>333</v>
      </c>
      <c r="F95" s="126">
        <v>444</v>
      </c>
      <c r="G95" s="139"/>
      <c r="H95" s="1065"/>
      <c r="I95" s="1065"/>
      <c r="J95" s="1065"/>
      <c r="K95" s="1065"/>
      <c r="L95" s="1066"/>
      <c r="M95" s="1067"/>
      <c r="N95" s="2398"/>
      <c r="O95" s="2398"/>
      <c r="P95" s="985"/>
      <c r="Q95" s="986"/>
    </row>
    <row r="96" spans="1:17" ht="15.75" thickBot="1">
      <c r="A96" s="882"/>
      <c r="B96" s="1061"/>
      <c r="C96" s="908">
        <v>100</v>
      </c>
      <c r="D96" s="908">
        <v>97</v>
      </c>
      <c r="E96" s="908">
        <v>94</v>
      </c>
      <c r="F96" s="908">
        <v>91</v>
      </c>
      <c r="G96" s="908"/>
      <c r="H96" s="910"/>
      <c r="I96" s="910"/>
      <c r="J96" s="910"/>
      <c r="K96" s="910"/>
      <c r="L96" s="910"/>
      <c r="M96" s="911"/>
      <c r="N96" s="2398"/>
      <c r="O96" s="2398"/>
      <c r="P96" s="340"/>
      <c r="Q96" s="852"/>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701</v>
      </c>
      <c r="B1" s="743"/>
      <c r="C1" s="744" t="s">
        <v>741</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514</v>
      </c>
      <c r="B2" s="1086" t="e">
        <f>F61</f>
        <v>#DIV/0!</v>
      </c>
      <c r="C2" s="2370"/>
      <c r="D2" s="2370"/>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515</v>
      </c>
      <c r="B3" s="957" t="e">
        <f>ROUND(IF(D3="",B2*10000/'数据-汇总表'!E3,B2*10000/D3),0)</f>
        <v>#DIV/0!</v>
      </c>
      <c r="C3" s="584" t="s">
        <v>3297</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559</v>
      </c>
      <c r="B4" s="750"/>
      <c r="C4" s="3559" t="s">
        <v>560</v>
      </c>
      <c r="D4" s="3560"/>
      <c r="E4" s="3561" t="s">
        <v>561</v>
      </c>
      <c r="F4" s="3562"/>
      <c r="G4" s="3559" t="s">
        <v>562</v>
      </c>
      <c r="H4" s="3560"/>
      <c r="I4" s="3559" t="s">
        <v>563</v>
      </c>
      <c r="J4" s="3560"/>
      <c r="K4" s="958" t="s">
        <v>564</v>
      </c>
      <c r="L4" s="2375"/>
      <c r="M4" s="2376"/>
      <c r="N4" s="2376"/>
      <c r="O4" s="2376"/>
      <c r="P4" s="3563" t="s">
        <v>565</v>
      </c>
      <c r="Q4" s="3564"/>
      <c r="R4" s="3569" t="s">
        <v>561</v>
      </c>
      <c r="S4" s="3570"/>
      <c r="T4" s="3569" t="s">
        <v>562</v>
      </c>
      <c r="U4" s="3570"/>
      <c r="V4" s="3555" t="s">
        <v>563</v>
      </c>
      <c r="W4" s="3555"/>
      <c r="X4" s="1324"/>
      <c r="Y4" s="3569" t="s">
        <v>565</v>
      </c>
      <c r="Z4" s="3570"/>
      <c r="AA4" s="3556" t="s">
        <v>561</v>
      </c>
      <c r="AB4" s="3557" t="s">
        <v>562</v>
      </c>
      <c r="AC4" s="3556" t="s">
        <v>563</v>
      </c>
    </row>
    <row r="5" spans="1:29" ht="15">
      <c r="A5" s="752"/>
      <c r="B5" s="753"/>
      <c r="C5" s="3575" t="s">
        <v>1453</v>
      </c>
      <c r="D5" s="3576"/>
      <c r="E5" s="3582" t="s">
        <v>1454</v>
      </c>
      <c r="F5" s="3583"/>
      <c r="G5" s="3575" t="s">
        <v>1467</v>
      </c>
      <c r="H5" s="3576"/>
      <c r="I5" s="3575" t="s">
        <v>1455</v>
      </c>
      <c r="J5" s="3576"/>
      <c r="K5" s="958"/>
      <c r="L5" s="2375"/>
      <c r="M5" s="2376"/>
      <c r="N5" s="2376"/>
      <c r="O5" s="2376"/>
      <c r="P5" s="3565"/>
      <c r="Q5" s="3566"/>
      <c r="R5" s="3571"/>
      <c r="S5" s="3572"/>
      <c r="T5" s="3571"/>
      <c r="U5" s="3572"/>
      <c r="V5" s="3555"/>
      <c r="W5" s="3555"/>
      <c r="X5" s="1324"/>
      <c r="Y5" s="3571"/>
      <c r="Z5" s="3572"/>
      <c r="AA5" s="3557"/>
      <c r="AB5" s="3557"/>
      <c r="AC5" s="3557"/>
    </row>
    <row r="6" spans="1:29" ht="15.75" thickBot="1">
      <c r="A6" s="754"/>
      <c r="B6" s="755"/>
      <c r="C6" s="3580" t="s">
        <v>1456</v>
      </c>
      <c r="D6" s="3581"/>
      <c r="E6" s="3669" t="s">
        <v>1456</v>
      </c>
      <c r="F6" s="3670"/>
      <c r="G6" s="3580" t="s">
        <v>1456</v>
      </c>
      <c r="H6" s="3581"/>
      <c r="I6" s="3580" t="s">
        <v>1456</v>
      </c>
      <c r="J6" s="3581"/>
      <c r="K6" s="958" t="s">
        <v>571</v>
      </c>
      <c r="L6" s="2375"/>
      <c r="M6" s="2376"/>
      <c r="N6" s="2376"/>
      <c r="O6" s="2376"/>
      <c r="P6" s="3567"/>
      <c r="Q6" s="3568"/>
      <c r="R6" s="3571"/>
      <c r="S6" s="3572"/>
      <c r="T6" s="3573"/>
      <c r="U6" s="3574"/>
      <c r="V6" s="3555"/>
      <c r="W6" s="3555"/>
      <c r="X6" s="1324"/>
      <c r="Y6" s="3573"/>
      <c r="Z6" s="3574"/>
      <c r="AA6" s="3558"/>
      <c r="AB6" s="3558"/>
      <c r="AC6" s="3558"/>
    </row>
    <row r="7" spans="1:29" s="413" customFormat="1" ht="15.75" thickBot="1">
      <c r="A7" s="756" t="s">
        <v>572</v>
      </c>
      <c r="B7" s="757"/>
      <c r="C7" s="758">
        <f>'数据-取费表'!B2</f>
        <v>42930</v>
      </c>
      <c r="D7" s="759">
        <v>100</v>
      </c>
      <c r="E7" s="1022">
        <v>42007</v>
      </c>
      <c r="F7" s="761">
        <f>SUMIF(65:65,YEAR(E7)&amp;"-"&amp;INT((MONTH(E7)+2)/3),66:66)</f>
        <v>95</v>
      </c>
      <c r="G7" s="1023">
        <v>41579</v>
      </c>
      <c r="H7" s="759">
        <f>SUMIF(65:65,YEAR(G7)&amp;"-"&amp;INT((MONTH(G7)+2)/3),66:66)</f>
        <v>0</v>
      </c>
      <c r="I7" s="1023">
        <v>42003</v>
      </c>
      <c r="J7" s="759">
        <f>SUMIF(65:65,YEAR(I7)&amp;"-"&amp;INT((MONTH(I7)+2)/3),66:66)</f>
        <v>94.5</v>
      </c>
      <c r="K7" s="959"/>
      <c r="L7" s="2377"/>
      <c r="M7" s="2378"/>
      <c r="N7" s="2378"/>
      <c r="O7" s="2378"/>
      <c r="P7" s="3577" t="s">
        <v>573</v>
      </c>
      <c r="Q7" s="3579"/>
      <c r="R7" s="1325" t="s">
        <v>70</v>
      </c>
      <c r="S7" s="1326">
        <f t="shared" ref="S7:S15" si="0">F7</f>
        <v>95</v>
      </c>
      <c r="T7" s="1325" t="s">
        <v>70</v>
      </c>
      <c r="U7" s="1326">
        <f t="shared" ref="U7:U15" si="1">H7</f>
        <v>0</v>
      </c>
      <c r="V7" s="1325" t="s">
        <v>70</v>
      </c>
      <c r="W7" s="1326">
        <f t="shared" ref="W7:W15" si="2">J7</f>
        <v>94.5</v>
      </c>
      <c r="X7" s="1327"/>
      <c r="Y7" s="3577" t="s">
        <v>573</v>
      </c>
      <c r="Z7" s="3578"/>
      <c r="AA7" s="1328">
        <f>D7/F7</f>
        <v>1.0526315789473684</v>
      </c>
      <c r="AB7" s="1328" t="e">
        <f>D7/H7</f>
        <v>#DIV/0!</v>
      </c>
      <c r="AC7" s="1328">
        <f>D7/J7</f>
        <v>1.0582010582010581</v>
      </c>
    </row>
    <row r="8" spans="1:29" s="413" customFormat="1" ht="15.75" thickBot="1">
      <c r="A8" s="756" t="s">
        <v>574</v>
      </c>
      <c r="B8" s="757"/>
      <c r="C8" s="1025" t="s">
        <v>260</v>
      </c>
      <c r="D8" s="759">
        <v>100</v>
      </c>
      <c r="E8" s="1025" t="s">
        <v>260</v>
      </c>
      <c r="F8" s="761">
        <f>SUMIF(68:68,E8,69:69)-SUMIF(68:68,C8,69:69)+100</f>
        <v>100</v>
      </c>
      <c r="G8" s="1025" t="s">
        <v>259</v>
      </c>
      <c r="H8" s="759">
        <f>SUMIF(68:68,G8,69:69)-SUMIF(68:68,C8,69:69)+100</f>
        <v>96</v>
      </c>
      <c r="I8" s="1025" t="s">
        <v>260</v>
      </c>
      <c r="J8" s="759">
        <f>SUMIF(68:68,I8,69:69)-SUMIF(68:68,C8,69:69)+100</f>
        <v>100</v>
      </c>
      <c r="K8" s="959"/>
      <c r="L8" s="2377"/>
      <c r="M8" s="2378"/>
      <c r="N8" s="2378"/>
      <c r="O8" s="2378"/>
      <c r="P8" s="3577" t="s">
        <v>616</v>
      </c>
      <c r="Q8" s="3578"/>
      <c r="R8" s="1325" t="s">
        <v>70</v>
      </c>
      <c r="S8" s="1326">
        <f t="shared" si="0"/>
        <v>100</v>
      </c>
      <c r="T8" s="1325" t="s">
        <v>70</v>
      </c>
      <c r="U8" s="1326">
        <f t="shared" si="1"/>
        <v>96</v>
      </c>
      <c r="V8" s="1325" t="s">
        <v>70</v>
      </c>
      <c r="W8" s="1326">
        <f t="shared" si="2"/>
        <v>100</v>
      </c>
      <c r="X8" s="1327"/>
      <c r="Y8" s="3577" t="s">
        <v>616</v>
      </c>
      <c r="Z8" s="3578"/>
      <c r="AA8" s="1328">
        <f t="shared" ref="AA8:AA40" si="3">D8/F8</f>
        <v>1</v>
      </c>
      <c r="AB8" s="1328">
        <f t="shared" ref="AB8:AB40" si="4">D8/H8</f>
        <v>1.0416666666666667</v>
      </c>
      <c r="AC8" s="1328">
        <f t="shared" ref="AC8:AC40" si="5">D8/J8</f>
        <v>1</v>
      </c>
    </row>
    <row r="9" spans="1:29" s="413" customFormat="1">
      <c r="A9" s="764" t="s">
        <v>575</v>
      </c>
      <c r="B9" s="367" t="s">
        <v>598</v>
      </c>
      <c r="C9" s="1027" t="s">
        <v>40</v>
      </c>
      <c r="D9" s="430">
        <v>100</v>
      </c>
      <c r="E9" s="1027" t="s">
        <v>304</v>
      </c>
      <c r="F9" s="430">
        <f>SUMIF(70:70,E9,71:71)-SUMIF(70:70,C9,71:71)+100</f>
        <v>105</v>
      </c>
      <c r="G9" s="1027" t="s">
        <v>40</v>
      </c>
      <c r="H9" s="430">
        <f>SUMIF(70:70,G9,71:71)-SUMIF(70:70,C9,71:71)+100</f>
        <v>100</v>
      </c>
      <c r="I9" s="1027" t="s">
        <v>40</v>
      </c>
      <c r="J9" s="430">
        <f>SUMIF(70:70,I9,71:71)-SUMIF(70:70,C9,71:71)+100</f>
        <v>100</v>
      </c>
      <c r="K9" s="959"/>
      <c r="L9" s="2377"/>
      <c r="M9" s="2378"/>
      <c r="N9" s="2378"/>
      <c r="O9" s="2379"/>
      <c r="P9" s="3550" t="s">
        <v>576</v>
      </c>
      <c r="Q9" s="302" t="str">
        <f t="shared" ref="Q9:Q15" si="6">B9</f>
        <v>用途</v>
      </c>
      <c r="R9" s="1325" t="s">
        <v>70</v>
      </c>
      <c r="S9" s="1326">
        <f t="shared" si="0"/>
        <v>105</v>
      </c>
      <c r="T9" s="1325" t="s">
        <v>70</v>
      </c>
      <c r="U9" s="1326">
        <f t="shared" si="1"/>
        <v>100</v>
      </c>
      <c r="V9" s="1325" t="s">
        <v>70</v>
      </c>
      <c r="W9" s="1326">
        <f t="shared" si="2"/>
        <v>100</v>
      </c>
      <c r="X9" s="1327"/>
      <c r="Y9" s="3445" t="s">
        <v>577</v>
      </c>
      <c r="Z9" s="350" t="str">
        <f t="shared" ref="Z9:Z15" si="7">Q9</f>
        <v>用途</v>
      </c>
      <c r="AA9" s="1328">
        <f t="shared" si="3"/>
        <v>0.95238095238095233</v>
      </c>
      <c r="AB9" s="1328">
        <f t="shared" si="4"/>
        <v>1</v>
      </c>
      <c r="AC9" s="1328">
        <f t="shared" si="5"/>
        <v>1</v>
      </c>
    </row>
    <row r="10" spans="1:29" s="776" customFormat="1" ht="27">
      <c r="A10" s="770"/>
      <c r="B10" s="771" t="s">
        <v>578</v>
      </c>
      <c r="C10" s="1029"/>
      <c r="D10" s="431">
        <v>100</v>
      </c>
      <c r="E10" s="1029"/>
      <c r="F10" s="431">
        <f>ROUND(100/'数据-取费表'!G16,0)</f>
        <v>110</v>
      </c>
      <c r="G10" s="1029"/>
      <c r="H10" s="431">
        <f>ROUND(100/'数据-取费表'!G16,0)</f>
        <v>110</v>
      </c>
      <c r="I10" s="1029"/>
      <c r="J10" s="431">
        <f>ROUND(100/'数据-取费表'!G16,0)</f>
        <v>110</v>
      </c>
      <c r="K10" s="1087"/>
      <c r="L10" s="2380"/>
      <c r="M10" s="2381"/>
      <c r="N10" s="2381"/>
      <c r="O10" s="2382"/>
      <c r="P10" s="3550"/>
      <c r="Q10" s="302" t="str">
        <f t="shared" si="6"/>
        <v>土地使用年限（年）</v>
      </c>
      <c r="R10" s="1325" t="s">
        <v>70</v>
      </c>
      <c r="S10" s="1326">
        <f t="shared" si="0"/>
        <v>110</v>
      </c>
      <c r="T10" s="1325" t="s">
        <v>70</v>
      </c>
      <c r="U10" s="1326">
        <f t="shared" si="1"/>
        <v>110</v>
      </c>
      <c r="V10" s="1325" t="s">
        <v>70</v>
      </c>
      <c r="W10" s="1326">
        <f t="shared" si="2"/>
        <v>110</v>
      </c>
      <c r="X10" s="1327"/>
      <c r="Y10" s="3445"/>
      <c r="Z10" s="350" t="str">
        <f t="shared" si="7"/>
        <v>土地使用年限（年）</v>
      </c>
      <c r="AA10" s="1328">
        <f t="shared" si="3"/>
        <v>0.90909090909090906</v>
      </c>
      <c r="AB10" s="1328">
        <f t="shared" si="4"/>
        <v>0.90909090909090906</v>
      </c>
      <c r="AC10" s="1328">
        <f t="shared" si="5"/>
        <v>0.90909090909090906</v>
      </c>
    </row>
    <row r="11" spans="1:29" ht="15">
      <c r="A11" s="777"/>
      <c r="B11" s="771" t="s">
        <v>579</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3"/>
      <c r="M11" s="2376"/>
      <c r="N11" s="2376"/>
      <c r="O11" s="2384"/>
      <c r="P11" s="3550"/>
      <c r="Q11" s="302" t="str">
        <f t="shared" si="6"/>
        <v>容积率</v>
      </c>
      <c r="R11" s="1325" t="s">
        <v>70</v>
      </c>
      <c r="S11" s="1326">
        <f t="shared" si="0"/>
        <v>103</v>
      </c>
      <c r="T11" s="1325" t="s">
        <v>70</v>
      </c>
      <c r="U11" s="1326">
        <f t="shared" si="1"/>
        <v>103</v>
      </c>
      <c r="V11" s="1325" t="s">
        <v>70</v>
      </c>
      <c r="W11" s="1326">
        <f t="shared" si="2"/>
        <v>109</v>
      </c>
      <c r="X11" s="1327"/>
      <c r="Y11" s="3445"/>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77"/>
      <c r="M12" s="2378"/>
      <c r="N12" s="2378"/>
      <c r="O12" s="2379"/>
      <c r="P12" s="3550"/>
      <c r="Q12" s="302">
        <f t="shared" si="6"/>
        <v>111</v>
      </c>
      <c r="R12" s="1325" t="s">
        <v>70</v>
      </c>
      <c r="S12" s="1326">
        <f t="shared" si="0"/>
        <v>99</v>
      </c>
      <c r="T12" s="1325" t="s">
        <v>70</v>
      </c>
      <c r="U12" s="1326">
        <f t="shared" si="1"/>
        <v>98</v>
      </c>
      <c r="V12" s="1325" t="s">
        <v>70</v>
      </c>
      <c r="W12" s="1326">
        <f t="shared" si="2"/>
        <v>97</v>
      </c>
      <c r="X12" s="1327"/>
      <c r="Y12" s="3445"/>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5"/>
      <c r="M13" s="2376"/>
      <c r="N13" s="2376"/>
      <c r="O13" s="2384"/>
      <c r="P13" s="3550"/>
      <c r="Q13" s="302">
        <f t="shared" si="6"/>
        <v>111</v>
      </c>
      <c r="R13" s="1325" t="s">
        <v>70</v>
      </c>
      <c r="S13" s="1326">
        <f t="shared" si="0"/>
        <v>98</v>
      </c>
      <c r="T13" s="1325" t="s">
        <v>70</v>
      </c>
      <c r="U13" s="1326">
        <f t="shared" si="1"/>
        <v>96</v>
      </c>
      <c r="V13" s="1325" t="s">
        <v>70</v>
      </c>
      <c r="W13" s="1326">
        <f t="shared" si="2"/>
        <v>94</v>
      </c>
      <c r="X13" s="1327"/>
      <c r="Y13" s="3445"/>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5"/>
      <c r="M14" s="2376"/>
      <c r="N14" s="2376"/>
      <c r="O14" s="2384"/>
      <c r="P14" s="3550"/>
      <c r="Q14" s="302">
        <f t="shared" si="6"/>
        <v>111</v>
      </c>
      <c r="R14" s="1325" t="s">
        <v>70</v>
      </c>
      <c r="S14" s="1326">
        <f t="shared" si="0"/>
        <v>97</v>
      </c>
      <c r="T14" s="1325" t="s">
        <v>70</v>
      </c>
      <c r="U14" s="1326">
        <f t="shared" si="1"/>
        <v>94</v>
      </c>
      <c r="V14" s="1325" t="s">
        <v>70</v>
      </c>
      <c r="W14" s="1326">
        <f t="shared" si="2"/>
        <v>91</v>
      </c>
      <c r="X14" s="1327"/>
      <c r="Y14" s="3445"/>
      <c r="Z14" s="350">
        <f t="shared" si="7"/>
        <v>111</v>
      </c>
      <c r="AA14" s="1328">
        <f t="shared" si="3"/>
        <v>1.0309278350515463</v>
      </c>
      <c r="AB14" s="1328">
        <f t="shared" si="4"/>
        <v>1.0638297872340425</v>
      </c>
      <c r="AC14" s="1328">
        <f t="shared" si="5"/>
        <v>1.098901098901099</v>
      </c>
    </row>
    <row r="15" spans="1:29" ht="81">
      <c r="A15" s="789" t="s">
        <v>580</v>
      </c>
      <c r="B15" s="977"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5"/>
      <c r="M15" s="2376"/>
      <c r="N15" s="2376"/>
      <c r="O15" s="2384"/>
      <c r="P15" s="3551" t="s">
        <v>581</v>
      </c>
      <c r="Q15" s="1329" t="str">
        <f t="shared" si="6"/>
        <v>产业集聚程度</v>
      </c>
      <c r="R15" s="1330" t="s">
        <v>70</v>
      </c>
      <c r="S15" s="1331">
        <f t="shared" si="0"/>
        <v>100</v>
      </c>
      <c r="T15" s="1330" t="s">
        <v>70</v>
      </c>
      <c r="U15" s="1331">
        <f t="shared" si="1"/>
        <v>100</v>
      </c>
      <c r="V15" s="1330" t="s">
        <v>70</v>
      </c>
      <c r="W15" s="1331">
        <f t="shared" si="2"/>
        <v>100</v>
      </c>
      <c r="X15" s="1324"/>
      <c r="Y15" s="3551" t="s">
        <v>581</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5"/>
      <c r="M16" s="2376"/>
      <c r="N16" s="2376"/>
      <c r="O16" s="2384"/>
      <c r="P16" s="3552"/>
      <c r="Q16" s="1329"/>
      <c r="R16" s="1330"/>
      <c r="S16" s="1331"/>
      <c r="T16" s="1330"/>
      <c r="U16" s="1331"/>
      <c r="V16" s="1330"/>
      <c r="W16" s="1331"/>
      <c r="X16" s="1324"/>
      <c r="Y16" s="3552"/>
      <c r="Z16" s="1332"/>
      <c r="AA16" s="1333">
        <v>1</v>
      </c>
      <c r="AB16" s="1333">
        <v>1</v>
      </c>
      <c r="AC16" s="1333">
        <v>1</v>
      </c>
    </row>
    <row r="17" spans="1:29" ht="94.5">
      <c r="A17" s="777"/>
      <c r="B17" s="979" t="s">
        <v>651</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5"/>
      <c r="M17" s="2376"/>
      <c r="N17" s="2376"/>
      <c r="O17" s="2384"/>
      <c r="P17" s="3552"/>
      <c r="Q17" s="1329" t="str">
        <f>B17</f>
        <v>交通便捷度</v>
      </c>
      <c r="R17" s="1330" t="s">
        <v>70</v>
      </c>
      <c r="S17" s="1331">
        <f>F17</f>
        <v>96</v>
      </c>
      <c r="T17" s="1330" t="s">
        <v>70</v>
      </c>
      <c r="U17" s="1331">
        <f>H17</f>
        <v>102</v>
      </c>
      <c r="V17" s="1330" t="s">
        <v>70</v>
      </c>
      <c r="W17" s="1331">
        <f>J17</f>
        <v>98</v>
      </c>
      <c r="X17" s="1324"/>
      <c r="Y17" s="3552"/>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184</v>
      </c>
      <c r="F18" s="797"/>
      <c r="G18" s="98" t="s">
        <v>123</v>
      </c>
      <c r="H18" s="797"/>
      <c r="I18" s="99" t="s">
        <v>153</v>
      </c>
      <c r="J18" s="797"/>
      <c r="K18" s="1087"/>
      <c r="L18" s="2385"/>
      <c r="M18" s="2376"/>
      <c r="N18" s="2376"/>
      <c r="O18" s="2384"/>
      <c r="P18" s="3552"/>
      <c r="Q18" s="1329"/>
      <c r="R18" s="1330"/>
      <c r="S18" s="1331"/>
      <c r="T18" s="1330"/>
      <c r="U18" s="1331"/>
      <c r="V18" s="1330"/>
      <c r="W18" s="1331"/>
      <c r="X18" s="1324"/>
      <c r="Y18" s="3552"/>
      <c r="Z18" s="1332"/>
      <c r="AA18" s="1333">
        <v>1</v>
      </c>
      <c r="AB18" s="1333">
        <v>1</v>
      </c>
      <c r="AC18" s="1333">
        <v>1</v>
      </c>
    </row>
    <row r="19" spans="1:29" ht="40.5">
      <c r="A19" s="777"/>
      <c r="B19" s="979" t="s">
        <v>2207</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5"/>
      <c r="M19" s="2376"/>
      <c r="N19" s="2376"/>
      <c r="O19" s="2384"/>
      <c r="P19" s="3552"/>
      <c r="Q19" s="1329" t="str">
        <f t="shared" ref="Q19:Q33" si="8">B19</f>
        <v>区域土地利用方向</v>
      </c>
      <c r="R19" s="1330" t="s">
        <v>70</v>
      </c>
      <c r="S19" s="1331">
        <f>F19</f>
        <v>102</v>
      </c>
      <c r="T19" s="1330" t="s">
        <v>70</v>
      </c>
      <c r="U19" s="1331">
        <f>H19</f>
        <v>98</v>
      </c>
      <c r="V19" s="1330" t="s">
        <v>70</v>
      </c>
      <c r="W19" s="1331">
        <f>J19</f>
        <v>96</v>
      </c>
      <c r="X19" s="1324"/>
      <c r="Y19" s="3552"/>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8"/>
      <c r="L20" s="2385"/>
      <c r="M20" s="2376"/>
      <c r="N20" s="2376"/>
      <c r="O20" s="2384"/>
      <c r="P20" s="3552"/>
      <c r="Q20" s="1497"/>
      <c r="R20" s="1330"/>
      <c r="S20" s="1331"/>
      <c r="T20" s="1330"/>
      <c r="U20" s="1331"/>
      <c r="V20" s="1330"/>
      <c r="W20" s="1331"/>
      <c r="X20" s="1496"/>
      <c r="Y20" s="3552"/>
      <c r="Z20" s="1498"/>
      <c r="AA20" s="1333"/>
      <c r="AB20" s="1333"/>
      <c r="AC20" s="1333"/>
    </row>
    <row r="21" spans="1:29" ht="81">
      <c r="A21" s="752"/>
      <c r="B21" s="979" t="s">
        <v>743</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5"/>
      <c r="M21" s="2376"/>
      <c r="N21" s="2376"/>
      <c r="O21" s="2384"/>
      <c r="P21" s="3552"/>
      <c r="Q21" s="1329" t="str">
        <f t="shared" si="8"/>
        <v>环境状况</v>
      </c>
      <c r="R21" s="1330" t="s">
        <v>70</v>
      </c>
      <c r="S21" s="1331">
        <f>F21</f>
        <v>96</v>
      </c>
      <c r="T21" s="1330" t="s">
        <v>70</v>
      </c>
      <c r="U21" s="1331">
        <f>H21</f>
        <v>102</v>
      </c>
      <c r="V21" s="1330" t="s">
        <v>70</v>
      </c>
      <c r="W21" s="1331">
        <f>J21</f>
        <v>98</v>
      </c>
      <c r="X21" s="1324"/>
      <c r="Y21" s="3552"/>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184</v>
      </c>
      <c r="F22" s="797"/>
      <c r="G22" s="192" t="s">
        <v>123</v>
      </c>
      <c r="H22" s="797"/>
      <c r="I22" s="97" t="s">
        <v>153</v>
      </c>
      <c r="J22" s="797"/>
      <c r="K22" s="1087"/>
      <c r="L22" s="2385"/>
      <c r="M22" s="2376"/>
      <c r="N22" s="2376"/>
      <c r="O22" s="2384"/>
      <c r="P22" s="3552"/>
      <c r="Q22" s="1329"/>
      <c r="R22" s="1330"/>
      <c r="S22" s="1331"/>
      <c r="T22" s="1330"/>
      <c r="U22" s="1331"/>
      <c r="V22" s="1330"/>
      <c r="W22" s="1331"/>
      <c r="X22" s="1324"/>
      <c r="Y22" s="3552"/>
      <c r="Z22" s="1332"/>
      <c r="AA22" s="1333">
        <v>1</v>
      </c>
      <c r="AB22" s="1333">
        <v>1</v>
      </c>
      <c r="AC22" s="1333">
        <v>1</v>
      </c>
    </row>
    <row r="23" spans="1:29" s="413" customFormat="1" ht="40.5">
      <c r="A23" s="997"/>
      <c r="B23" s="1041" t="s">
        <v>3074</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77"/>
      <c r="M23" s="2378"/>
      <c r="N23" s="2378"/>
      <c r="O23" s="2379"/>
      <c r="P23" s="3552"/>
      <c r="Q23" s="302" t="str">
        <f t="shared" si="8"/>
        <v>公共配套设施</v>
      </c>
      <c r="R23" s="1325" t="s">
        <v>70</v>
      </c>
      <c r="S23" s="1326">
        <f>F23</f>
        <v>96</v>
      </c>
      <c r="T23" s="1325" t="s">
        <v>70</v>
      </c>
      <c r="U23" s="1326">
        <f>H23</f>
        <v>98</v>
      </c>
      <c r="V23" s="1325" t="s">
        <v>70</v>
      </c>
      <c r="W23" s="1326">
        <f>J23</f>
        <v>102</v>
      </c>
      <c r="X23" s="1327"/>
      <c r="Y23" s="3552"/>
      <c r="Z23" s="350" t="str">
        <f>Q23</f>
        <v>公共配套设施</v>
      </c>
      <c r="AA23" s="1333">
        <f>D23/F23</f>
        <v>1.0416666666666667</v>
      </c>
      <c r="AB23" s="1333">
        <f>D23/H23</f>
        <v>1.0204081632653061</v>
      </c>
      <c r="AC23" s="1333">
        <f>D23/J23</f>
        <v>0.98039215686274506</v>
      </c>
    </row>
    <row r="24" spans="1:29" s="413" customFormat="1" ht="15">
      <c r="A24" s="997"/>
      <c r="B24" s="980"/>
      <c r="C24" s="2811" t="s">
        <v>123</v>
      </c>
      <c r="D24" s="797"/>
      <c r="E24" s="192" t="s">
        <v>153</v>
      </c>
      <c r="F24" s="797"/>
      <c r="G24" s="192" t="s">
        <v>124</v>
      </c>
      <c r="H24" s="797"/>
      <c r="I24" s="97" t="s">
        <v>122</v>
      </c>
      <c r="J24" s="797"/>
      <c r="K24" s="1087"/>
      <c r="L24" s="2377"/>
      <c r="M24" s="2378"/>
      <c r="N24" s="2378"/>
      <c r="O24" s="2379"/>
      <c r="P24" s="3552"/>
      <c r="Q24" s="302"/>
      <c r="R24" s="1325"/>
      <c r="S24" s="1326"/>
      <c r="T24" s="1325"/>
      <c r="U24" s="1326"/>
      <c r="V24" s="1325"/>
      <c r="W24" s="1326"/>
      <c r="X24" s="1327"/>
      <c r="Y24" s="3552"/>
      <c r="Z24" s="350"/>
      <c r="AA24" s="1328">
        <v>1</v>
      </c>
      <c r="AB24" s="1328">
        <v>1</v>
      </c>
      <c r="AC24" s="1328">
        <v>1</v>
      </c>
    </row>
    <row r="25" spans="1:29" s="413" customFormat="1" ht="40.5">
      <c r="A25" s="997"/>
      <c r="B25" s="1041" t="s">
        <v>3075</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77"/>
      <c r="M25" s="2378"/>
      <c r="N25" s="2378"/>
      <c r="O25" s="2379"/>
      <c r="P25" s="3552"/>
      <c r="Q25" s="2780" t="str">
        <f t="shared" ref="Q25" si="9">B25</f>
        <v>基础设施水平</v>
      </c>
      <c r="R25" s="1325" t="s">
        <v>70</v>
      </c>
      <c r="S25" s="1326">
        <f>F25</f>
        <v>99</v>
      </c>
      <c r="T25" s="1325" t="s">
        <v>70</v>
      </c>
      <c r="U25" s="1326">
        <f>H25</f>
        <v>98</v>
      </c>
      <c r="V25" s="1325" t="s">
        <v>70</v>
      </c>
      <c r="W25" s="1326">
        <f>J25</f>
        <v>97</v>
      </c>
      <c r="X25" s="1327"/>
      <c r="Y25" s="3552"/>
      <c r="Z25" s="350" t="str">
        <f>Q25</f>
        <v>基础设施水平</v>
      </c>
      <c r="AA25" s="1333">
        <f>D25/F25</f>
        <v>1.0101010101010102</v>
      </c>
      <c r="AB25" s="1333">
        <f>D25/H25</f>
        <v>1.0204081632653061</v>
      </c>
      <c r="AC25" s="1333">
        <f>D25/J25</f>
        <v>1.0309278350515463</v>
      </c>
    </row>
    <row r="26" spans="1:29" s="413" customFormat="1" ht="15">
      <c r="A26" s="997"/>
      <c r="B26" s="980"/>
      <c r="C26" s="2811" t="s">
        <v>56</v>
      </c>
      <c r="D26" s="797"/>
      <c r="E26" s="1042" t="s">
        <v>161</v>
      </c>
      <c r="F26" s="797"/>
      <c r="G26" s="1042" t="s">
        <v>162</v>
      </c>
      <c r="H26" s="797"/>
      <c r="I26" s="1042" t="s">
        <v>258</v>
      </c>
      <c r="J26" s="797"/>
      <c r="K26" s="1087"/>
      <c r="L26" s="2377"/>
      <c r="M26" s="2378"/>
      <c r="N26" s="2378"/>
      <c r="O26" s="2379"/>
      <c r="P26" s="3552"/>
      <c r="Q26" s="2780"/>
      <c r="R26" s="1325"/>
      <c r="S26" s="1326"/>
      <c r="T26" s="1325"/>
      <c r="U26" s="1326"/>
      <c r="V26" s="1325"/>
      <c r="W26" s="1326"/>
      <c r="X26" s="1327"/>
      <c r="Y26" s="3552"/>
      <c r="Z26" s="350"/>
      <c r="AA26" s="1328">
        <v>1</v>
      </c>
      <c r="AB26" s="1328">
        <v>1</v>
      </c>
      <c r="AC26" s="1328">
        <v>1</v>
      </c>
    </row>
    <row r="27" spans="1:29" ht="15">
      <c r="A27" s="777"/>
      <c r="B27" s="980" t="s">
        <v>623</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8">
        <v>1.5</v>
      </c>
      <c r="L27" s="2385"/>
      <c r="M27" s="2376"/>
      <c r="N27" s="2376"/>
      <c r="O27" s="2384"/>
      <c r="P27" s="3552"/>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52"/>
      <c r="Z27" s="1332" t="str">
        <f t="shared" ref="Z27:Z40" si="13">Q27</f>
        <v>临街状况</v>
      </c>
      <c r="AA27" s="1333">
        <f t="shared" si="3"/>
        <v>1</v>
      </c>
      <c r="AB27" s="1333">
        <f t="shared" si="4"/>
        <v>1</v>
      </c>
      <c r="AC27" s="1333">
        <f t="shared" si="5"/>
        <v>1</v>
      </c>
    </row>
    <row r="28" spans="1:29" ht="27">
      <c r="A28" s="777"/>
      <c r="B28" s="981" t="s">
        <v>631</v>
      </c>
      <c r="C28" s="281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5"/>
      <c r="M28" s="2376"/>
      <c r="N28" s="2376"/>
      <c r="O28" s="2384"/>
      <c r="P28" s="3552"/>
      <c r="Q28" s="1329" t="str">
        <f t="shared" si="8"/>
        <v>毗邻道路的类型与等级</v>
      </c>
      <c r="R28" s="1330" t="s">
        <v>70</v>
      </c>
      <c r="S28" s="1331">
        <f t="shared" si="10"/>
        <v>100</v>
      </c>
      <c r="T28" s="1330" t="s">
        <v>70</v>
      </c>
      <c r="U28" s="1331">
        <f t="shared" si="11"/>
        <v>100</v>
      </c>
      <c r="V28" s="1330" t="s">
        <v>70</v>
      </c>
      <c r="W28" s="1331">
        <f t="shared" si="12"/>
        <v>100</v>
      </c>
      <c r="X28" s="1324"/>
      <c r="Y28" s="3552"/>
      <c r="Z28" s="1332" t="str">
        <f t="shared" si="13"/>
        <v>毗邻道路的类型与等级</v>
      </c>
      <c r="AA28" s="1333">
        <f t="shared" si="3"/>
        <v>1</v>
      </c>
      <c r="AB28" s="1333">
        <f t="shared" si="4"/>
        <v>1</v>
      </c>
      <c r="AC28" s="1333">
        <f t="shared" si="5"/>
        <v>1</v>
      </c>
    </row>
    <row r="29" spans="1:29" ht="15">
      <c r="A29" s="777"/>
      <c r="B29" s="980"/>
      <c r="C29" s="97" t="s">
        <v>224</v>
      </c>
      <c r="D29" s="797"/>
      <c r="E29" s="192" t="s">
        <v>224</v>
      </c>
      <c r="F29" s="797"/>
      <c r="G29" s="192" t="s">
        <v>224</v>
      </c>
      <c r="H29" s="797"/>
      <c r="I29" s="192" t="s">
        <v>224</v>
      </c>
      <c r="J29" s="797"/>
      <c r="K29" s="961"/>
      <c r="L29" s="2385"/>
      <c r="M29" s="2376"/>
      <c r="N29" s="2376"/>
      <c r="O29" s="2384"/>
      <c r="P29" s="3552"/>
      <c r="Q29" s="1329"/>
      <c r="R29" s="1330"/>
      <c r="S29" s="1331"/>
      <c r="T29" s="1330"/>
      <c r="U29" s="1331"/>
      <c r="V29" s="1330"/>
      <c r="W29" s="1331"/>
      <c r="X29" s="1324"/>
      <c r="Y29" s="3552"/>
      <c r="Z29" s="1332"/>
      <c r="AA29" s="1333">
        <v>1</v>
      </c>
      <c r="AB29" s="1333">
        <v>1</v>
      </c>
      <c r="AC29" s="1333">
        <v>1</v>
      </c>
    </row>
    <row r="30" spans="1:29" ht="15">
      <c r="A30" s="777"/>
      <c r="B30" s="1002" t="s">
        <v>706</v>
      </c>
      <c r="C30" s="2813" t="str">
        <f>估价对象房地状况!G23</f>
        <v>3级</v>
      </c>
      <c r="D30" s="784">
        <v>100</v>
      </c>
      <c r="E30" s="982" t="s">
        <v>744</v>
      </c>
      <c r="F30" s="784">
        <f>SUMIF(99:99,E30,100:100)-SUMIF(99:99,C30,100:100)+100</f>
        <v>100</v>
      </c>
      <c r="G30" s="982" t="s">
        <v>745</v>
      </c>
      <c r="H30" s="784">
        <f>SUMIF(99:99,G30,100:100)-SUMIF(99:99,C30,100:100)+100</f>
        <v>105</v>
      </c>
      <c r="I30" s="982" t="s">
        <v>745</v>
      </c>
      <c r="J30" s="784">
        <f>SUMIF(99:99,I30,100:100)-SUMIF(99:99,C30,100:100)+100</f>
        <v>105</v>
      </c>
      <c r="K30" s="960">
        <v>2.5</v>
      </c>
      <c r="L30" s="2385"/>
      <c r="M30" s="2376"/>
      <c r="N30" s="2376"/>
      <c r="O30" s="2384"/>
      <c r="P30" s="3552"/>
      <c r="Q30" s="1329" t="str">
        <f t="shared" si="8"/>
        <v>土地级别</v>
      </c>
      <c r="R30" s="1330" t="s">
        <v>70</v>
      </c>
      <c r="S30" s="1331">
        <f t="shared" si="10"/>
        <v>100</v>
      </c>
      <c r="T30" s="1330" t="s">
        <v>70</v>
      </c>
      <c r="U30" s="1331">
        <f t="shared" si="11"/>
        <v>105</v>
      </c>
      <c r="V30" s="1330" t="s">
        <v>70</v>
      </c>
      <c r="W30" s="1331">
        <f t="shared" si="12"/>
        <v>105</v>
      </c>
      <c r="X30" s="1324"/>
      <c r="Y30" s="3552"/>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5"/>
      <c r="M31" s="2376"/>
      <c r="N31" s="2376"/>
      <c r="O31" s="2384"/>
      <c r="P31" s="3552"/>
      <c r="Q31" s="1329">
        <f t="shared" si="8"/>
        <v>111</v>
      </c>
      <c r="R31" s="1330" t="s">
        <v>70</v>
      </c>
      <c r="S31" s="1331">
        <f t="shared" si="10"/>
        <v>99</v>
      </c>
      <c r="T31" s="1330" t="s">
        <v>70</v>
      </c>
      <c r="U31" s="1331">
        <f t="shared" si="11"/>
        <v>98</v>
      </c>
      <c r="V31" s="1330" t="s">
        <v>70</v>
      </c>
      <c r="W31" s="1331">
        <f t="shared" si="12"/>
        <v>97</v>
      </c>
      <c r="X31" s="1324"/>
      <c r="Y31" s="3552"/>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5"/>
      <c r="M32" s="2376"/>
      <c r="N32" s="2376"/>
      <c r="O32" s="2384"/>
      <c r="P32" s="3553" t="s">
        <v>586</v>
      </c>
      <c r="Q32" s="1329">
        <f t="shared" si="8"/>
        <v>111</v>
      </c>
      <c r="R32" s="1330" t="s">
        <v>70</v>
      </c>
      <c r="S32" s="1331">
        <f t="shared" si="10"/>
        <v>98</v>
      </c>
      <c r="T32" s="1330" t="s">
        <v>70</v>
      </c>
      <c r="U32" s="1331">
        <f t="shared" si="11"/>
        <v>96</v>
      </c>
      <c r="V32" s="1330" t="s">
        <v>70</v>
      </c>
      <c r="W32" s="1331">
        <f t="shared" si="12"/>
        <v>94</v>
      </c>
      <c r="X32" s="1324"/>
      <c r="Y32" s="3554" t="s">
        <v>586</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3"/>
      <c r="M33" s="2386"/>
      <c r="N33" s="2386"/>
      <c r="O33" s="2387"/>
      <c r="P33" s="3554"/>
      <c r="Q33" s="1329">
        <f t="shared" si="8"/>
        <v>111</v>
      </c>
      <c r="R33" s="1335" t="s">
        <v>70</v>
      </c>
      <c r="S33" s="1336">
        <f t="shared" si="10"/>
        <v>97</v>
      </c>
      <c r="T33" s="1335" t="s">
        <v>70</v>
      </c>
      <c r="U33" s="1336">
        <f t="shared" si="11"/>
        <v>94</v>
      </c>
      <c r="V33" s="1335" t="s">
        <v>70</v>
      </c>
      <c r="W33" s="1336">
        <f t="shared" si="12"/>
        <v>91</v>
      </c>
      <c r="X33" s="1337"/>
      <c r="Y33" s="3554"/>
      <c r="Z33" s="1338">
        <f t="shared" si="13"/>
        <v>111</v>
      </c>
      <c r="AA33" s="1333">
        <f t="shared" si="3"/>
        <v>1.0309278350515463</v>
      </c>
      <c r="AB33" s="1333">
        <f t="shared" si="4"/>
        <v>1.0638297872340425</v>
      </c>
      <c r="AC33" s="1333">
        <f t="shared" si="5"/>
        <v>1.098901098901099</v>
      </c>
    </row>
    <row r="34" spans="1:29" ht="15">
      <c r="A34" s="789" t="s">
        <v>3204</v>
      </c>
      <c r="B34" s="805" t="s">
        <v>707</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5"/>
      <c r="M34" s="2376"/>
      <c r="N34" s="2376"/>
      <c r="O34" s="2384"/>
      <c r="P34" s="3554"/>
      <c r="Q34" s="1329" t="str">
        <f>B34</f>
        <v>宗地面积</v>
      </c>
      <c r="R34" s="1330" t="s">
        <v>70</v>
      </c>
      <c r="S34" s="1331">
        <f t="shared" si="10"/>
        <v>105</v>
      </c>
      <c r="T34" s="1330" t="s">
        <v>70</v>
      </c>
      <c r="U34" s="1331">
        <f t="shared" si="11"/>
        <v>105</v>
      </c>
      <c r="V34" s="1330" t="s">
        <v>70</v>
      </c>
      <c r="W34" s="1331">
        <f t="shared" si="12"/>
        <v>100</v>
      </c>
      <c r="X34" s="1324"/>
      <c r="Y34" s="3554"/>
      <c r="Z34" s="1332" t="str">
        <f t="shared" si="13"/>
        <v>宗地面积</v>
      </c>
      <c r="AA34" s="1333">
        <f t="shared" si="3"/>
        <v>0.95238095238095233</v>
      </c>
      <c r="AB34" s="1333">
        <f t="shared" si="4"/>
        <v>0.95238095238095233</v>
      </c>
      <c r="AC34" s="1333">
        <f t="shared" si="5"/>
        <v>1</v>
      </c>
    </row>
    <row r="35" spans="1:29" ht="15">
      <c r="A35" s="820"/>
      <c r="B35" s="771" t="s">
        <v>708</v>
      </c>
      <c r="C35" s="109" t="s">
        <v>57</v>
      </c>
      <c r="D35" s="784">
        <v>100</v>
      </c>
      <c r="E35" s="109" t="s">
        <v>57</v>
      </c>
      <c r="F35" s="784">
        <f>SUMIF(110:110,E35,111:111)-SUMIF(110:110,C35,111:111)+100</f>
        <v>100</v>
      </c>
      <c r="G35" s="109" t="s">
        <v>2434</v>
      </c>
      <c r="H35" s="784">
        <f>SUMIF(110:110,G35,111:111)-SUMIF(110:110,C35,111:111)+100</f>
        <v>98</v>
      </c>
      <c r="I35" s="109" t="s">
        <v>57</v>
      </c>
      <c r="J35" s="784">
        <f>SUMIF(110:110,I35,111:111)-SUMIF(110:110,C35,111:111)+100</f>
        <v>100</v>
      </c>
      <c r="K35" s="960">
        <v>2</v>
      </c>
      <c r="L35" s="2385"/>
      <c r="M35" s="2376"/>
      <c r="N35" s="2376"/>
      <c r="O35" s="2384"/>
      <c r="P35" s="3554"/>
      <c r="Q35" s="1329" t="str">
        <f t="shared" ref="Q35:Q40" si="14">B35</f>
        <v>宗地形状</v>
      </c>
      <c r="R35" s="1330" t="s">
        <v>70</v>
      </c>
      <c r="S35" s="1331">
        <f t="shared" si="10"/>
        <v>100</v>
      </c>
      <c r="T35" s="1330" t="s">
        <v>70</v>
      </c>
      <c r="U35" s="1331">
        <f t="shared" si="11"/>
        <v>98</v>
      </c>
      <c r="V35" s="1330" t="s">
        <v>70</v>
      </c>
      <c r="W35" s="1331">
        <f t="shared" si="12"/>
        <v>100</v>
      </c>
      <c r="X35" s="1324"/>
      <c r="Y35" s="3554"/>
      <c r="Z35" s="1332" t="str">
        <f t="shared" si="13"/>
        <v>宗地形状</v>
      </c>
      <c r="AA35" s="1333">
        <f t="shared" si="3"/>
        <v>1</v>
      </c>
      <c r="AB35" s="1333">
        <f t="shared" si="4"/>
        <v>1.0204081632653061</v>
      </c>
      <c r="AC35" s="1333">
        <f t="shared" si="5"/>
        <v>1</v>
      </c>
    </row>
    <row r="36" spans="1:29" s="413" customFormat="1" ht="15">
      <c r="A36" s="821"/>
      <c r="B36" s="2645" t="s">
        <v>2904</v>
      </c>
      <c r="C36" s="1048" t="s">
        <v>2180</v>
      </c>
      <c r="D36" s="431">
        <v>100</v>
      </c>
      <c r="E36" s="1048" t="s">
        <v>2898</v>
      </c>
      <c r="F36" s="784">
        <f>SUMIF(112:112,E36,113:113)-SUMIF(112:112,C36,113:113)+100</f>
        <v>98</v>
      </c>
      <c r="G36" s="1048" t="s">
        <v>2898</v>
      </c>
      <c r="H36" s="784">
        <f>SUMIF(112:112,G36,113:113)-SUMIF(112:112,C36,113:113)+100</f>
        <v>98</v>
      </c>
      <c r="I36" s="1048" t="s">
        <v>2898</v>
      </c>
      <c r="J36" s="784">
        <f>SUMIF(112:112,I36,113:113)-SUMIF(112:112,C36,113:113)+100</f>
        <v>98</v>
      </c>
      <c r="K36" s="960">
        <v>2</v>
      </c>
      <c r="L36" s="2377"/>
      <c r="M36" s="2378"/>
      <c r="N36" s="2378"/>
      <c r="O36" s="2379"/>
      <c r="P36" s="3554"/>
      <c r="Q36" s="1329" t="str">
        <f t="shared" si="14"/>
        <v>宗地开发程度</v>
      </c>
      <c r="R36" s="1325" t="s">
        <v>70</v>
      </c>
      <c r="S36" s="1326">
        <f t="shared" si="10"/>
        <v>98</v>
      </c>
      <c r="T36" s="1325" t="s">
        <v>70</v>
      </c>
      <c r="U36" s="1326">
        <f t="shared" si="11"/>
        <v>98</v>
      </c>
      <c r="V36" s="1325" t="s">
        <v>70</v>
      </c>
      <c r="W36" s="1326">
        <f t="shared" si="12"/>
        <v>98</v>
      </c>
      <c r="X36" s="1327"/>
      <c r="Y36" s="3554"/>
      <c r="Z36" s="350" t="str">
        <f t="shared" si="13"/>
        <v>宗地开发程度</v>
      </c>
      <c r="AA36" s="1328">
        <f t="shared" si="3"/>
        <v>1.0204081632653061</v>
      </c>
      <c r="AB36" s="1328">
        <f t="shared" si="4"/>
        <v>1.0204081632653061</v>
      </c>
      <c r="AC36" s="1328">
        <f t="shared" si="5"/>
        <v>1.0204081632653061</v>
      </c>
    </row>
    <row r="37" spans="1:29" ht="15">
      <c r="A37" s="820"/>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5"/>
      <c r="M37" s="2376"/>
      <c r="N37" s="2376"/>
      <c r="O37" s="2384"/>
      <c r="P37" s="3554" t="s">
        <v>746</v>
      </c>
      <c r="Q37" s="1329" t="str">
        <f t="shared" si="14"/>
        <v>工程地质条件</v>
      </c>
      <c r="R37" s="1330" t="s">
        <v>70</v>
      </c>
      <c r="S37" s="1331">
        <f t="shared" si="10"/>
        <v>100</v>
      </c>
      <c r="T37" s="1330" t="s">
        <v>70</v>
      </c>
      <c r="U37" s="1331">
        <f t="shared" si="11"/>
        <v>97</v>
      </c>
      <c r="V37" s="1330" t="s">
        <v>70</v>
      </c>
      <c r="W37" s="1331">
        <f t="shared" si="12"/>
        <v>100</v>
      </c>
      <c r="X37" s="1324"/>
      <c r="Y37" s="3554" t="s">
        <v>746</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5"/>
      <c r="M38" s="2376"/>
      <c r="N38" s="2376"/>
      <c r="O38" s="2384"/>
      <c r="P38" s="3554"/>
      <c r="Q38" s="1329">
        <f t="shared" si="14"/>
        <v>111</v>
      </c>
      <c r="R38" s="1330" t="s">
        <v>70</v>
      </c>
      <c r="S38" s="1331">
        <f t="shared" si="10"/>
        <v>99</v>
      </c>
      <c r="T38" s="1330" t="s">
        <v>70</v>
      </c>
      <c r="U38" s="1331">
        <f t="shared" si="11"/>
        <v>98</v>
      </c>
      <c r="V38" s="1330" t="s">
        <v>70</v>
      </c>
      <c r="W38" s="1331">
        <f t="shared" si="12"/>
        <v>97</v>
      </c>
      <c r="X38" s="1324"/>
      <c r="Y38" s="3554"/>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5"/>
      <c r="M39" s="2376"/>
      <c r="N39" s="2376"/>
      <c r="O39" s="2384"/>
      <c r="P39" s="3554"/>
      <c r="Q39" s="1329">
        <f t="shared" si="14"/>
        <v>111</v>
      </c>
      <c r="R39" s="1330" t="s">
        <v>70</v>
      </c>
      <c r="S39" s="1331">
        <f t="shared" si="10"/>
        <v>98</v>
      </c>
      <c r="T39" s="1330" t="s">
        <v>70</v>
      </c>
      <c r="U39" s="1331">
        <f t="shared" si="11"/>
        <v>96</v>
      </c>
      <c r="V39" s="1330" t="s">
        <v>70</v>
      </c>
      <c r="W39" s="1331">
        <f t="shared" si="12"/>
        <v>94</v>
      </c>
      <c r="X39" s="1324"/>
      <c r="Y39" s="3554"/>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3"/>
      <c r="M40" s="2386"/>
      <c r="N40" s="2386"/>
      <c r="O40" s="2387"/>
      <c r="P40" s="3554"/>
      <c r="Q40" s="1329">
        <f t="shared" si="14"/>
        <v>111</v>
      </c>
      <c r="R40" s="1335" t="s">
        <v>70</v>
      </c>
      <c r="S40" s="1336">
        <f t="shared" si="10"/>
        <v>97</v>
      </c>
      <c r="T40" s="1335" t="s">
        <v>70</v>
      </c>
      <c r="U40" s="1336">
        <f t="shared" si="11"/>
        <v>94</v>
      </c>
      <c r="V40" s="1335" t="s">
        <v>70</v>
      </c>
      <c r="W40" s="1336">
        <f t="shared" si="12"/>
        <v>91</v>
      </c>
      <c r="X40" s="1337"/>
      <c r="Y40" s="3554"/>
      <c r="Z40" s="1338">
        <f t="shared" si="13"/>
        <v>111</v>
      </c>
      <c r="AA40" s="1333">
        <f t="shared" si="3"/>
        <v>1.0309278350515463</v>
      </c>
      <c r="AB40" s="1333">
        <f t="shared" si="4"/>
        <v>1.0638297872340425</v>
      </c>
      <c r="AC40" s="1333">
        <f t="shared" si="5"/>
        <v>1.098901098901099</v>
      </c>
    </row>
    <row r="41" spans="1:29" ht="15">
      <c r="A41" s="827" t="s">
        <v>711</v>
      </c>
      <c r="B41" s="207" t="s">
        <v>2806</v>
      </c>
      <c r="C41" s="1097" t="s">
        <v>23</v>
      </c>
      <c r="D41" s="829"/>
      <c r="E41" s="830">
        <v>5000</v>
      </c>
      <c r="F41" s="831"/>
      <c r="G41" s="832">
        <v>4250</v>
      </c>
      <c r="H41" s="833"/>
      <c r="I41" s="830">
        <v>5100</v>
      </c>
      <c r="J41" s="833"/>
      <c r="K41" s="1406"/>
      <c r="L41" s="2388"/>
      <c r="M41" s="2376"/>
      <c r="N41" s="2376"/>
      <c r="O41" s="2389"/>
      <c r="P41" s="3550" t="str">
        <f>A41</f>
        <v>成交单价</v>
      </c>
      <c r="Q41" s="3550"/>
      <c r="R41" s="3555">
        <f>E41</f>
        <v>5000</v>
      </c>
      <c r="S41" s="3555"/>
      <c r="T41" s="3555">
        <f>G41</f>
        <v>4250</v>
      </c>
      <c r="U41" s="3555"/>
      <c r="V41" s="3555">
        <f>I41</f>
        <v>5100</v>
      </c>
      <c r="W41" s="3555"/>
      <c r="X41" s="1313"/>
      <c r="Y41" s="1339"/>
      <c r="Z41" s="1313"/>
      <c r="AA41" s="1313"/>
      <c r="AB41" s="1313"/>
      <c r="AC41" s="1313"/>
    </row>
    <row r="42" spans="1:29" ht="15.75" thickBot="1">
      <c r="A42" s="834" t="s">
        <v>588</v>
      </c>
      <c r="B42" s="1098"/>
      <c r="C42" s="838" t="e">
        <f>R43</f>
        <v>#DIV/0!</v>
      </c>
      <c r="D42" s="837"/>
      <c r="E42" s="838">
        <f>R42</f>
        <v>5774</v>
      </c>
      <c r="F42" s="839"/>
      <c r="G42" s="836" t="e">
        <f>T42</f>
        <v>#DIV/0!</v>
      </c>
      <c r="H42" s="837"/>
      <c r="I42" s="838">
        <f>V42</f>
        <v>8394</v>
      </c>
      <c r="J42" s="837"/>
      <c r="K42" s="1407"/>
      <c r="L42" s="2388"/>
      <c r="M42" s="2376"/>
      <c r="N42" s="2376"/>
      <c r="O42" s="2389"/>
      <c r="P42" s="3550" t="str">
        <f>A42</f>
        <v>比较价值（元/平方米）</v>
      </c>
      <c r="Q42" s="3550"/>
      <c r="R42" s="3541">
        <f>ROUND(PRODUCT(R41,AA7:AA40),0)</f>
        <v>5774</v>
      </c>
      <c r="S42" s="3541"/>
      <c r="T42" s="3541" t="e">
        <f>ROUND(PRODUCT(T41,AB7:AB40),0)</f>
        <v>#DIV/0!</v>
      </c>
      <c r="U42" s="3541"/>
      <c r="V42" s="3541">
        <f>ROUND(PRODUCT(V41,AC7:AC40),0)</f>
        <v>8394</v>
      </c>
      <c r="W42" s="3541"/>
      <c r="X42" s="1313"/>
      <c r="Y42" s="1313"/>
      <c r="Z42" s="1313"/>
      <c r="AA42" s="1313"/>
      <c r="AB42" s="1313"/>
      <c r="AC42" s="1313"/>
    </row>
    <row r="43" spans="1:29" ht="15.75" thickBot="1">
      <c r="A43" s="115" t="s">
        <v>740</v>
      </c>
      <c r="B43" s="841"/>
      <c r="C43" s="842" t="e">
        <f>R43</f>
        <v>#DIV/0!</v>
      </c>
      <c r="D43" s="842"/>
      <c r="E43" s="842"/>
      <c r="F43" s="842"/>
      <c r="G43" s="842"/>
      <c r="H43" s="842"/>
      <c r="I43" s="842"/>
      <c r="J43" s="842"/>
      <c r="K43" s="1408"/>
      <c r="L43" s="2388"/>
      <c r="M43" s="2376"/>
      <c r="N43" s="2376"/>
      <c r="O43" s="2389"/>
      <c r="P43" s="3542" t="str">
        <f>A43</f>
        <v>估价对象XX用房的比较价值（楼面单价，元/平方米）</v>
      </c>
      <c r="Q43" s="3543"/>
      <c r="R43" s="3544" t="e">
        <f>ROUND(AVERAGE(R42:V42),0)</f>
        <v>#DIV/0!</v>
      </c>
      <c r="S43" s="3544"/>
      <c r="T43" s="3544"/>
      <c r="U43" s="3544"/>
      <c r="V43" s="3544"/>
      <c r="W43" s="3544"/>
      <c r="X43" s="1313"/>
      <c r="Y43" s="1313"/>
      <c r="Z43" s="1313"/>
      <c r="AA43" s="1313"/>
      <c r="AB43" s="1313"/>
      <c r="AC43" s="1313"/>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5" t="s">
        <v>590</v>
      </c>
      <c r="D46" s="846"/>
      <c r="E46" s="847">
        <f>IF(E41&lt;E42,E42/E41-1,E41/E42-1)</f>
        <v>0.15480000000000005</v>
      </c>
      <c r="F46" s="848" t="str">
        <f>IF(OR(E46&gt;=0.3,E46&lt;=-0.3),"超过30%","")</f>
        <v/>
      </c>
      <c r="G46" s="847" t="e">
        <f>IF(G41&lt;G42,G42/G41-1,G41/G42-1)</f>
        <v>#DIV/0!</v>
      </c>
      <c r="H46" s="848" t="e">
        <f>IF(OR(G46&gt;=0.3,G46&lt;=-0.3),"超过30%","")</f>
        <v>#DIV/0!</v>
      </c>
      <c r="I46" s="847">
        <f>IF(I41&lt;I42,I42/I41-1,I41/I42-1)</f>
        <v>0.64588235294117657</v>
      </c>
      <c r="J46" s="848" t="str">
        <f>IF(OR(I46&gt;=0.3,I46&lt;=-0.3),"超过30%","")</f>
        <v>超过30%</v>
      </c>
      <c r="K46" s="2211"/>
      <c r="L46" s="2212"/>
      <c r="M46" s="2376"/>
      <c r="N46" s="2376"/>
      <c r="O46" s="2389"/>
    </row>
    <row r="47" spans="1:29" ht="13.5" customHeight="1">
      <c r="A47" s="2389"/>
      <c r="B47" s="2389"/>
      <c r="C47" s="845" t="s">
        <v>591</v>
      </c>
      <c r="D47" s="849"/>
      <c r="E47" s="847" t="e">
        <f>IF(E42&lt;G42,G42/E42-1,E42/G42-1)</f>
        <v>#DIV/0!</v>
      </c>
      <c r="F47" s="848" t="e">
        <f>IF(OR(E47&gt;=0.2,E47&lt;=-0.2),"超过20%","")</f>
        <v>#DIV/0!</v>
      </c>
      <c r="G47" s="847" t="e">
        <f>IF(G42&lt;I42,I42/G42-1,G42/I42-1)</f>
        <v>#DIV/0!</v>
      </c>
      <c r="H47" s="848" t="e">
        <f>IF(OR(G47&gt;=0.2,G47&lt;=-0.2),"超过20%","")</f>
        <v>#DIV/0!</v>
      </c>
      <c r="I47" s="847">
        <f>IF(I42&lt;E42,E42/I42-1,I42/E42-1)</f>
        <v>0.4537582265327329</v>
      </c>
      <c r="J47" s="848" t="str">
        <f>IF(OR(I47&gt;=0.2,I47&lt;=-0.2),"超过20%","")</f>
        <v>超过20%</v>
      </c>
      <c r="K47" s="2211"/>
      <c r="L47" s="2212"/>
      <c r="M47" s="2389"/>
      <c r="N47" s="2389"/>
      <c r="O47" s="2389"/>
    </row>
    <row r="48" spans="1:29" s="850" customFormat="1" ht="13.5" customHeight="1">
      <c r="A48" s="2390"/>
      <c r="B48" s="2390"/>
      <c r="C48" s="845" t="s">
        <v>592</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3"/>
      <c r="L48" s="2394"/>
      <c r="M48" s="2390"/>
      <c r="N48" s="2390"/>
      <c r="O48" s="2390"/>
    </row>
    <row r="49" spans="1:17" s="850" customFormat="1" ht="15" thickBot="1">
      <c r="A49" s="2390"/>
      <c r="B49" s="2391"/>
      <c r="C49" s="1316"/>
      <c r="D49" s="1314"/>
      <c r="E49" s="1314"/>
      <c r="F49" s="1314"/>
      <c r="G49" s="1314"/>
      <c r="H49" s="1314"/>
      <c r="I49" s="1314"/>
      <c r="J49" s="1314"/>
      <c r="K49" s="2393"/>
      <c r="L49" s="2394"/>
      <c r="M49" s="2390"/>
      <c r="N49" s="2390"/>
      <c r="O49" s="2390"/>
    </row>
    <row r="50" spans="1:17" ht="27">
      <c r="A50" s="1099" t="s">
        <v>712</v>
      </c>
      <c r="B50" s="1100" t="s">
        <v>713</v>
      </c>
      <c r="C50" s="1800" t="s">
        <v>2248</v>
      </c>
      <c r="D50" s="2420" t="s">
        <v>2698</v>
      </c>
      <c r="E50" s="1101" t="s">
        <v>714</v>
      </c>
      <c r="F50" s="1102" t="s">
        <v>715</v>
      </c>
      <c r="G50" s="3545" t="s">
        <v>2691</v>
      </c>
      <c r="H50" s="3546"/>
      <c r="I50" s="2206" t="s">
        <v>2247</v>
      </c>
      <c r="J50" s="1790">
        <f>项目基本情况!F35</f>
        <v>0</v>
      </c>
      <c r="K50" s="2403" t="s">
        <v>2249</v>
      </c>
      <c r="L50" s="2212"/>
      <c r="M50" s="2389"/>
      <c r="N50" s="2389"/>
      <c r="O50" s="2389"/>
    </row>
    <row r="51" spans="1:17" s="1107" customFormat="1">
      <c r="A51" s="1103" t="s">
        <v>716</v>
      </c>
      <c r="B51" s="1104" t="e">
        <f>C43</f>
        <v>#DIV/0!</v>
      </c>
      <c r="C51" s="1105">
        <v>1</v>
      </c>
      <c r="D51" s="2421">
        <v>1</v>
      </c>
      <c r="E51" s="1105">
        <f>'数据-汇总表'!E8+'数据-汇总表'!E9</f>
        <v>11376.31</v>
      </c>
      <c r="F51" s="1106" t="e">
        <f t="shared" ref="F51:F60" si="15">ROUND(B51*E51/10000,0)</f>
        <v>#DIV/0!</v>
      </c>
      <c r="G51" s="3547"/>
      <c r="H51" s="3548"/>
      <c r="I51" s="1798">
        <v>1</v>
      </c>
      <c r="J51" s="1798">
        <v>1</v>
      </c>
      <c r="K51" s="2390"/>
      <c r="L51" s="1797"/>
      <c r="M51" s="1797"/>
      <c r="N51" s="1797"/>
      <c r="O51" s="1797"/>
    </row>
    <row r="52" spans="1:17" s="1107" customFormat="1">
      <c r="A52" s="1108" t="s">
        <v>717</v>
      </c>
      <c r="B52" s="599" t="e">
        <f>ROUND($C$43*C52*D52,0)</f>
        <v>#DIV/0!</v>
      </c>
      <c r="C52" s="537">
        <f t="shared" ref="C52:C60" si="16">IF($C$50="北京市系数",I52,J52)</f>
        <v>0.7</v>
      </c>
      <c r="D52" s="2422">
        <v>0.25</v>
      </c>
      <c r="E52" s="1109">
        <v>0</v>
      </c>
      <c r="F52" s="1106" t="e">
        <f t="shared" si="15"/>
        <v>#DIV/0!</v>
      </c>
      <c r="G52" s="3549" t="s">
        <v>2692</v>
      </c>
      <c r="H52" s="2210" t="str">
        <f>项目基本情况!B37</f>
        <v>四级</v>
      </c>
      <c r="I52" s="1798">
        <f>SUMIF(修正!A45:A56,H52,修正!B45:B56)</f>
        <v>0.7</v>
      </c>
      <c r="J52" s="1799"/>
      <c r="K52" s="2389"/>
      <c r="L52" s="1797"/>
      <c r="M52" s="1797"/>
      <c r="N52" s="1797"/>
      <c r="O52" s="1797"/>
    </row>
    <row r="53" spans="1:17" s="1107" customFormat="1">
      <c r="A53" s="1108" t="s">
        <v>718</v>
      </c>
      <c r="B53" s="599" t="e">
        <f t="shared" ref="B53:B60" si="17">ROUND($C$43*C53*D53,0)</f>
        <v>#DIV/0!</v>
      </c>
      <c r="C53" s="537">
        <f t="shared" si="16"/>
        <v>0.4</v>
      </c>
      <c r="D53" s="2422">
        <v>0.25</v>
      </c>
      <c r="E53" s="1109">
        <v>0</v>
      </c>
      <c r="F53" s="1106" t="e">
        <f t="shared" si="15"/>
        <v>#DIV/0!</v>
      </c>
      <c r="G53" s="3549"/>
      <c r="H53" s="2210" t="str">
        <f>项目基本情况!B37</f>
        <v>四级</v>
      </c>
      <c r="I53" s="1798">
        <f>SUMIF(修正!A45:A56,H53,修正!C45:C56)</f>
        <v>0.4</v>
      </c>
      <c r="J53" s="1799"/>
      <c r="K53" s="2390"/>
      <c r="L53" s="1797"/>
      <c r="M53" s="1797"/>
      <c r="N53" s="1797"/>
      <c r="O53" s="1797"/>
    </row>
    <row r="54" spans="1:17" s="1107" customFormat="1">
      <c r="A54" s="1108" t="s">
        <v>719</v>
      </c>
      <c r="B54" s="599" t="e">
        <f t="shared" si="17"/>
        <v>#DIV/0!</v>
      </c>
      <c r="C54" s="537">
        <f t="shared" si="16"/>
        <v>0.28000000000000003</v>
      </c>
      <c r="D54" s="2422">
        <v>0.25</v>
      </c>
      <c r="E54" s="1109">
        <v>0</v>
      </c>
      <c r="F54" s="1106" t="e">
        <f t="shared" si="15"/>
        <v>#DIV/0!</v>
      </c>
      <c r="G54" s="3549"/>
      <c r="H54" s="2210" t="str">
        <f>项目基本情况!B37</f>
        <v>四级</v>
      </c>
      <c r="I54" s="1798">
        <f>SUMIF(修正!A45:A56,H54,修正!D45:D56)</f>
        <v>0.28000000000000003</v>
      </c>
      <c r="J54" s="1799"/>
      <c r="K54" s="2389"/>
      <c r="L54" s="1797"/>
      <c r="M54" s="1797"/>
      <c r="N54" s="1797"/>
      <c r="O54" s="1797"/>
    </row>
    <row r="55" spans="1:17" s="1107" customFormat="1">
      <c r="A55" s="1108" t="s">
        <v>720</v>
      </c>
      <c r="B55" s="599" t="e">
        <f t="shared" si="17"/>
        <v>#DIV/0!</v>
      </c>
      <c r="C55" s="537">
        <f t="shared" si="16"/>
        <v>0.25</v>
      </c>
      <c r="D55" s="2422">
        <v>0.25</v>
      </c>
      <c r="E55" s="1109">
        <v>0</v>
      </c>
      <c r="F55" s="1106" t="e">
        <f t="shared" si="15"/>
        <v>#DIV/0!</v>
      </c>
      <c r="G55" s="3549"/>
      <c r="H55" s="2210" t="str">
        <f>项目基本情况!B37</f>
        <v>四级</v>
      </c>
      <c r="I55" s="1798">
        <f>SUMIF(修正!A45:A56,H55,修正!E45:E56)</f>
        <v>0.25</v>
      </c>
      <c r="J55" s="1799"/>
      <c r="K55" s="2390"/>
      <c r="L55" s="1797"/>
      <c r="M55" s="1797"/>
      <c r="N55" s="1797"/>
      <c r="O55" s="1797"/>
    </row>
    <row r="56" spans="1:17" s="1107" customFormat="1">
      <c r="A56" s="2543" t="s">
        <v>2780</v>
      </c>
      <c r="B56" s="599" t="e">
        <f t="shared" si="17"/>
        <v>#DIV/0!</v>
      </c>
      <c r="C56" s="537">
        <f t="shared" si="16"/>
        <v>0.25</v>
      </c>
      <c r="D56" s="2422">
        <v>0.25</v>
      </c>
      <c r="E56" s="598">
        <f>'数据-汇总表'!E11</f>
        <v>0</v>
      </c>
      <c r="F56" s="1106" t="e">
        <f t="shared" si="15"/>
        <v>#DIV/0!</v>
      </c>
      <c r="G56" s="2222" t="s">
        <v>2693</v>
      </c>
      <c r="H56" s="2210" t="str">
        <f>项目基本情况!C37</f>
        <v>六级</v>
      </c>
      <c r="I56" s="1798">
        <f>SUMIF(修正!A45:A56,H56,修正!F45:F56)</f>
        <v>0.25</v>
      </c>
      <c r="J56" s="1799"/>
      <c r="K56" s="2389"/>
      <c r="L56" s="1797"/>
      <c r="M56" s="1797"/>
      <c r="N56" s="1797"/>
      <c r="O56" s="1797"/>
    </row>
    <row r="57" spans="1:17" s="1107" customFormat="1">
      <c r="A57" s="1108" t="s">
        <v>721</v>
      </c>
      <c r="B57" s="599" t="e">
        <f t="shared" si="17"/>
        <v>#DIV/0!</v>
      </c>
      <c r="C57" s="537">
        <f t="shared" si="16"/>
        <v>0.25</v>
      </c>
      <c r="D57" s="2422">
        <v>0.25</v>
      </c>
      <c r="E57" s="598">
        <f>'数据-汇总表'!E12</f>
        <v>0</v>
      </c>
      <c r="F57" s="1106" t="e">
        <f t="shared" si="15"/>
        <v>#DIV/0!</v>
      </c>
      <c r="G57" s="2216" t="s">
        <v>210</v>
      </c>
      <c r="H57" s="2210" t="str">
        <f>IF(G57="商业",项目基本情况!B37,IF(G57="办公",项目基本情况!C37,IF(G57="住宅",项目基本情况!D37,项目基本情况!E37)))</f>
        <v>六级</v>
      </c>
      <c r="I57" s="1798">
        <f>SUMIF(修正!A45:A56,H57,修正!G45:G56)</f>
        <v>0.25</v>
      </c>
      <c r="J57" s="1799"/>
      <c r="K57" s="2390"/>
      <c r="L57" s="1797"/>
      <c r="M57" s="1797"/>
      <c r="N57" s="1797"/>
      <c r="O57" s="1797"/>
    </row>
    <row r="58" spans="1:17" s="1107" customFormat="1">
      <c r="A58" s="1108" t="s">
        <v>722</v>
      </c>
      <c r="B58" s="599" t="e">
        <f t="shared" si="17"/>
        <v>#DIV/0!</v>
      </c>
      <c r="C58" s="537">
        <f t="shared" si="16"/>
        <v>0.15</v>
      </c>
      <c r="D58" s="2422">
        <v>0.25</v>
      </c>
      <c r="E58" s="598">
        <f>'数据-汇总表'!E13</f>
        <v>0</v>
      </c>
      <c r="F58" s="1106" t="e">
        <f t="shared" si="15"/>
        <v>#DIV/0!</v>
      </c>
      <c r="G58" s="2216" t="s">
        <v>40</v>
      </c>
      <c r="H58" s="2210" t="str">
        <f>IF(G58="商业",项目基本情况!B37,IF(G58="办公",项目基本情况!C37,IF(G58="住宅",项目基本情况!D37,项目基本情况!E37)))</f>
        <v>八级</v>
      </c>
      <c r="I58" s="1798">
        <f>SUMIF(修正!A45:A56,H58,修正!H45:H56)</f>
        <v>0.15</v>
      </c>
      <c r="J58" s="1799"/>
      <c r="K58" s="2389"/>
      <c r="L58" s="1797"/>
      <c r="M58" s="1797"/>
      <c r="N58" s="1797"/>
      <c r="O58" s="1797"/>
    </row>
    <row r="59" spans="1:17" s="1107" customFormat="1">
      <c r="A59" s="1108" t="s">
        <v>723</v>
      </c>
      <c r="B59" s="599" t="e">
        <f t="shared" si="17"/>
        <v>#DIV/0!</v>
      </c>
      <c r="C59" s="537">
        <f t="shared" si="16"/>
        <v>0.2</v>
      </c>
      <c r="D59" s="2422">
        <v>0.25</v>
      </c>
      <c r="E59" s="598">
        <f>'数据-汇总表'!E14</f>
        <v>0</v>
      </c>
      <c r="F59" s="1106" t="e">
        <f t="shared" si="15"/>
        <v>#DIV/0!</v>
      </c>
      <c r="G59" s="2222" t="s">
        <v>2694</v>
      </c>
      <c r="H59" s="2210" t="str">
        <f>项目基本情况!B37</f>
        <v>四级</v>
      </c>
      <c r="I59" s="1798">
        <f>SUMIF(修正!A45:A56,H59,修正!H45:H56)</f>
        <v>0.2</v>
      </c>
      <c r="J59" s="1799"/>
      <c r="K59" s="2390"/>
      <c r="L59" s="1797"/>
      <c r="M59" s="1797"/>
      <c r="N59" s="1797"/>
      <c r="O59" s="1797"/>
    </row>
    <row r="60" spans="1:17" s="1107" customFormat="1" ht="15" thickBot="1">
      <c r="A60" s="1108" t="s">
        <v>724</v>
      </c>
      <c r="B60" s="599" t="e">
        <f t="shared" si="17"/>
        <v>#DIV/0!</v>
      </c>
      <c r="C60" s="537">
        <f t="shared" si="16"/>
        <v>0.2</v>
      </c>
      <c r="D60" s="2422">
        <v>0.25</v>
      </c>
      <c r="E60" s="598">
        <f>'数据-汇总表'!E15</f>
        <v>0</v>
      </c>
      <c r="F60" s="1106" t="e">
        <f t="shared" si="15"/>
        <v>#DIV/0!</v>
      </c>
      <c r="G60" s="2223" t="s">
        <v>2693</v>
      </c>
      <c r="H60" s="2224" t="str">
        <f>项目基本情况!C37</f>
        <v>六级</v>
      </c>
      <c r="I60" s="1798">
        <f>SUMIF(修正!A45:A56,H60,修正!H45:H56)</f>
        <v>0.2</v>
      </c>
      <c r="J60" s="1799"/>
      <c r="K60" s="2389"/>
      <c r="L60" s="1797"/>
      <c r="M60" s="1797"/>
      <c r="N60" s="1797"/>
      <c r="O60" s="1797"/>
    </row>
    <row r="61" spans="1:17" s="1107" customFormat="1" ht="15" thickBot="1">
      <c r="A61" s="1110" t="s">
        <v>725</v>
      </c>
      <c r="B61" s="1111" t="s">
        <v>263</v>
      </c>
      <c r="C61" s="1111" t="s">
        <v>264</v>
      </c>
      <c r="D61" s="1111" t="s">
        <v>2699</v>
      </c>
      <c r="E61" s="1111">
        <f>IF(B41="楼面地价",SUM(E51:E60),'数据-汇总表'!D3)</f>
        <v>2992.36</v>
      </c>
      <c r="F61" s="1112" t="e">
        <f>IF(B41="楼面地价",SUM(F51:F60),ROUND(C43*E61/10000,0))</f>
        <v>#DIV/0!</v>
      </c>
      <c r="G61" s="2404"/>
      <c r="H61" s="2404"/>
      <c r="I61" s="2404"/>
      <c r="J61" s="2404"/>
      <c r="K61" s="2211"/>
      <c r="L61" s="1797"/>
      <c r="M61" s="1797"/>
      <c r="N61" s="1797"/>
      <c r="O61" s="1797"/>
    </row>
    <row r="62" spans="1:17">
      <c r="A62" s="2389"/>
      <c r="B62" s="2391"/>
      <c r="C62" s="2395"/>
      <c r="D62" s="2389"/>
      <c r="E62" s="2389"/>
      <c r="F62" s="2389"/>
      <c r="G62" s="2389"/>
      <c r="H62" s="2389"/>
      <c r="I62" s="2389"/>
      <c r="J62" s="2389"/>
      <c r="K62" s="2211"/>
      <c r="L62" s="2212"/>
      <c r="M62" s="2389"/>
      <c r="N62" s="2389"/>
      <c r="O62" s="2389"/>
    </row>
    <row r="63" spans="1:17">
      <c r="A63" s="2389"/>
      <c r="B63" s="2391"/>
      <c r="C63" s="1315" t="str">
        <f>YEAR(C7)&amp;"-"&amp;MONTH(C7)&amp;"-1"</f>
        <v>2017-7-1</v>
      </c>
      <c r="D63" s="1315">
        <f>EDATE(C63,-3)</f>
        <v>42826</v>
      </c>
      <c r="E63" s="1315">
        <f>EDATE(D63,-3)</f>
        <v>42736</v>
      </c>
      <c r="F63" s="1315">
        <f t="shared" ref="F63:O63" si="18">EDATE(E63,-3)</f>
        <v>42644</v>
      </c>
      <c r="G63" s="1315">
        <f t="shared" si="18"/>
        <v>42552</v>
      </c>
      <c r="H63" s="1315">
        <f t="shared" si="18"/>
        <v>42461</v>
      </c>
      <c r="I63" s="1315">
        <f t="shared" si="18"/>
        <v>42370</v>
      </c>
      <c r="J63" s="1315">
        <f t="shared" si="18"/>
        <v>42278</v>
      </c>
      <c r="K63" s="1315">
        <f t="shared" si="18"/>
        <v>42186</v>
      </c>
      <c r="L63" s="1315">
        <f t="shared" si="18"/>
        <v>42095</v>
      </c>
      <c r="M63" s="1315">
        <f t="shared" si="18"/>
        <v>42005</v>
      </c>
      <c r="N63" s="1315">
        <f t="shared" si="18"/>
        <v>41913</v>
      </c>
      <c r="O63" s="1315">
        <f t="shared" si="18"/>
        <v>41821</v>
      </c>
    </row>
    <row r="64" spans="1:17" ht="21.75" thickBot="1">
      <c r="A64" s="1317" t="s">
        <v>593</v>
      </c>
      <c r="B64" s="1313"/>
      <c r="C64" s="1318"/>
      <c r="D64" s="1318"/>
      <c r="E64" s="1318"/>
      <c r="F64" s="1319"/>
      <c r="G64" s="1319"/>
      <c r="H64" s="1318"/>
      <c r="I64" s="1318"/>
      <c r="J64" s="1318"/>
      <c r="K64" s="1320"/>
      <c r="L64" s="1321"/>
      <c r="M64" s="1318"/>
      <c r="N64" s="1318"/>
      <c r="O64" s="2405"/>
      <c r="P64" s="851"/>
      <c r="Q64" s="852"/>
    </row>
    <row r="65" spans="1:17" s="856" customFormat="1" ht="15">
      <c r="A65" s="2742" t="s">
        <v>3201</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5"/>
    </row>
    <row r="66" spans="1:17" s="413" customFormat="1" ht="30.75" customHeight="1">
      <c r="A66" s="3074" t="s">
        <v>3200</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2">
        <v>95</v>
      </c>
      <c r="N66" s="3072">
        <v>94.5</v>
      </c>
      <c r="O66" s="3075">
        <v>95.5</v>
      </c>
      <c r="P66" s="852"/>
    </row>
    <row r="67" spans="1:17" s="413" customFormat="1" ht="15.75" thickBot="1">
      <c r="A67" s="863" t="s">
        <v>594</v>
      </c>
      <c r="B67" s="864"/>
      <c r="C67" s="865"/>
      <c r="D67" s="866"/>
      <c r="E67" s="866"/>
      <c r="F67" s="866"/>
      <c r="G67" s="866"/>
      <c r="H67" s="866"/>
      <c r="I67" s="866"/>
      <c r="J67" s="866"/>
      <c r="K67" s="866"/>
      <c r="L67" s="866"/>
      <c r="M67" s="867"/>
      <c r="N67" s="867"/>
      <c r="O67" s="868"/>
      <c r="P67" s="852"/>
      <c r="Q67" s="852"/>
    </row>
    <row r="68" spans="1:17" s="413" customFormat="1" ht="15">
      <c r="A68" s="869" t="s">
        <v>574</v>
      </c>
      <c r="B68" s="858"/>
      <c r="C68" s="870" t="s">
        <v>595</v>
      </c>
      <c r="D68" s="140" t="s">
        <v>1468</v>
      </c>
      <c r="E68" s="140"/>
      <c r="F68" s="140"/>
      <c r="G68" s="140"/>
      <c r="H68" s="140"/>
      <c r="I68" s="140"/>
      <c r="J68" s="140"/>
      <c r="K68" s="140"/>
      <c r="L68" s="141"/>
      <c r="M68" s="1057"/>
      <c r="N68" s="2396"/>
      <c r="O68" s="2396"/>
      <c r="P68" s="874"/>
      <c r="Q68" s="852"/>
    </row>
    <row r="69" spans="1:17" s="413" customFormat="1" ht="15.75" thickBot="1">
      <c r="A69" s="869"/>
      <c r="B69" s="858"/>
      <c r="C69" s="987">
        <v>100</v>
      </c>
      <c r="D69" s="860">
        <v>96</v>
      </c>
      <c r="E69" s="860"/>
      <c r="F69" s="860"/>
      <c r="G69" s="860"/>
      <c r="H69" s="860"/>
      <c r="I69" s="860"/>
      <c r="J69" s="860"/>
      <c r="K69" s="860"/>
      <c r="L69" s="860"/>
      <c r="M69" s="862"/>
      <c r="N69" s="2396"/>
      <c r="O69" s="2396"/>
      <c r="P69" s="852"/>
      <c r="Q69" s="852"/>
    </row>
    <row r="70" spans="1:17">
      <c r="A70" s="875" t="s">
        <v>597</v>
      </c>
      <c r="B70" s="876" t="s">
        <v>598</v>
      </c>
      <c r="C70" s="122" t="s">
        <v>313</v>
      </c>
      <c r="D70" s="122" t="s">
        <v>314</v>
      </c>
      <c r="E70" s="122"/>
      <c r="F70" s="122"/>
      <c r="G70" s="122"/>
      <c r="H70" s="122"/>
      <c r="I70" s="122"/>
      <c r="J70" s="122"/>
      <c r="K70" s="123"/>
      <c r="L70" s="124"/>
      <c r="M70" s="125"/>
      <c r="N70" s="2397"/>
      <c r="O70" s="2397"/>
      <c r="P70" s="340"/>
      <c r="Q70" s="852"/>
    </row>
    <row r="71" spans="1:17" ht="15.75" thickBot="1">
      <c r="A71" s="882"/>
      <c r="B71" s="883"/>
      <c r="C71" s="884">
        <v>100</v>
      </c>
      <c r="D71" s="884">
        <v>105</v>
      </c>
      <c r="E71" s="884"/>
      <c r="F71" s="884"/>
      <c r="G71" s="884"/>
      <c r="H71" s="884"/>
      <c r="I71" s="884"/>
      <c r="J71" s="884"/>
      <c r="K71" s="884"/>
      <c r="L71" s="884"/>
      <c r="M71" s="885"/>
      <c r="N71" s="2398"/>
      <c r="O71" s="2398"/>
      <c r="P71" s="340"/>
      <c r="Q71" s="852"/>
    </row>
    <row r="72" spans="1:17" ht="27.75" thickTop="1">
      <c r="A72" s="882"/>
      <c r="B72" s="886" t="s">
        <v>578</v>
      </c>
      <c r="C72" s="887"/>
      <c r="D72" s="887"/>
      <c r="E72" s="887"/>
      <c r="F72" s="887"/>
      <c r="G72" s="887"/>
      <c r="H72" s="887"/>
      <c r="I72" s="887"/>
      <c r="J72" s="887"/>
      <c r="K72" s="888"/>
      <c r="L72" s="889"/>
      <c r="M72" s="890"/>
      <c r="N72" s="2397"/>
      <c r="O72" s="2397"/>
      <c r="P72" s="340"/>
      <c r="Q72" s="852"/>
    </row>
    <row r="73" spans="1:17" ht="15.75" thickBot="1">
      <c r="A73" s="882"/>
      <c r="B73" s="891"/>
      <c r="C73" s="892"/>
      <c r="D73" s="892"/>
      <c r="E73" s="892"/>
      <c r="F73" s="892"/>
      <c r="G73" s="892"/>
      <c r="H73" s="892"/>
      <c r="I73" s="892"/>
      <c r="J73" s="892"/>
      <c r="K73" s="892"/>
      <c r="L73" s="892"/>
      <c r="M73" s="893"/>
      <c r="N73" s="2398"/>
      <c r="O73" s="2398"/>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398"/>
      <c r="O74" s="2398"/>
      <c r="P74" s="340"/>
      <c r="Q74" s="852"/>
    </row>
    <row r="75" spans="1:17" ht="15">
      <c r="A75" s="882"/>
      <c r="B75" s="1063"/>
      <c r="C75" s="897">
        <v>0</v>
      </c>
      <c r="D75" s="897">
        <v>1</v>
      </c>
      <c r="E75" s="897">
        <v>2</v>
      </c>
      <c r="F75" s="897">
        <v>3</v>
      </c>
      <c r="G75" s="897">
        <v>4</v>
      </c>
      <c r="H75" s="897">
        <v>5</v>
      </c>
      <c r="I75" s="897"/>
      <c r="J75" s="897"/>
      <c r="K75" s="898"/>
      <c r="L75" s="899"/>
      <c r="M75" s="900"/>
      <c r="N75" s="2397"/>
      <c r="O75" s="2397"/>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98"/>
      <c r="O76" s="2398"/>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399"/>
      <c r="O77" s="2399"/>
      <c r="P77" s="906"/>
      <c r="Q77" s="907"/>
    </row>
    <row r="78" spans="1:17" s="819" customFormat="1" ht="15.75" thickBot="1">
      <c r="A78" s="901"/>
      <c r="B78" s="1061"/>
      <c r="C78" s="908">
        <v>100</v>
      </c>
      <c r="D78" s="884">
        <v>99</v>
      </c>
      <c r="E78" s="884">
        <v>98</v>
      </c>
      <c r="F78" s="884">
        <v>97</v>
      </c>
      <c r="G78" s="884"/>
      <c r="H78" s="884"/>
      <c r="I78" s="884"/>
      <c r="J78" s="884"/>
      <c r="K78" s="884"/>
      <c r="L78" s="884"/>
      <c r="M78" s="885"/>
      <c r="N78" s="2398"/>
      <c r="O78" s="2398"/>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399"/>
      <c r="O79" s="2399"/>
      <c r="P79" s="818"/>
      <c r="Q79" s="909"/>
    </row>
    <row r="80" spans="1:17" s="819" customFormat="1" ht="15.75" thickBot="1">
      <c r="A80" s="901"/>
      <c r="B80" s="1061"/>
      <c r="C80" s="908">
        <v>100</v>
      </c>
      <c r="D80" s="908">
        <v>98</v>
      </c>
      <c r="E80" s="908">
        <v>96</v>
      </c>
      <c r="F80" s="908">
        <v>94</v>
      </c>
      <c r="G80" s="908"/>
      <c r="H80" s="910"/>
      <c r="I80" s="910"/>
      <c r="J80" s="910"/>
      <c r="K80" s="910"/>
      <c r="L80" s="910"/>
      <c r="M80" s="911"/>
      <c r="N80" s="2399"/>
      <c r="O80" s="2399"/>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399"/>
      <c r="O81" s="2399"/>
      <c r="P81" s="915"/>
      <c r="Q81" s="907"/>
    </row>
    <row r="82" spans="1:17" s="819" customFormat="1" ht="15.75" thickBot="1">
      <c r="A82" s="916"/>
      <c r="B82" s="1077"/>
      <c r="C82" s="918">
        <v>100</v>
      </c>
      <c r="D82" s="918">
        <v>97</v>
      </c>
      <c r="E82" s="918">
        <v>94</v>
      </c>
      <c r="F82" s="918">
        <v>91</v>
      </c>
      <c r="G82" s="918"/>
      <c r="H82" s="919"/>
      <c r="I82" s="919"/>
      <c r="J82" s="919"/>
      <c r="K82" s="919"/>
      <c r="L82" s="919"/>
      <c r="M82" s="920"/>
      <c r="N82" s="2399"/>
      <c r="O82" s="2399"/>
      <c r="P82" s="906"/>
      <c r="Q82" s="907"/>
    </row>
    <row r="83" spans="1:17">
      <c r="A83" s="875" t="s">
        <v>580</v>
      </c>
      <c r="B83" s="292" t="s">
        <v>267</v>
      </c>
      <c r="C83" s="921" t="s">
        <v>604</v>
      </c>
      <c r="D83" s="921" t="s">
        <v>605</v>
      </c>
      <c r="E83" s="921" t="s">
        <v>606</v>
      </c>
      <c r="F83" s="921" t="s">
        <v>607</v>
      </c>
      <c r="G83" s="921" t="s">
        <v>608</v>
      </c>
      <c r="H83" s="877"/>
      <c r="I83" s="877"/>
      <c r="J83" s="877"/>
      <c r="K83" s="922"/>
      <c r="L83" s="923"/>
      <c r="M83" s="924"/>
      <c r="N83" s="2397"/>
      <c r="O83" s="2397"/>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398"/>
      <c r="O84" s="2398"/>
      <c r="P84" s="340"/>
      <c r="Q84" s="852"/>
    </row>
    <row r="85" spans="1:17" ht="15.75" thickTop="1">
      <c r="A85" s="882"/>
      <c r="B85" s="1060" t="s">
        <v>97</v>
      </c>
      <c r="C85" s="926" t="s">
        <v>604</v>
      </c>
      <c r="D85" s="926" t="s">
        <v>605</v>
      </c>
      <c r="E85" s="926" t="s">
        <v>606</v>
      </c>
      <c r="F85" s="926" t="s">
        <v>607</v>
      </c>
      <c r="G85" s="926" t="s">
        <v>608</v>
      </c>
      <c r="H85" s="887"/>
      <c r="I85" s="887"/>
      <c r="J85" s="887"/>
      <c r="K85" s="888"/>
      <c r="L85" s="889"/>
      <c r="M85" s="890"/>
      <c r="N85" s="2397"/>
      <c r="O85" s="2397"/>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398"/>
      <c r="O86" s="2398"/>
      <c r="P86" s="340"/>
      <c r="Q86" s="852"/>
    </row>
    <row r="87" spans="1:17" s="413" customFormat="1" ht="27.75" thickTop="1">
      <c r="A87" s="927"/>
      <c r="B87" s="1060" t="s">
        <v>128</v>
      </c>
      <c r="C87" s="921" t="s">
        <v>604</v>
      </c>
      <c r="D87" s="921" t="s">
        <v>605</v>
      </c>
      <c r="E87" s="921" t="s">
        <v>606</v>
      </c>
      <c r="F87" s="921" t="s">
        <v>607</v>
      </c>
      <c r="G87" s="921" t="s">
        <v>608</v>
      </c>
      <c r="H87" s="926"/>
      <c r="I87" s="926"/>
      <c r="J87" s="926"/>
      <c r="K87" s="926"/>
      <c r="L87" s="1113"/>
      <c r="M87" s="970"/>
      <c r="N87" s="2396"/>
      <c r="O87" s="2396"/>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398"/>
      <c r="O88" s="2398"/>
      <c r="P88" s="340"/>
      <c r="Q88" s="852"/>
    </row>
    <row r="89" spans="1:17" s="413" customFormat="1" ht="27.75" thickTop="1">
      <c r="A89" s="927"/>
      <c r="B89" s="1060" t="s">
        <v>250</v>
      </c>
      <c r="C89" s="921" t="s">
        <v>604</v>
      </c>
      <c r="D89" s="921" t="s">
        <v>605</v>
      </c>
      <c r="E89" s="921" t="s">
        <v>606</v>
      </c>
      <c r="F89" s="921" t="s">
        <v>607</v>
      </c>
      <c r="G89" s="921" t="s">
        <v>608</v>
      </c>
      <c r="H89" s="926"/>
      <c r="I89" s="926"/>
      <c r="J89" s="926"/>
      <c r="K89" s="926"/>
      <c r="L89" s="926"/>
      <c r="M89" s="970"/>
      <c r="N89" s="2396"/>
      <c r="O89" s="2396"/>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398"/>
      <c r="O90" s="2398"/>
      <c r="P90" s="340"/>
      <c r="Q90" s="852"/>
    </row>
    <row r="91" spans="1:17" s="819" customFormat="1" ht="15.75" thickTop="1">
      <c r="A91" s="901"/>
      <c r="B91" s="1060" t="s">
        <v>3074</v>
      </c>
      <c r="C91" s="921" t="s">
        <v>604</v>
      </c>
      <c r="D91" s="921" t="s">
        <v>605</v>
      </c>
      <c r="E91" s="921" t="s">
        <v>606</v>
      </c>
      <c r="F91" s="921" t="s">
        <v>607</v>
      </c>
      <c r="G91" s="921" t="s">
        <v>608</v>
      </c>
      <c r="H91" s="948"/>
      <c r="I91" s="948"/>
      <c r="J91" s="948"/>
      <c r="K91" s="948"/>
      <c r="L91" s="949"/>
      <c r="M91" s="950"/>
      <c r="N91" s="2399"/>
      <c r="O91" s="2399"/>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399"/>
      <c r="O92" s="2399"/>
      <c r="P92" s="906"/>
      <c r="Q92" s="907"/>
    </row>
    <row r="93" spans="1:17" s="819" customFormat="1" ht="15.75" thickTop="1">
      <c r="A93" s="901"/>
      <c r="B93" s="1062" t="s">
        <v>3076</v>
      </c>
      <c r="C93" s="213" t="s">
        <v>3062</v>
      </c>
      <c r="D93" s="213" t="s">
        <v>3063</v>
      </c>
      <c r="E93" s="213" t="s">
        <v>3064</v>
      </c>
      <c r="F93" s="213" t="s">
        <v>3065</v>
      </c>
      <c r="G93" s="213" t="s">
        <v>3066</v>
      </c>
      <c r="H93" s="948"/>
      <c r="I93" s="948"/>
      <c r="J93" s="948"/>
      <c r="K93" s="948"/>
      <c r="L93" s="948"/>
      <c r="M93" s="950"/>
      <c r="N93" s="2399"/>
      <c r="O93" s="2399"/>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6"/>
      <c r="N94" s="2399"/>
      <c r="O94" s="2399"/>
      <c r="P94" s="906"/>
      <c r="Q94" s="907"/>
    </row>
    <row r="95" spans="1:17" ht="15.75" thickTop="1">
      <c r="A95" s="882"/>
      <c r="B95" s="1060" t="str">
        <f>B27</f>
        <v>临街状况</v>
      </c>
      <c r="C95" s="887" t="s">
        <v>729</v>
      </c>
      <c r="D95" s="887" t="s">
        <v>730</v>
      </c>
      <c r="E95" s="887" t="s">
        <v>731</v>
      </c>
      <c r="F95" s="887" t="s">
        <v>732</v>
      </c>
      <c r="G95" s="887"/>
      <c r="H95" s="887"/>
      <c r="I95" s="887"/>
      <c r="J95" s="887"/>
      <c r="K95" s="888"/>
      <c r="L95" s="889"/>
      <c r="M95" s="890"/>
      <c r="N95" s="2397"/>
      <c r="O95" s="2397"/>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98"/>
      <c r="O96" s="2398"/>
      <c r="P96" s="340"/>
      <c r="Q96" s="852"/>
    </row>
    <row r="97" spans="1:17" ht="27.75" thickTop="1">
      <c r="A97" s="882"/>
      <c r="B97" s="1060" t="s">
        <v>213</v>
      </c>
      <c r="C97" s="139" t="s">
        <v>223</v>
      </c>
      <c r="D97" s="139" t="s">
        <v>225</v>
      </c>
      <c r="E97" s="139" t="s">
        <v>227</v>
      </c>
      <c r="F97" s="139" t="s">
        <v>228</v>
      </c>
      <c r="G97" s="139" t="s">
        <v>229</v>
      </c>
      <c r="H97" s="131"/>
      <c r="I97" s="131"/>
      <c r="J97" s="131"/>
      <c r="K97" s="132"/>
      <c r="L97" s="133"/>
      <c r="M97" s="134"/>
      <c r="N97" s="2397"/>
      <c r="O97" s="2397"/>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98"/>
      <c r="O98" s="2398"/>
      <c r="P98" s="340"/>
      <c r="Q98" s="852"/>
    </row>
    <row r="99" spans="1:17" ht="15.75" thickTop="1">
      <c r="A99" s="882"/>
      <c r="B99" s="1060" t="s">
        <v>249</v>
      </c>
      <c r="C99" s="931" t="s">
        <v>733</v>
      </c>
      <c r="D99" s="931" t="s">
        <v>734</v>
      </c>
      <c r="E99" s="931" t="s">
        <v>735</v>
      </c>
      <c r="F99" s="931" t="s">
        <v>747</v>
      </c>
      <c r="G99" s="931" t="s">
        <v>748</v>
      </c>
      <c r="H99" s="931"/>
      <c r="I99" s="931"/>
      <c r="J99" s="931"/>
      <c r="K99" s="932"/>
      <c r="L99" s="933"/>
      <c r="M99" s="934"/>
      <c r="N99" s="2397"/>
      <c r="O99" s="2397"/>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98"/>
      <c r="O100" s="2398"/>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397"/>
      <c r="O101" s="2397"/>
      <c r="P101" s="340"/>
      <c r="Q101" s="852"/>
    </row>
    <row r="102" spans="1:17" ht="15.75" thickBot="1">
      <c r="A102" s="882"/>
      <c r="B102" s="1077"/>
      <c r="C102" s="908">
        <v>100</v>
      </c>
      <c r="D102" s="884">
        <v>99</v>
      </c>
      <c r="E102" s="884">
        <v>98</v>
      </c>
      <c r="F102" s="884">
        <v>97</v>
      </c>
      <c r="G102" s="939"/>
      <c r="H102" s="939"/>
      <c r="I102" s="939"/>
      <c r="J102" s="939"/>
      <c r="K102" s="939"/>
      <c r="L102" s="939"/>
      <c r="M102" s="940"/>
      <c r="N102" s="2398"/>
      <c r="O102" s="2398"/>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397"/>
      <c r="O103" s="2397"/>
      <c r="P103" s="340"/>
      <c r="Q103" s="852"/>
    </row>
    <row r="104" spans="1:17" ht="15.75" thickBot="1">
      <c r="A104" s="882"/>
      <c r="B104" s="1061"/>
      <c r="C104" s="908">
        <v>100</v>
      </c>
      <c r="D104" s="908">
        <v>98</v>
      </c>
      <c r="E104" s="908">
        <v>96</v>
      </c>
      <c r="F104" s="908">
        <v>94</v>
      </c>
      <c r="G104" s="884"/>
      <c r="H104" s="884"/>
      <c r="I104" s="884"/>
      <c r="J104" s="884"/>
      <c r="K104" s="884"/>
      <c r="L104" s="884"/>
      <c r="M104" s="885"/>
      <c r="N104" s="2398"/>
      <c r="O104" s="2398"/>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399"/>
      <c r="O105" s="2399"/>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398"/>
      <c r="O106" s="2398"/>
      <c r="P106" s="906"/>
      <c r="Q106" s="907"/>
    </row>
    <row r="107" spans="1:17" ht="28.5">
      <c r="A107" s="875" t="s">
        <v>585</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97"/>
      <c r="O107" s="2397"/>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397"/>
      <c r="O108" s="2397"/>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398"/>
      <c r="O109" s="2398"/>
      <c r="P109" s="340"/>
      <c r="Q109" s="852"/>
    </row>
    <row r="110" spans="1:17" ht="15" thickTop="1">
      <c r="A110" s="947"/>
      <c r="B110" s="1060" t="s">
        <v>91</v>
      </c>
      <c r="C110" s="131" t="s">
        <v>251</v>
      </c>
      <c r="D110" s="131" t="s">
        <v>252</v>
      </c>
      <c r="E110" s="131" t="s">
        <v>253</v>
      </c>
      <c r="F110" s="131" t="s">
        <v>254</v>
      </c>
      <c r="G110" s="131"/>
      <c r="H110" s="131"/>
      <c r="I110" s="131"/>
      <c r="J110" s="131"/>
      <c r="K110" s="132"/>
      <c r="L110" s="133"/>
      <c r="M110" s="134"/>
      <c r="N110" s="2397"/>
      <c r="O110" s="2397"/>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98"/>
      <c r="O111" s="2398"/>
      <c r="P111" s="340"/>
      <c r="Q111" s="852"/>
    </row>
    <row r="112" spans="1:17" s="819" customFormat="1" ht="15" thickTop="1">
      <c r="A112" s="941"/>
      <c r="B112" s="1060" t="s">
        <v>2905</v>
      </c>
      <c r="C112" s="139" t="s">
        <v>2906</v>
      </c>
      <c r="D112" s="139" t="s">
        <v>2907</v>
      </c>
      <c r="E112" s="139" t="s">
        <v>2900</v>
      </c>
      <c r="F112" s="139" t="s">
        <v>2901</v>
      </c>
      <c r="G112" s="139" t="s">
        <v>2902</v>
      </c>
      <c r="H112" s="131"/>
      <c r="I112" s="131"/>
      <c r="J112" s="131"/>
      <c r="K112" s="132"/>
      <c r="L112" s="133"/>
      <c r="M112" s="134"/>
      <c r="N112" s="2399"/>
      <c r="O112" s="2399"/>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99"/>
      <c r="O113" s="2399"/>
      <c r="P113" s="906"/>
      <c r="Q113" s="907"/>
    </row>
    <row r="114" spans="1:17" ht="15" thickTop="1">
      <c r="A114" s="947"/>
      <c r="B114" s="1060" t="s">
        <v>90</v>
      </c>
      <c r="C114" s="139" t="s">
        <v>106</v>
      </c>
      <c r="D114" s="139" t="s">
        <v>105</v>
      </c>
      <c r="E114" s="131" t="s">
        <v>197</v>
      </c>
      <c r="F114" s="131" t="s">
        <v>255</v>
      </c>
      <c r="G114" s="131" t="s">
        <v>256</v>
      </c>
      <c r="H114" s="131"/>
      <c r="I114" s="131"/>
      <c r="J114" s="131"/>
      <c r="K114" s="132"/>
      <c r="L114" s="133"/>
      <c r="M114" s="134"/>
      <c r="N114" s="2397"/>
      <c r="O114" s="2397"/>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98"/>
      <c r="O115" s="2398"/>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397"/>
      <c r="O116" s="2397"/>
      <c r="P116" s="340"/>
      <c r="Q116" s="852"/>
    </row>
    <row r="117" spans="1:17" ht="15.75" thickBot="1">
      <c r="A117" s="882"/>
      <c r="B117" s="1061"/>
      <c r="C117" s="908">
        <v>100</v>
      </c>
      <c r="D117" s="884">
        <v>99</v>
      </c>
      <c r="E117" s="884">
        <v>98</v>
      </c>
      <c r="F117" s="884">
        <v>97</v>
      </c>
      <c r="G117" s="884"/>
      <c r="H117" s="884"/>
      <c r="I117" s="884"/>
      <c r="J117" s="884"/>
      <c r="K117" s="884"/>
      <c r="L117" s="884"/>
      <c r="M117" s="885"/>
      <c r="N117" s="2398"/>
      <c r="O117" s="2398"/>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397"/>
      <c r="O118" s="2397"/>
      <c r="P118" s="340"/>
      <c r="Q118" s="852"/>
    </row>
    <row r="119" spans="1:17" ht="15.75" thickBot="1">
      <c r="A119" s="882"/>
      <c r="B119" s="1061"/>
      <c r="C119" s="908">
        <v>100</v>
      </c>
      <c r="D119" s="908">
        <v>98</v>
      </c>
      <c r="E119" s="908">
        <v>96</v>
      </c>
      <c r="F119" s="908">
        <v>94</v>
      </c>
      <c r="G119" s="884"/>
      <c r="H119" s="884"/>
      <c r="I119" s="884"/>
      <c r="J119" s="884"/>
      <c r="K119" s="884"/>
      <c r="L119" s="884"/>
      <c r="M119" s="885"/>
      <c r="N119" s="2398"/>
      <c r="O119" s="2398"/>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399"/>
      <c r="O120" s="2399"/>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399"/>
      <c r="O121" s="2399"/>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519" customWidth="1"/>
    <col min="2" max="9" width="8.25" style="1591" customWidth="1"/>
    <col min="10" max="13" width="8.25" style="1519"/>
    <col min="14" max="14" width="10" style="1519" customWidth="1"/>
    <col min="15" max="16" width="8.25" style="1519"/>
    <col min="17" max="17" width="34.125" style="1519" customWidth="1"/>
    <col min="18" max="18" width="8.25" style="1519" customWidth="1"/>
    <col min="19" max="19" width="8.25" style="1519"/>
    <col min="20" max="20" width="11.625" style="1519" customWidth="1"/>
    <col min="21" max="16384" width="8.25" style="1519"/>
  </cols>
  <sheetData>
    <row r="1" spans="1:13" ht="19.5" customHeight="1" thickBot="1">
      <c r="A1" s="1569" t="s">
        <v>1916</v>
      </c>
      <c r="B1" s="1544" t="s">
        <v>1527</v>
      </c>
      <c r="C1" s="1544" t="s">
        <v>1528</v>
      </c>
      <c r="D1" s="1544" t="s">
        <v>1529</v>
      </c>
      <c r="E1" s="1544" t="s">
        <v>1530</v>
      </c>
      <c r="F1" s="1544" t="s">
        <v>1531</v>
      </c>
      <c r="G1" s="1544" t="s">
        <v>1532</v>
      </c>
      <c r="H1" s="1544" t="s">
        <v>1533</v>
      </c>
      <c r="I1" s="1544" t="s">
        <v>1534</v>
      </c>
      <c r="J1" s="1544" t="s">
        <v>1535</v>
      </c>
      <c r="K1" s="1544" t="s">
        <v>1536</v>
      </c>
      <c r="L1" s="1544" t="s">
        <v>1537</v>
      </c>
      <c r="M1" s="1545" t="s">
        <v>1538</v>
      </c>
    </row>
    <row r="2" spans="1:13" ht="19.5" customHeight="1">
      <c r="A2" s="1570" t="s">
        <v>1553</v>
      </c>
      <c r="B2" s="1571">
        <v>3.5</v>
      </c>
      <c r="C2" s="1571">
        <v>3.5</v>
      </c>
      <c r="D2" s="1572">
        <v>2.5</v>
      </c>
      <c r="E2" s="1572">
        <v>2.5</v>
      </c>
      <c r="F2" s="1572">
        <v>2.5</v>
      </c>
      <c r="G2" s="1572">
        <v>2.5</v>
      </c>
      <c r="H2" s="1572">
        <v>2.5</v>
      </c>
      <c r="I2" s="1571">
        <v>2</v>
      </c>
      <c r="J2" s="1571">
        <v>2</v>
      </c>
      <c r="K2" s="1571">
        <v>2</v>
      </c>
      <c r="L2" s="1571">
        <v>2</v>
      </c>
      <c r="M2" s="1573">
        <v>2</v>
      </c>
    </row>
    <row r="3" spans="1:13" ht="19.5" customHeight="1">
      <c r="A3" s="1574" t="s">
        <v>1554</v>
      </c>
      <c r="B3" s="1575">
        <v>3.5</v>
      </c>
      <c r="C3" s="1575">
        <v>3.5</v>
      </c>
      <c r="D3" s="1576">
        <v>2.5</v>
      </c>
      <c r="E3" s="1576">
        <v>2.5</v>
      </c>
      <c r="F3" s="1576">
        <v>2.5</v>
      </c>
      <c r="G3" s="1576">
        <v>2.5</v>
      </c>
      <c r="H3" s="1576">
        <v>2.5</v>
      </c>
      <c r="I3" s="1575">
        <v>2</v>
      </c>
      <c r="J3" s="1575">
        <v>2</v>
      </c>
      <c r="K3" s="1575">
        <v>2</v>
      </c>
      <c r="L3" s="1575">
        <v>2</v>
      </c>
      <c r="M3" s="1577">
        <v>2</v>
      </c>
    </row>
    <row r="4" spans="1:13" ht="19.5" customHeight="1">
      <c r="A4" s="1574" t="s">
        <v>2204</v>
      </c>
      <c r="B4" s="1576">
        <v>2.5</v>
      </c>
      <c r="C4" s="1576">
        <v>2.5</v>
      </c>
      <c r="D4" s="1576">
        <v>2.5</v>
      </c>
      <c r="E4" s="1576">
        <v>2.5</v>
      </c>
      <c r="F4" s="1576">
        <v>2.5</v>
      </c>
      <c r="G4" s="1576">
        <v>2.5</v>
      </c>
      <c r="H4" s="1576">
        <v>2.5</v>
      </c>
      <c r="I4" s="1575">
        <v>1.5</v>
      </c>
      <c r="J4" s="1575">
        <v>1.5</v>
      </c>
      <c r="K4" s="1575">
        <v>1.5</v>
      </c>
      <c r="L4" s="1575">
        <v>1.5</v>
      </c>
      <c r="M4" s="1577">
        <v>1.5</v>
      </c>
    </row>
    <row r="5" spans="1:13" ht="19.5" customHeight="1" thickBot="1">
      <c r="A5" s="1578" t="s">
        <v>1556</v>
      </c>
      <c r="B5" s="1579">
        <v>1.5</v>
      </c>
      <c r="C5" s="1579">
        <v>1.5</v>
      </c>
      <c r="D5" s="1579">
        <v>1.5</v>
      </c>
      <c r="E5" s="1579">
        <v>1.5</v>
      </c>
      <c r="F5" s="1579">
        <v>1.5</v>
      </c>
      <c r="G5" s="1580">
        <v>1.2</v>
      </c>
      <c r="H5" s="1580">
        <v>1.2</v>
      </c>
      <c r="I5" s="1580">
        <v>1</v>
      </c>
      <c r="J5" s="1580">
        <v>1</v>
      </c>
      <c r="K5" s="1580">
        <v>1</v>
      </c>
      <c r="L5" s="1580">
        <v>1</v>
      </c>
      <c r="M5" s="1581">
        <v>1</v>
      </c>
    </row>
    <row r="6" spans="1:13" ht="19.5" customHeight="1">
      <c r="A6" s="1582" t="s">
        <v>1917</v>
      </c>
      <c r="B6" s="1583">
        <v>80</v>
      </c>
      <c r="C6" s="1583">
        <v>80</v>
      </c>
      <c r="D6" s="1583">
        <v>65</v>
      </c>
      <c r="E6" s="1583">
        <v>65</v>
      </c>
      <c r="F6" s="1583">
        <v>65</v>
      </c>
      <c r="G6" s="1583">
        <v>65</v>
      </c>
      <c r="H6" s="1583">
        <v>65</v>
      </c>
      <c r="I6" s="1583">
        <v>50</v>
      </c>
      <c r="J6" s="1583">
        <v>50</v>
      </c>
      <c r="K6" s="1583">
        <v>50</v>
      </c>
      <c r="L6" s="1583">
        <v>50</v>
      </c>
      <c r="M6" s="1584">
        <v>50</v>
      </c>
    </row>
    <row r="7" spans="1:13" ht="19.5" customHeight="1">
      <c r="A7" s="1520" t="s">
        <v>1918</v>
      </c>
      <c r="B7" s="1521">
        <v>70</v>
      </c>
      <c r="C7" s="1521">
        <v>70</v>
      </c>
      <c r="D7" s="1521">
        <v>55</v>
      </c>
      <c r="E7" s="1521">
        <v>55</v>
      </c>
      <c r="F7" s="1521">
        <v>55</v>
      </c>
      <c r="G7" s="1521">
        <v>55</v>
      </c>
      <c r="H7" s="1521">
        <v>55</v>
      </c>
      <c r="I7" s="1521">
        <v>40</v>
      </c>
      <c r="J7" s="1521">
        <v>40</v>
      </c>
      <c r="K7" s="1521">
        <v>40</v>
      </c>
      <c r="L7" s="1521">
        <v>40</v>
      </c>
      <c r="M7" s="1585">
        <v>40</v>
      </c>
    </row>
    <row r="8" spans="1:13" ht="19.5" customHeight="1">
      <c r="A8" s="1520" t="s">
        <v>1919</v>
      </c>
      <c r="B8" s="1521">
        <v>20</v>
      </c>
      <c r="C8" s="1521">
        <v>20</v>
      </c>
      <c r="D8" s="1521">
        <v>15</v>
      </c>
      <c r="E8" s="1521">
        <v>15</v>
      </c>
      <c r="F8" s="1521">
        <v>15</v>
      </c>
      <c r="G8" s="1521">
        <v>15</v>
      </c>
      <c r="H8" s="1521">
        <v>15</v>
      </c>
      <c r="I8" s="1521">
        <v>10</v>
      </c>
      <c r="J8" s="1521">
        <v>10</v>
      </c>
      <c r="K8" s="1521">
        <v>10</v>
      </c>
      <c r="L8" s="1521">
        <v>10</v>
      </c>
      <c r="M8" s="1585">
        <v>10</v>
      </c>
    </row>
    <row r="9" spans="1:13" ht="19.5" customHeight="1">
      <c r="A9" s="1520" t="s">
        <v>1920</v>
      </c>
      <c r="B9" s="1521">
        <v>30</v>
      </c>
      <c r="C9" s="1521">
        <v>30</v>
      </c>
      <c r="D9" s="1521">
        <v>25</v>
      </c>
      <c r="E9" s="1521">
        <v>25</v>
      </c>
      <c r="F9" s="1521">
        <v>25</v>
      </c>
      <c r="G9" s="1521">
        <v>25</v>
      </c>
      <c r="H9" s="1521">
        <v>25</v>
      </c>
      <c r="I9" s="1521">
        <v>20</v>
      </c>
      <c r="J9" s="1521">
        <v>20</v>
      </c>
      <c r="K9" s="1521">
        <v>20</v>
      </c>
      <c r="L9" s="1521">
        <v>20</v>
      </c>
      <c r="M9" s="1585">
        <v>20</v>
      </c>
    </row>
    <row r="10" spans="1:13" ht="19.5" customHeight="1">
      <c r="A10" s="1520" t="s">
        <v>1921</v>
      </c>
      <c r="B10" s="1521">
        <v>45</v>
      </c>
      <c r="C10" s="1521">
        <v>45</v>
      </c>
      <c r="D10" s="1521">
        <v>35</v>
      </c>
      <c r="E10" s="1521">
        <v>35</v>
      </c>
      <c r="F10" s="1521">
        <v>35</v>
      </c>
      <c r="G10" s="1521">
        <v>35</v>
      </c>
      <c r="H10" s="1521">
        <v>35</v>
      </c>
      <c r="I10" s="1521">
        <v>25</v>
      </c>
      <c r="J10" s="1521">
        <v>25</v>
      </c>
      <c r="K10" s="1521">
        <v>25</v>
      </c>
      <c r="L10" s="1521">
        <v>25</v>
      </c>
      <c r="M10" s="1585">
        <v>25</v>
      </c>
    </row>
    <row r="11" spans="1:13" ht="19.5" customHeight="1">
      <c r="A11" s="1520" t="s">
        <v>1922</v>
      </c>
      <c r="B11" s="1521">
        <v>60</v>
      </c>
      <c r="C11" s="1521">
        <v>60</v>
      </c>
      <c r="D11" s="1521">
        <v>50</v>
      </c>
      <c r="E11" s="1521">
        <v>50</v>
      </c>
      <c r="F11" s="1521">
        <v>50</v>
      </c>
      <c r="G11" s="1521">
        <v>50</v>
      </c>
      <c r="H11" s="1521">
        <v>50</v>
      </c>
      <c r="I11" s="1521">
        <v>40</v>
      </c>
      <c r="J11" s="1521">
        <v>40</v>
      </c>
      <c r="K11" s="1521">
        <v>40</v>
      </c>
      <c r="L11" s="1521">
        <v>40</v>
      </c>
      <c r="M11" s="1585">
        <v>40</v>
      </c>
    </row>
    <row r="12" spans="1:13" ht="19.5" customHeight="1">
      <c r="A12" s="1520" t="s">
        <v>1923</v>
      </c>
      <c r="B12" s="1521">
        <v>50</v>
      </c>
      <c r="C12" s="1521">
        <v>50</v>
      </c>
      <c r="D12" s="1521">
        <v>40</v>
      </c>
      <c r="E12" s="1521">
        <v>40</v>
      </c>
      <c r="F12" s="1521">
        <v>40</v>
      </c>
      <c r="G12" s="1521">
        <v>40</v>
      </c>
      <c r="H12" s="1521">
        <v>40</v>
      </c>
      <c r="I12" s="1521">
        <v>30</v>
      </c>
      <c r="J12" s="1521">
        <v>30</v>
      </c>
      <c r="K12" s="1521">
        <v>30</v>
      </c>
      <c r="L12" s="1521">
        <v>30</v>
      </c>
      <c r="M12" s="1585">
        <v>30</v>
      </c>
    </row>
    <row r="13" spans="1:13" ht="19.5" customHeight="1">
      <c r="A13" s="1586" t="s">
        <v>1924</v>
      </c>
      <c r="B13" s="1532">
        <v>20</v>
      </c>
      <c r="C13" s="1532">
        <v>20</v>
      </c>
      <c r="D13" s="1532">
        <v>15</v>
      </c>
      <c r="E13" s="1532">
        <v>15</v>
      </c>
      <c r="F13" s="1532">
        <v>15</v>
      </c>
      <c r="G13" s="1532">
        <v>15</v>
      </c>
      <c r="H13" s="1532">
        <v>15</v>
      </c>
      <c r="I13" s="1532">
        <v>10</v>
      </c>
      <c r="J13" s="1532">
        <v>10</v>
      </c>
      <c r="K13" s="1532">
        <v>10</v>
      </c>
      <c r="L13" s="1532">
        <v>10</v>
      </c>
      <c r="M13" s="1587">
        <v>10</v>
      </c>
    </row>
    <row r="14" spans="1:13" ht="19.5" customHeight="1">
      <c r="A14" s="1521" t="s">
        <v>1925</v>
      </c>
      <c r="B14" s="1588">
        <v>0</v>
      </c>
      <c r="C14" s="1588">
        <v>0</v>
      </c>
      <c r="D14" s="1588">
        <v>0</v>
      </c>
      <c r="E14" s="1588">
        <v>0</v>
      </c>
      <c r="F14" s="1588">
        <v>0</v>
      </c>
      <c r="G14" s="1588">
        <v>0</v>
      </c>
      <c r="H14" s="1588">
        <v>0</v>
      </c>
      <c r="I14" s="1588">
        <v>0</v>
      </c>
      <c r="J14" s="1588">
        <v>0</v>
      </c>
      <c r="K14" s="1588">
        <v>0</v>
      </c>
      <c r="L14" s="1588">
        <v>0</v>
      </c>
      <c r="M14" s="1588">
        <v>0</v>
      </c>
    </row>
    <row r="16" spans="1:13" ht="19.5" customHeight="1">
      <c r="A16" s="1589" t="s">
        <v>1926</v>
      </c>
      <c r="B16" s="1589"/>
      <c r="C16" s="1590"/>
      <c r="D16" s="1590"/>
      <c r="E16" s="1589"/>
      <c r="F16" s="1590"/>
      <c r="G16" s="1590"/>
    </row>
    <row r="17" spans="1:9" ht="19.5" customHeight="1">
      <c r="A17" s="1521" t="s">
        <v>1927</v>
      </c>
      <c r="B17" s="1592" t="s">
        <v>1928</v>
      </c>
      <c r="C17" s="1774" t="s">
        <v>2228</v>
      </c>
      <c r="D17" s="1593"/>
      <c r="E17" s="1521" t="s">
        <v>1929</v>
      </c>
      <c r="F17" s="1594"/>
      <c r="G17" s="1594"/>
    </row>
    <row r="18" spans="1:9" s="1600" customFormat="1" ht="19.5" customHeight="1">
      <c r="A18" s="3597" t="s">
        <v>1553</v>
      </c>
      <c r="B18" s="1595" t="s">
        <v>1930</v>
      </c>
      <c r="C18" s="1596" t="s">
        <v>1931</v>
      </c>
      <c r="D18" s="1597"/>
      <c r="E18" s="1595">
        <v>1</v>
      </c>
      <c r="F18" s="1598" t="s">
        <v>1932</v>
      </c>
      <c r="G18" s="1599"/>
      <c r="H18" s="1591"/>
      <c r="I18" s="1591"/>
    </row>
    <row r="19" spans="1:9" s="1600" customFormat="1" ht="19.5" customHeight="1">
      <c r="A19" s="3597"/>
      <c r="B19" s="3597" t="s">
        <v>1933</v>
      </c>
      <c r="C19" s="1596" t="s">
        <v>1934</v>
      </c>
      <c r="D19" s="1597"/>
      <c r="E19" s="1595">
        <v>0.9</v>
      </c>
      <c r="F19" s="1598" t="s">
        <v>1935</v>
      </c>
      <c r="G19" s="1599"/>
      <c r="H19" s="1591"/>
      <c r="I19" s="1591"/>
    </row>
    <row r="20" spans="1:9" s="1600" customFormat="1" ht="19.5" customHeight="1">
      <c r="A20" s="3597"/>
      <c r="B20" s="3597"/>
      <c r="C20" s="1596" t="s">
        <v>1936</v>
      </c>
      <c r="D20" s="1597"/>
      <c r="E20" s="1595">
        <v>1.1000000000000001</v>
      </c>
      <c r="F20" s="1598" t="s">
        <v>1937</v>
      </c>
      <c r="G20" s="1599"/>
      <c r="H20" s="1591"/>
      <c r="I20" s="1591"/>
    </row>
    <row r="21" spans="1:9" s="1600" customFormat="1" ht="19.5" customHeight="1">
      <c r="A21" s="3597"/>
      <c r="B21" s="3597"/>
      <c r="C21" s="1596" t="s">
        <v>1938</v>
      </c>
      <c r="D21" s="1597"/>
      <c r="E21" s="1595">
        <v>0.8</v>
      </c>
      <c r="F21" s="1598" t="s">
        <v>1939</v>
      </c>
      <c r="G21" s="1599"/>
      <c r="H21" s="1591"/>
      <c r="I21" s="1591"/>
    </row>
    <row r="22" spans="1:9" s="1600" customFormat="1" ht="19.5" customHeight="1">
      <c r="A22" s="3597"/>
      <c r="B22" s="3597"/>
      <c r="C22" s="1596" t="s">
        <v>1940</v>
      </c>
      <c r="D22" s="1597"/>
      <c r="E22" s="1595">
        <v>0.5</v>
      </c>
      <c r="F22" s="1598"/>
      <c r="G22" s="1599"/>
      <c r="H22" s="1591"/>
      <c r="I22" s="1591"/>
    </row>
    <row r="23" spans="1:9" s="1600" customFormat="1" ht="19.5" customHeight="1">
      <c r="A23" s="3597" t="s">
        <v>1554</v>
      </c>
      <c r="B23" s="1595" t="s">
        <v>1930</v>
      </c>
      <c r="C23" s="1596" t="s">
        <v>1941</v>
      </c>
      <c r="D23" s="1597"/>
      <c r="E23" s="1595">
        <v>1</v>
      </c>
      <c r="F23" s="1598" t="s">
        <v>1942</v>
      </c>
      <c r="G23" s="1599"/>
      <c r="H23" s="1591"/>
      <c r="I23" s="1591"/>
    </row>
    <row r="24" spans="1:9" s="1600" customFormat="1" ht="19.5" customHeight="1">
      <c r="A24" s="3597"/>
      <c r="B24" s="3597" t="s">
        <v>1933</v>
      </c>
      <c r="C24" s="1596" t="s">
        <v>1943</v>
      </c>
      <c r="D24" s="1597"/>
      <c r="E24" s="1595">
        <v>0.5</v>
      </c>
      <c r="F24" s="1598"/>
      <c r="G24" s="1599"/>
      <c r="H24" s="1591"/>
      <c r="I24" s="1591"/>
    </row>
    <row r="25" spans="1:9" s="1600" customFormat="1" ht="19.5" customHeight="1">
      <c r="A25" s="3597"/>
      <c r="B25" s="3597"/>
      <c r="C25" s="1596" t="s">
        <v>1944</v>
      </c>
      <c r="D25" s="1597"/>
      <c r="E25" s="1595">
        <v>1.1000000000000001</v>
      </c>
      <c r="F25" s="1598"/>
      <c r="G25" s="1599"/>
      <c r="H25" s="1591"/>
      <c r="I25" s="1591"/>
    </row>
    <row r="26" spans="1:9" s="1600" customFormat="1" ht="19.5" customHeight="1">
      <c r="A26" s="3597"/>
      <c r="B26" s="3597"/>
      <c r="C26" s="1596" t="s">
        <v>1945</v>
      </c>
      <c r="D26" s="1597"/>
      <c r="E26" s="1595">
        <v>1.1000000000000001</v>
      </c>
      <c r="F26" s="1598"/>
      <c r="G26" s="1599"/>
      <c r="H26" s="1591"/>
      <c r="I26" s="1591"/>
    </row>
    <row r="27" spans="1:9" s="1600" customFormat="1" ht="19.5" customHeight="1">
      <c r="A27" s="3597"/>
      <c r="B27" s="3597"/>
      <c r="C27" s="1596" t="s">
        <v>1946</v>
      </c>
      <c r="D27" s="1597"/>
      <c r="E27" s="1595">
        <v>0.9</v>
      </c>
      <c r="F27" s="1598" t="s">
        <v>1947</v>
      </c>
      <c r="G27" s="1599"/>
      <c r="H27" s="1591"/>
      <c r="I27" s="1591"/>
    </row>
    <row r="28" spans="1:9" s="1600" customFormat="1" ht="19.5" customHeight="1">
      <c r="A28" s="3597"/>
      <c r="B28" s="3597"/>
      <c r="C28" s="1596" t="s">
        <v>1948</v>
      </c>
      <c r="D28" s="1597"/>
      <c r="E28" s="1595">
        <v>0.9</v>
      </c>
      <c r="F28" s="1598" t="s">
        <v>1949</v>
      </c>
      <c r="G28" s="1599"/>
      <c r="H28" s="1591"/>
      <c r="I28" s="1591"/>
    </row>
    <row r="29" spans="1:9" s="1600" customFormat="1" ht="19.5" customHeight="1">
      <c r="A29" s="3597"/>
      <c r="B29" s="3597"/>
      <c r="C29" s="1596" t="s">
        <v>1950</v>
      </c>
      <c r="D29" s="1597"/>
      <c r="E29" s="1595">
        <v>0.9</v>
      </c>
      <c r="F29" s="1598" t="s">
        <v>1951</v>
      </c>
      <c r="G29" s="1599"/>
      <c r="H29" s="1591"/>
      <c r="I29" s="1591"/>
    </row>
    <row r="30" spans="1:9" s="1600" customFormat="1" ht="19.5" customHeight="1">
      <c r="A30" s="3597"/>
      <c r="B30" s="3597"/>
      <c r="C30" s="1596" t="s">
        <v>1952</v>
      </c>
      <c r="D30" s="1597"/>
      <c r="E30" s="1595">
        <v>0.9</v>
      </c>
      <c r="F30" s="1598" t="s">
        <v>1953</v>
      </c>
      <c r="G30" s="1599"/>
      <c r="H30" s="1591"/>
      <c r="I30" s="1591"/>
    </row>
    <row r="31" spans="1:9" s="1600" customFormat="1" ht="19.5" customHeight="1">
      <c r="A31" s="3597"/>
      <c r="B31" s="3597"/>
      <c r="C31" s="1596" t="s">
        <v>1954</v>
      </c>
      <c r="D31" s="1597"/>
      <c r="E31" s="1595">
        <v>0.8</v>
      </c>
      <c r="F31" s="1598" t="s">
        <v>1955</v>
      </c>
      <c r="G31" s="1599"/>
      <c r="H31" s="1591"/>
      <c r="I31" s="1591"/>
    </row>
    <row r="32" spans="1:9" s="1600" customFormat="1" ht="19.5" customHeight="1">
      <c r="A32" s="3597"/>
      <c r="B32" s="3597"/>
      <c r="C32" s="1596" t="s">
        <v>1956</v>
      </c>
      <c r="D32" s="1597"/>
      <c r="E32" s="1595">
        <v>0.8</v>
      </c>
      <c r="F32" s="1598" t="s">
        <v>1957</v>
      </c>
      <c r="G32" s="1599"/>
      <c r="H32" s="1591"/>
      <c r="I32" s="1591"/>
    </row>
    <row r="33" spans="1:9" s="1600" customFormat="1" ht="19.5" customHeight="1">
      <c r="A33" s="3597" t="s">
        <v>1555</v>
      </c>
      <c r="B33" s="1595" t="s">
        <v>1930</v>
      </c>
      <c r="C33" s="1596" t="s">
        <v>1958</v>
      </c>
      <c r="D33" s="1597"/>
      <c r="E33" s="1595">
        <v>1</v>
      </c>
      <c r="F33" s="1598" t="s">
        <v>1959</v>
      </c>
      <c r="G33" s="1599"/>
      <c r="H33" s="1591"/>
      <c r="I33" s="1591"/>
    </row>
    <row r="34" spans="1:9" s="1600" customFormat="1" ht="19.5" customHeight="1">
      <c r="A34" s="3597"/>
      <c r="B34" s="1595" t="s">
        <v>1933</v>
      </c>
      <c r="C34" s="1596" t="s">
        <v>1960</v>
      </c>
      <c r="D34" s="1597"/>
      <c r="E34" s="1595">
        <v>1.5</v>
      </c>
      <c r="F34" s="1598" t="s">
        <v>1961</v>
      </c>
      <c r="G34" s="1599"/>
      <c r="H34" s="1591"/>
      <c r="I34" s="1591"/>
    </row>
    <row r="35" spans="1:9" s="1600" customFormat="1" ht="19.5" customHeight="1">
      <c r="A35" s="3597" t="s">
        <v>1556</v>
      </c>
      <c r="B35" s="1595" t="s">
        <v>1930</v>
      </c>
      <c r="C35" s="1596" t="s">
        <v>1962</v>
      </c>
      <c r="D35" s="1597"/>
      <c r="E35" s="1595">
        <v>1</v>
      </c>
      <c r="F35" s="1598" t="s">
        <v>1963</v>
      </c>
      <c r="G35" s="1599"/>
      <c r="H35" s="1591"/>
      <c r="I35" s="1591"/>
    </row>
    <row r="36" spans="1:9" s="1600" customFormat="1" ht="19.5" customHeight="1">
      <c r="A36" s="3597"/>
      <c r="B36" s="3597" t="s">
        <v>1933</v>
      </c>
      <c r="C36" s="1596" t="s">
        <v>1964</v>
      </c>
      <c r="D36" s="1597"/>
      <c r="E36" s="1595">
        <v>1</v>
      </c>
      <c r="F36" s="1598" t="s">
        <v>1965</v>
      </c>
      <c r="G36" s="1599"/>
      <c r="H36" s="1591"/>
      <c r="I36" s="1591"/>
    </row>
    <row r="37" spans="1:9" s="1600" customFormat="1" ht="19.5" customHeight="1">
      <c r="A37" s="3597"/>
      <c r="B37" s="3597"/>
      <c r="C37" s="1596" t="s">
        <v>1966</v>
      </c>
      <c r="D37" s="1597"/>
      <c r="E37" s="1595">
        <v>1.5</v>
      </c>
      <c r="F37" s="1598" t="s">
        <v>1967</v>
      </c>
      <c r="G37" s="1599"/>
      <c r="H37" s="1591"/>
      <c r="I37" s="1591"/>
    </row>
    <row r="38" spans="1:9" s="1600" customFormat="1" ht="19.5" customHeight="1">
      <c r="A38" s="3597"/>
      <c r="B38" s="3597"/>
      <c r="C38" s="1596" t="s">
        <v>1968</v>
      </c>
      <c r="D38" s="1597"/>
      <c r="E38" s="1595">
        <v>1</v>
      </c>
      <c r="F38" s="1598" t="s">
        <v>1969</v>
      </c>
      <c r="G38" s="1599"/>
      <c r="H38" s="1591"/>
      <c r="I38" s="1591"/>
    </row>
    <row r="39" spans="1:9" s="1600" customFormat="1" ht="19.5" customHeight="1">
      <c r="A39" s="3597"/>
      <c r="B39" s="3597"/>
      <c r="C39" s="1596" t="s">
        <v>1970</v>
      </c>
      <c r="D39" s="1597"/>
      <c r="E39" s="1595">
        <v>1</v>
      </c>
      <c r="F39" s="1598" t="s">
        <v>1971</v>
      </c>
      <c r="G39" s="1599"/>
      <c r="H39" s="1591"/>
      <c r="I39" s="1591"/>
    </row>
    <row r="40" spans="1:9" s="1600" customFormat="1" ht="19.5" customHeight="1">
      <c r="A40" s="1601" t="s">
        <v>1972</v>
      </c>
      <c r="B40" s="1601"/>
      <c r="C40" s="1601"/>
      <c r="D40" s="1601"/>
      <c r="E40" s="1601"/>
      <c r="F40" s="1602"/>
      <c r="G40" s="1602"/>
      <c r="H40" s="1591"/>
      <c r="I40" s="1591"/>
    </row>
    <row r="42" spans="1:9" ht="19.5" customHeight="1">
      <c r="A42" s="1603"/>
      <c r="B42" s="1521" t="s">
        <v>1973</v>
      </c>
      <c r="C42" s="1521" t="s">
        <v>1973</v>
      </c>
      <c r="D42" s="1521" t="s">
        <v>1973</v>
      </c>
      <c r="E42" s="1532" t="s">
        <v>1973</v>
      </c>
      <c r="F42" s="1532" t="s">
        <v>1973</v>
      </c>
      <c r="G42" s="1532" t="s">
        <v>1974</v>
      </c>
      <c r="H42" s="1532" t="s">
        <v>1973</v>
      </c>
    </row>
    <row r="43" spans="1:9" ht="19.5" customHeight="1">
      <c r="A43" s="1604"/>
      <c r="B43" s="1532" t="s">
        <v>1553</v>
      </c>
      <c r="C43" s="1532" t="s">
        <v>1553</v>
      </c>
      <c r="D43" s="1532" t="s">
        <v>1553</v>
      </c>
      <c r="E43" s="1532" t="s">
        <v>1553</v>
      </c>
      <c r="F43" s="1521" t="s">
        <v>1554</v>
      </c>
      <c r="G43" s="1521" t="s">
        <v>1556</v>
      </c>
      <c r="H43" s="1521" t="s">
        <v>1975</v>
      </c>
    </row>
    <row r="44" spans="1:9" ht="19.5" customHeight="1">
      <c r="A44" s="1605"/>
      <c r="B44" s="1521">
        <v>1</v>
      </c>
      <c r="C44" s="1521">
        <v>2</v>
      </c>
      <c r="D44" s="1521">
        <v>3</v>
      </c>
      <c r="E44" s="1532">
        <v>4</v>
      </c>
      <c r="F44" s="1593" t="s">
        <v>1976</v>
      </c>
      <c r="G44" s="1593" t="s">
        <v>1976</v>
      </c>
      <c r="H44" s="1593" t="s">
        <v>1976</v>
      </c>
    </row>
    <row r="45" spans="1:9" ht="19.5" customHeight="1">
      <c r="A45" s="1606" t="s">
        <v>1527</v>
      </c>
      <c r="B45" s="1521">
        <v>0.8</v>
      </c>
      <c r="C45" s="1521">
        <v>0.5</v>
      </c>
      <c r="D45" s="1521">
        <v>0.36</v>
      </c>
      <c r="E45" s="1521">
        <v>0.3</v>
      </c>
      <c r="F45" s="1593">
        <v>0.3</v>
      </c>
      <c r="G45" s="1521">
        <v>0.3</v>
      </c>
      <c r="H45" s="1521">
        <v>0.25</v>
      </c>
    </row>
    <row r="46" spans="1:9" ht="19.5" customHeight="1">
      <c r="A46" s="1606" t="s">
        <v>1528</v>
      </c>
      <c r="B46" s="1521">
        <v>0.8</v>
      </c>
      <c r="C46" s="1521">
        <v>0.5</v>
      </c>
      <c r="D46" s="1521">
        <v>0.36</v>
      </c>
      <c r="E46" s="1521">
        <v>0.3</v>
      </c>
      <c r="F46" s="1521">
        <v>0.3</v>
      </c>
      <c r="G46" s="1521">
        <v>0.3</v>
      </c>
      <c r="H46" s="1521">
        <v>0.25</v>
      </c>
    </row>
    <row r="47" spans="1:9" ht="19.5" customHeight="1">
      <c r="A47" s="1606" t="s">
        <v>1529</v>
      </c>
      <c r="B47" s="1521">
        <v>0.7</v>
      </c>
      <c r="C47" s="1521">
        <v>0.4</v>
      </c>
      <c r="D47" s="1521">
        <v>0.28000000000000003</v>
      </c>
      <c r="E47" s="1521">
        <v>0.25</v>
      </c>
      <c r="F47" s="1521">
        <v>0.25</v>
      </c>
      <c r="G47" s="1521">
        <v>0.25</v>
      </c>
      <c r="H47" s="1521">
        <v>0.2</v>
      </c>
    </row>
    <row r="48" spans="1:9" ht="19.5" customHeight="1">
      <c r="A48" s="1606" t="s">
        <v>1530</v>
      </c>
      <c r="B48" s="1521">
        <v>0.7</v>
      </c>
      <c r="C48" s="1521">
        <v>0.4</v>
      </c>
      <c r="D48" s="1521">
        <v>0.28000000000000003</v>
      </c>
      <c r="E48" s="1521">
        <v>0.25</v>
      </c>
      <c r="F48" s="1521">
        <v>0.25</v>
      </c>
      <c r="G48" s="1521">
        <v>0.25</v>
      </c>
      <c r="H48" s="1521">
        <v>0.2</v>
      </c>
    </row>
    <row r="49" spans="1:8" s="1591" customFormat="1" ht="19.5" customHeight="1">
      <c r="A49" s="1606" t="s">
        <v>1531</v>
      </c>
      <c r="B49" s="1521">
        <v>0.7</v>
      </c>
      <c r="C49" s="1521">
        <v>0.4</v>
      </c>
      <c r="D49" s="1521">
        <v>0.28000000000000003</v>
      </c>
      <c r="E49" s="1521">
        <v>0.25</v>
      </c>
      <c r="F49" s="1521">
        <v>0.25</v>
      </c>
      <c r="G49" s="1521">
        <v>0.25</v>
      </c>
      <c r="H49" s="1521">
        <v>0.2</v>
      </c>
    </row>
    <row r="50" spans="1:8" s="1591" customFormat="1" ht="19.5" customHeight="1">
      <c r="A50" s="1606" t="s">
        <v>1532</v>
      </c>
      <c r="B50" s="1521">
        <v>0.7</v>
      </c>
      <c r="C50" s="1521">
        <v>0.4</v>
      </c>
      <c r="D50" s="1521">
        <v>0.28000000000000003</v>
      </c>
      <c r="E50" s="1521">
        <v>0.25</v>
      </c>
      <c r="F50" s="1521">
        <v>0.25</v>
      </c>
      <c r="G50" s="1521">
        <v>0.25</v>
      </c>
      <c r="H50" s="1521">
        <v>0.2</v>
      </c>
    </row>
    <row r="51" spans="1:8" s="1591" customFormat="1" ht="19.5" customHeight="1">
      <c r="A51" s="1606" t="s">
        <v>1533</v>
      </c>
      <c r="B51" s="1521">
        <v>0.7</v>
      </c>
      <c r="C51" s="1521">
        <v>0.4</v>
      </c>
      <c r="D51" s="1521">
        <v>0.28000000000000003</v>
      </c>
      <c r="E51" s="1521">
        <v>0.25</v>
      </c>
      <c r="F51" s="1521">
        <v>0.25</v>
      </c>
      <c r="G51" s="1521">
        <v>0.25</v>
      </c>
      <c r="H51" s="1521">
        <v>0.2</v>
      </c>
    </row>
    <row r="52" spans="1:8" s="1591" customFormat="1" ht="19.5" customHeight="1">
      <c r="A52" s="1606" t="s">
        <v>1534</v>
      </c>
      <c r="B52" s="1521">
        <v>0.6</v>
      </c>
      <c r="C52" s="1521">
        <v>0.3</v>
      </c>
      <c r="D52" s="1521">
        <v>0.2</v>
      </c>
      <c r="E52" s="1521">
        <v>0.2</v>
      </c>
      <c r="F52" s="1521">
        <v>0.2</v>
      </c>
      <c r="G52" s="1521">
        <v>0.2</v>
      </c>
      <c r="H52" s="1521">
        <v>0.15</v>
      </c>
    </row>
    <row r="53" spans="1:8" s="1591" customFormat="1" ht="19.5" customHeight="1">
      <c r="A53" s="1606" t="s">
        <v>1535</v>
      </c>
      <c r="B53" s="1521">
        <v>0.6</v>
      </c>
      <c r="C53" s="1521">
        <v>0.3</v>
      </c>
      <c r="D53" s="1521">
        <v>0.2</v>
      </c>
      <c r="E53" s="1521">
        <v>0.2</v>
      </c>
      <c r="F53" s="1521">
        <v>0.2</v>
      </c>
      <c r="G53" s="1521">
        <v>0.2</v>
      </c>
      <c r="H53" s="1521">
        <v>0.15</v>
      </c>
    </row>
    <row r="54" spans="1:8" s="1591" customFormat="1" ht="19.5" customHeight="1">
      <c r="A54" s="1606" t="s">
        <v>1536</v>
      </c>
      <c r="B54" s="1521">
        <v>0.6</v>
      </c>
      <c r="C54" s="1521">
        <v>0.3</v>
      </c>
      <c r="D54" s="1521">
        <v>0.2</v>
      </c>
      <c r="E54" s="1521">
        <v>0.2</v>
      </c>
      <c r="F54" s="1521">
        <v>0.2</v>
      </c>
      <c r="G54" s="1521">
        <v>0.2</v>
      </c>
      <c r="H54" s="1521">
        <v>0.15</v>
      </c>
    </row>
    <row r="55" spans="1:8" s="1591" customFormat="1" ht="19.5" customHeight="1">
      <c r="A55" s="1606" t="s">
        <v>1537</v>
      </c>
      <c r="B55" s="1521">
        <v>0.6</v>
      </c>
      <c r="C55" s="1521">
        <v>0.3</v>
      </c>
      <c r="D55" s="1521">
        <v>0.2</v>
      </c>
      <c r="E55" s="1521">
        <v>0.2</v>
      </c>
      <c r="F55" s="1521">
        <v>0.2</v>
      </c>
      <c r="G55" s="1521">
        <v>0.2</v>
      </c>
      <c r="H55" s="1521">
        <v>0.15</v>
      </c>
    </row>
    <row r="56" spans="1:8" s="1591" customFormat="1" ht="19.5" customHeight="1">
      <c r="A56" s="1606" t="s">
        <v>1538</v>
      </c>
      <c r="B56" s="1521">
        <v>0.6</v>
      </c>
      <c r="C56" s="1521">
        <v>0.3</v>
      </c>
      <c r="D56" s="1521">
        <v>0.2</v>
      </c>
      <c r="E56" s="1521">
        <v>0.2</v>
      </c>
      <c r="F56" s="1521">
        <v>0.2</v>
      </c>
      <c r="G56" s="1521">
        <v>0.2</v>
      </c>
      <c r="H56" s="1521">
        <v>0.15</v>
      </c>
    </row>
    <row r="58" spans="1:8" s="1591" customFormat="1" ht="19.5" customHeight="1">
      <c r="A58" s="1607"/>
      <c r="B58" s="1589"/>
      <c r="C58" s="1589"/>
      <c r="D58" s="1589" t="s">
        <v>1977</v>
      </c>
      <c r="E58" s="1589"/>
      <c r="F58" s="1589"/>
    </row>
    <row r="59" spans="1:8" s="1591" customFormat="1" ht="19.5" customHeight="1">
      <c r="A59" s="1595" t="s">
        <v>1978</v>
      </c>
      <c r="B59" s="1595" t="s">
        <v>1979</v>
      </c>
      <c r="C59" s="1595" t="s">
        <v>1980</v>
      </c>
      <c r="D59" s="1595" t="s">
        <v>1981</v>
      </c>
      <c r="E59" s="1595" t="s">
        <v>1982</v>
      </c>
      <c r="F59" s="1595" t="s">
        <v>1983</v>
      </c>
    </row>
    <row r="60" spans="1:8" ht="13.5">
      <c r="A60" s="1791"/>
      <c r="B60" s="1791"/>
      <c r="C60" s="1791" t="s">
        <v>2115</v>
      </c>
      <c r="D60" s="1791"/>
      <c r="E60" s="1608" t="s">
        <v>23</v>
      </c>
      <c r="F60" s="1791" t="s">
        <v>23</v>
      </c>
    </row>
    <row r="61" spans="1:8" s="1591" customFormat="1" ht="24">
      <c r="A61" s="1595">
        <v>1</v>
      </c>
      <c r="B61" s="3597" t="s">
        <v>1984</v>
      </c>
      <c r="C61" s="1521" t="s">
        <v>1985</v>
      </c>
      <c r="D61" s="1521" t="s">
        <v>1986</v>
      </c>
      <c r="E61" s="1608">
        <v>0.5</v>
      </c>
      <c r="F61" s="1595">
        <v>80</v>
      </c>
    </row>
    <row r="62" spans="1:8" s="1591" customFormat="1" ht="24">
      <c r="A62" s="1595">
        <v>2</v>
      </c>
      <c r="B62" s="3597"/>
      <c r="C62" s="1521" t="s">
        <v>1987</v>
      </c>
      <c r="D62" s="1521" t="s">
        <v>1988</v>
      </c>
      <c r="E62" s="1608">
        <v>0.5</v>
      </c>
      <c r="F62" s="1595">
        <v>80</v>
      </c>
    </row>
    <row r="63" spans="1:8" s="1591" customFormat="1" ht="36">
      <c r="A63" s="1595">
        <v>3</v>
      </c>
      <c r="B63" s="3597"/>
      <c r="C63" s="1521" t="s">
        <v>1989</v>
      </c>
      <c r="D63" s="1521" t="s">
        <v>1990</v>
      </c>
      <c r="E63" s="1608">
        <v>0.5</v>
      </c>
      <c r="F63" s="1595">
        <v>80</v>
      </c>
    </row>
    <row r="64" spans="1:8" s="1591" customFormat="1" ht="36">
      <c r="A64" s="1595">
        <v>4</v>
      </c>
      <c r="B64" s="3597"/>
      <c r="C64" s="1521" t="s">
        <v>1991</v>
      </c>
      <c r="D64" s="1521" t="s">
        <v>1992</v>
      </c>
      <c r="E64" s="1608">
        <v>0.4</v>
      </c>
      <c r="F64" s="1595">
        <v>60</v>
      </c>
    </row>
    <row r="65" spans="1:6" s="1591" customFormat="1" ht="36">
      <c r="A65" s="1595">
        <v>5</v>
      </c>
      <c r="B65" s="3597"/>
      <c r="C65" s="1521" t="s">
        <v>1993</v>
      </c>
      <c r="D65" s="1521" t="s">
        <v>1994</v>
      </c>
      <c r="E65" s="1608">
        <v>0.2</v>
      </c>
      <c r="F65" s="1595">
        <v>30</v>
      </c>
    </row>
    <row r="66" spans="1:6" s="1591" customFormat="1" ht="36">
      <c r="A66" s="1595">
        <v>6</v>
      </c>
      <c r="B66" s="3597"/>
      <c r="C66" s="1521" t="s">
        <v>1995</v>
      </c>
      <c r="D66" s="1521" t="s">
        <v>1996</v>
      </c>
      <c r="E66" s="1608">
        <v>0.3</v>
      </c>
      <c r="F66" s="1595">
        <v>50</v>
      </c>
    </row>
    <row r="67" spans="1:6" s="1591" customFormat="1" ht="36">
      <c r="A67" s="1595">
        <v>7</v>
      </c>
      <c r="B67" s="3597"/>
      <c r="C67" s="1521" t="s">
        <v>1997</v>
      </c>
      <c r="D67" s="1521" t="s">
        <v>1998</v>
      </c>
      <c r="E67" s="1608">
        <v>0.2</v>
      </c>
      <c r="F67" s="1595">
        <v>30</v>
      </c>
    </row>
    <row r="68" spans="1:6" s="1591" customFormat="1" ht="36">
      <c r="A68" s="1595">
        <v>8</v>
      </c>
      <c r="B68" s="3597"/>
      <c r="C68" s="1521" t="s">
        <v>1999</v>
      </c>
      <c r="D68" s="1521" t="s">
        <v>2000</v>
      </c>
      <c r="E68" s="1608">
        <v>0.2</v>
      </c>
      <c r="F68" s="1595">
        <v>30</v>
      </c>
    </row>
    <row r="69" spans="1:6" s="1591" customFormat="1" ht="36">
      <c r="A69" s="1595">
        <v>9</v>
      </c>
      <c r="B69" s="3597"/>
      <c r="C69" s="1521" t="s">
        <v>2001</v>
      </c>
      <c r="D69" s="1521" t="s">
        <v>2002</v>
      </c>
      <c r="E69" s="1608">
        <v>0.2</v>
      </c>
      <c r="F69" s="1595">
        <v>30</v>
      </c>
    </row>
    <row r="70" spans="1:6" s="1591" customFormat="1" ht="48">
      <c r="A70" s="1595">
        <v>10</v>
      </c>
      <c r="B70" s="3597"/>
      <c r="C70" s="1521" t="s">
        <v>2003</v>
      </c>
      <c r="D70" s="1521" t="s">
        <v>2004</v>
      </c>
      <c r="E70" s="1608">
        <v>0.2</v>
      </c>
      <c r="F70" s="1595">
        <v>30</v>
      </c>
    </row>
    <row r="71" spans="1:6" s="1591" customFormat="1" ht="48">
      <c r="A71" s="1595">
        <v>11</v>
      </c>
      <c r="B71" s="3597"/>
      <c r="C71" s="1521" t="s">
        <v>2005</v>
      </c>
      <c r="D71" s="1521" t="s">
        <v>2006</v>
      </c>
      <c r="E71" s="1608">
        <v>0.2</v>
      </c>
      <c r="F71" s="1595">
        <v>30</v>
      </c>
    </row>
    <row r="72" spans="1:6" s="1591" customFormat="1" ht="36">
      <c r="A72" s="1595">
        <v>12</v>
      </c>
      <c r="B72" s="3597"/>
      <c r="C72" s="1521" t="s">
        <v>2007</v>
      </c>
      <c r="D72" s="1521" t="s">
        <v>2008</v>
      </c>
      <c r="E72" s="1608">
        <v>0.5</v>
      </c>
      <c r="F72" s="1595">
        <v>80</v>
      </c>
    </row>
    <row r="73" spans="1:6" s="1591" customFormat="1" ht="24">
      <c r="A73" s="1595">
        <v>13</v>
      </c>
      <c r="B73" s="3597"/>
      <c r="C73" s="1521" t="s">
        <v>2009</v>
      </c>
      <c r="D73" s="1521" t="s">
        <v>2010</v>
      </c>
      <c r="E73" s="1608">
        <v>0.4</v>
      </c>
      <c r="F73" s="1595">
        <v>60</v>
      </c>
    </row>
    <row r="74" spans="1:6" s="1591" customFormat="1" ht="24">
      <c r="A74" s="1595">
        <v>14</v>
      </c>
      <c r="B74" s="3597"/>
      <c r="C74" s="1521" t="s">
        <v>2011</v>
      </c>
      <c r="D74" s="1521" t="s">
        <v>2012</v>
      </c>
      <c r="E74" s="1608">
        <v>0.2</v>
      </c>
      <c r="F74" s="1595">
        <v>30</v>
      </c>
    </row>
    <row r="75" spans="1:6" s="1591" customFormat="1" ht="24">
      <c r="A75" s="1595">
        <v>15</v>
      </c>
      <c r="B75" s="3597"/>
      <c r="C75" s="1521" t="s">
        <v>2013</v>
      </c>
      <c r="D75" s="1521" t="s">
        <v>2014</v>
      </c>
      <c r="E75" s="1608">
        <v>0.2</v>
      </c>
      <c r="F75" s="1595">
        <v>30</v>
      </c>
    </row>
    <row r="76" spans="1:6" s="1591" customFormat="1" ht="24">
      <c r="A76" s="1595">
        <v>16</v>
      </c>
      <c r="B76" s="3597" t="s">
        <v>2015</v>
      </c>
      <c r="C76" s="1521" t="s">
        <v>2016</v>
      </c>
      <c r="D76" s="1521" t="s">
        <v>2017</v>
      </c>
      <c r="E76" s="1608">
        <v>0.5</v>
      </c>
      <c r="F76" s="1595">
        <v>80</v>
      </c>
    </row>
    <row r="77" spans="1:6" s="1591" customFormat="1" ht="24">
      <c r="A77" s="1595">
        <v>17</v>
      </c>
      <c r="B77" s="3597"/>
      <c r="C77" s="1521" t="s">
        <v>2018</v>
      </c>
      <c r="D77" s="1521" t="s">
        <v>2019</v>
      </c>
      <c r="E77" s="1608">
        <v>0.5</v>
      </c>
      <c r="F77" s="1595">
        <v>80</v>
      </c>
    </row>
    <row r="78" spans="1:6" s="1591" customFormat="1" ht="24">
      <c r="A78" s="1595">
        <v>18</v>
      </c>
      <c r="B78" s="3597"/>
      <c r="C78" s="1521" t="s">
        <v>2020</v>
      </c>
      <c r="D78" s="1521" t="s">
        <v>2021</v>
      </c>
      <c r="E78" s="1608">
        <v>0.2</v>
      </c>
      <c r="F78" s="1595">
        <v>30</v>
      </c>
    </row>
    <row r="79" spans="1:6" s="1591" customFormat="1" ht="24">
      <c r="A79" s="1595">
        <v>19</v>
      </c>
      <c r="B79" s="3597"/>
      <c r="C79" s="1521" t="s">
        <v>2022</v>
      </c>
      <c r="D79" s="1521" t="s">
        <v>2023</v>
      </c>
      <c r="E79" s="1608">
        <v>0.5</v>
      </c>
      <c r="F79" s="1595">
        <v>80</v>
      </c>
    </row>
    <row r="80" spans="1:6" s="1591" customFormat="1" ht="36">
      <c r="A80" s="1595">
        <v>20</v>
      </c>
      <c r="B80" s="3597"/>
      <c r="C80" s="1521" t="s">
        <v>2024</v>
      </c>
      <c r="D80" s="1521" t="s">
        <v>2025</v>
      </c>
      <c r="E80" s="1608">
        <v>0.2</v>
      </c>
      <c r="F80" s="1595">
        <v>30</v>
      </c>
    </row>
    <row r="81" spans="1:6" s="1591" customFormat="1" ht="36">
      <c r="A81" s="1595">
        <v>21</v>
      </c>
      <c r="B81" s="3597"/>
      <c r="C81" s="1521" t="s">
        <v>2026</v>
      </c>
      <c r="D81" s="1521" t="s">
        <v>2027</v>
      </c>
      <c r="E81" s="1608">
        <v>0.2</v>
      </c>
      <c r="F81" s="1595">
        <v>30</v>
      </c>
    </row>
    <row r="82" spans="1:6" s="1591" customFormat="1" ht="48">
      <c r="A82" s="1595">
        <v>22</v>
      </c>
      <c r="B82" s="3597"/>
      <c r="C82" s="1521" t="s">
        <v>2028</v>
      </c>
      <c r="D82" s="1521" t="s">
        <v>2029</v>
      </c>
      <c r="E82" s="1608">
        <v>0.2</v>
      </c>
      <c r="F82" s="1595">
        <v>30</v>
      </c>
    </row>
    <row r="83" spans="1:6" s="1591" customFormat="1" ht="48">
      <c r="A83" s="1595">
        <v>23</v>
      </c>
      <c r="B83" s="3597"/>
      <c r="C83" s="1521" t="s">
        <v>2030</v>
      </c>
      <c r="D83" s="1521" t="s">
        <v>2031</v>
      </c>
      <c r="E83" s="1608">
        <v>0.2</v>
      </c>
      <c r="F83" s="1595">
        <v>30</v>
      </c>
    </row>
    <row r="84" spans="1:6" s="1591" customFormat="1" ht="36">
      <c r="A84" s="1595">
        <v>24</v>
      </c>
      <c r="B84" s="3597"/>
      <c r="C84" s="1521" t="s">
        <v>2032</v>
      </c>
      <c r="D84" s="1521" t="s">
        <v>2033</v>
      </c>
      <c r="E84" s="1608">
        <v>0.2</v>
      </c>
      <c r="F84" s="1595">
        <v>30</v>
      </c>
    </row>
    <row r="85" spans="1:6" s="1591" customFormat="1" ht="36">
      <c r="A85" s="1595">
        <v>25</v>
      </c>
      <c r="B85" s="3597"/>
      <c r="C85" s="1521" t="s">
        <v>2034</v>
      </c>
      <c r="D85" s="1521" t="s">
        <v>2035</v>
      </c>
      <c r="E85" s="1608">
        <v>0.5</v>
      </c>
      <c r="F85" s="1595">
        <v>80</v>
      </c>
    </row>
    <row r="86" spans="1:6" s="1591" customFormat="1" ht="36">
      <c r="A86" s="1595">
        <v>26</v>
      </c>
      <c r="B86" s="3597"/>
      <c r="C86" s="1521" t="s">
        <v>2036</v>
      </c>
      <c r="D86" s="1521" t="s">
        <v>2037</v>
      </c>
      <c r="E86" s="1608">
        <v>0.2</v>
      </c>
      <c r="F86" s="1595">
        <v>30</v>
      </c>
    </row>
    <row r="87" spans="1:6" s="1591" customFormat="1" ht="36">
      <c r="A87" s="1595">
        <v>27</v>
      </c>
      <c r="B87" s="3597"/>
      <c r="C87" s="1521" t="s">
        <v>2038</v>
      </c>
      <c r="D87" s="1521" t="s">
        <v>2039</v>
      </c>
      <c r="E87" s="1608">
        <v>0.2</v>
      </c>
      <c r="F87" s="1595">
        <v>30</v>
      </c>
    </row>
    <row r="88" spans="1:6" s="1591" customFormat="1" ht="36">
      <c r="A88" s="1595">
        <v>28</v>
      </c>
      <c r="B88" s="3597"/>
      <c r="C88" s="1521" t="s">
        <v>2040</v>
      </c>
      <c r="D88" s="1521" t="s">
        <v>2041</v>
      </c>
      <c r="E88" s="1608">
        <v>0.2</v>
      </c>
      <c r="F88" s="1595">
        <v>30</v>
      </c>
    </row>
    <row r="89" spans="1:6" s="1591" customFormat="1" ht="24">
      <c r="A89" s="1595">
        <v>29</v>
      </c>
      <c r="B89" s="3597"/>
      <c r="C89" s="1521" t="s">
        <v>2042</v>
      </c>
      <c r="D89" s="1521" t="s">
        <v>2043</v>
      </c>
      <c r="E89" s="1608">
        <v>0.2</v>
      </c>
      <c r="F89" s="1595">
        <v>30</v>
      </c>
    </row>
    <row r="90" spans="1:6" s="1591" customFormat="1" ht="24">
      <c r="A90" s="1595">
        <v>30</v>
      </c>
      <c r="B90" s="3597"/>
      <c r="C90" s="1521" t="s">
        <v>2044</v>
      </c>
      <c r="D90" s="1521" t="s">
        <v>2045</v>
      </c>
      <c r="E90" s="1608">
        <v>0.2</v>
      </c>
      <c r="F90" s="1595">
        <v>30</v>
      </c>
    </row>
    <row r="91" spans="1:6" s="1591" customFormat="1" ht="36">
      <c r="A91" s="1595">
        <v>31</v>
      </c>
      <c r="B91" s="3597"/>
      <c r="C91" s="1521" t="s">
        <v>2046</v>
      </c>
      <c r="D91" s="1521" t="s">
        <v>2047</v>
      </c>
      <c r="E91" s="1608">
        <v>0.2</v>
      </c>
      <c r="F91" s="1595">
        <v>30</v>
      </c>
    </row>
    <row r="92" spans="1:6" s="1591" customFormat="1" ht="24">
      <c r="A92" s="1595">
        <v>32</v>
      </c>
      <c r="B92" s="3597" t="s">
        <v>2048</v>
      </c>
      <c r="C92" s="1595" t="s">
        <v>2049</v>
      </c>
      <c r="D92" s="1521" t="s">
        <v>2050</v>
      </c>
      <c r="E92" s="1608">
        <v>0.2</v>
      </c>
      <c r="F92" s="1595">
        <v>30</v>
      </c>
    </row>
    <row r="93" spans="1:6" s="1591" customFormat="1" ht="36">
      <c r="A93" s="1595">
        <v>33</v>
      </c>
      <c r="B93" s="3597"/>
      <c r="C93" s="1595" t="s">
        <v>2051</v>
      </c>
      <c r="D93" s="1521" t="s">
        <v>2052</v>
      </c>
      <c r="E93" s="1608">
        <v>0.2</v>
      </c>
      <c r="F93" s="1595">
        <v>30</v>
      </c>
    </row>
    <row r="94" spans="1:6" s="1591" customFormat="1" ht="48">
      <c r="A94" s="1595">
        <v>34</v>
      </c>
      <c r="B94" s="3597"/>
      <c r="C94" s="1595" t="s">
        <v>2053</v>
      </c>
      <c r="D94" s="1521" t="s">
        <v>2054</v>
      </c>
      <c r="E94" s="1608">
        <v>0.2</v>
      </c>
      <c r="F94" s="1595">
        <v>30</v>
      </c>
    </row>
    <row r="95" spans="1:6" s="1591" customFormat="1" ht="36">
      <c r="A95" s="1595">
        <v>35</v>
      </c>
      <c r="B95" s="3597"/>
      <c r="C95" s="1595" t="s">
        <v>2055</v>
      </c>
      <c r="D95" s="1521" t="s">
        <v>2056</v>
      </c>
      <c r="E95" s="1608">
        <v>0.2</v>
      </c>
      <c r="F95" s="1595">
        <v>30</v>
      </c>
    </row>
    <row r="96" spans="1:6" s="1591" customFormat="1" ht="48">
      <c r="A96" s="1595">
        <v>36</v>
      </c>
      <c r="B96" s="3597"/>
      <c r="C96" s="1521" t="s">
        <v>2057</v>
      </c>
      <c r="D96" s="1521" t="s">
        <v>2058</v>
      </c>
      <c r="E96" s="1608">
        <v>0.2</v>
      </c>
      <c r="F96" s="1595">
        <v>30</v>
      </c>
    </row>
    <row r="97" spans="1:6" s="1591" customFormat="1" ht="36">
      <c r="A97" s="1595">
        <v>37</v>
      </c>
      <c r="B97" s="3597"/>
      <c r="C97" s="1595" t="s">
        <v>2059</v>
      </c>
      <c r="D97" s="1521" t="s">
        <v>2060</v>
      </c>
      <c r="E97" s="1608">
        <v>0.2</v>
      </c>
      <c r="F97" s="1595">
        <v>30</v>
      </c>
    </row>
    <row r="98" spans="1:6" s="1591" customFormat="1" ht="36">
      <c r="A98" s="1595">
        <v>38</v>
      </c>
      <c r="B98" s="3597"/>
      <c r="C98" s="1595" t="s">
        <v>2061</v>
      </c>
      <c r="D98" s="1521" t="s">
        <v>2062</v>
      </c>
      <c r="E98" s="1608">
        <v>0.2</v>
      </c>
      <c r="F98" s="1595">
        <v>30</v>
      </c>
    </row>
    <row r="99" spans="1:6" s="1591" customFormat="1" ht="36">
      <c r="A99" s="1595">
        <v>39</v>
      </c>
      <c r="B99" s="3597" t="s">
        <v>2063</v>
      </c>
      <c r="C99" s="1595" t="s">
        <v>2064</v>
      </c>
      <c r="D99" s="1521" t="s">
        <v>2065</v>
      </c>
      <c r="E99" s="1608">
        <v>0.3</v>
      </c>
      <c r="F99" s="1595">
        <v>50</v>
      </c>
    </row>
    <row r="100" spans="1:6" s="1591" customFormat="1" ht="24">
      <c r="A100" s="1595">
        <v>40</v>
      </c>
      <c r="B100" s="3597"/>
      <c r="C100" s="1595" t="s">
        <v>2066</v>
      </c>
      <c r="D100" s="1521" t="s">
        <v>2067</v>
      </c>
      <c r="E100" s="1608">
        <v>0.2</v>
      </c>
      <c r="F100" s="1595">
        <v>30</v>
      </c>
    </row>
    <row r="101" spans="1:6" s="1591" customFormat="1" ht="36">
      <c r="A101" s="1595">
        <v>41</v>
      </c>
      <c r="B101" s="3597"/>
      <c r="C101" s="1595" t="s">
        <v>2068</v>
      </c>
      <c r="D101" s="1521" t="s">
        <v>2065</v>
      </c>
      <c r="E101" s="1608">
        <v>0.2</v>
      </c>
      <c r="F101" s="1595">
        <v>30</v>
      </c>
    </row>
    <row r="102" spans="1:6" s="1591" customFormat="1" ht="48">
      <c r="A102" s="1595">
        <v>42</v>
      </c>
      <c r="B102" s="1595" t="s">
        <v>2069</v>
      </c>
      <c r="C102" s="1521" t="s">
        <v>2070</v>
      </c>
      <c r="D102" s="1521" t="s">
        <v>2071</v>
      </c>
      <c r="E102" s="1608">
        <v>0.2</v>
      </c>
      <c r="F102" s="1595">
        <v>30</v>
      </c>
    </row>
    <row r="103" spans="1:6" s="1591" customFormat="1" ht="24">
      <c r="A103" s="1595">
        <v>43</v>
      </c>
      <c r="B103" s="1595" t="s">
        <v>2072</v>
      </c>
      <c r="C103" s="1595" t="s">
        <v>2073</v>
      </c>
      <c r="D103" s="1521" t="s">
        <v>2074</v>
      </c>
      <c r="E103" s="1608">
        <v>0.2</v>
      </c>
      <c r="F103" s="1595">
        <v>30</v>
      </c>
    </row>
    <row r="104" spans="1:6" s="1591" customFormat="1" ht="36">
      <c r="A104" s="1595">
        <v>44</v>
      </c>
      <c r="B104" s="1595" t="s">
        <v>2075</v>
      </c>
      <c r="C104" s="1595" t="s">
        <v>2076</v>
      </c>
      <c r="D104" s="1521" t="s">
        <v>2077</v>
      </c>
      <c r="E104" s="1608">
        <v>0.2</v>
      </c>
      <c r="F104" s="1595">
        <v>30</v>
      </c>
    </row>
    <row r="105" spans="1:6" s="1591" customFormat="1" ht="36">
      <c r="A105" s="1595">
        <v>45</v>
      </c>
      <c r="B105" s="3597" t="s">
        <v>2078</v>
      </c>
      <c r="C105" s="1595" t="s">
        <v>2079</v>
      </c>
      <c r="D105" s="1521" t="s">
        <v>2080</v>
      </c>
      <c r="E105" s="1608">
        <v>0.2</v>
      </c>
      <c r="F105" s="1595">
        <v>30</v>
      </c>
    </row>
    <row r="106" spans="1:6" s="1591" customFormat="1" ht="36">
      <c r="A106" s="1595">
        <v>46</v>
      </c>
      <c r="B106" s="3597"/>
      <c r="C106" s="1595" t="s">
        <v>2081</v>
      </c>
      <c r="D106" s="1521" t="s">
        <v>2082</v>
      </c>
      <c r="E106" s="1608">
        <v>0.2</v>
      </c>
      <c r="F106" s="1595">
        <v>30</v>
      </c>
    </row>
    <row r="107" spans="1:6" s="1591" customFormat="1" ht="36">
      <c r="A107" s="1595">
        <v>47</v>
      </c>
      <c r="B107" s="3597" t="s">
        <v>2083</v>
      </c>
      <c r="C107" s="1595" t="s">
        <v>2084</v>
      </c>
      <c r="D107" s="1521" t="s">
        <v>2085</v>
      </c>
      <c r="E107" s="1608">
        <v>0.3</v>
      </c>
      <c r="F107" s="1595">
        <v>50</v>
      </c>
    </row>
    <row r="108" spans="1:6" s="1591" customFormat="1" ht="36">
      <c r="A108" s="1595">
        <v>48</v>
      </c>
      <c r="B108" s="3597"/>
      <c r="C108" s="1595" t="s">
        <v>2086</v>
      </c>
      <c r="D108" s="1521" t="s">
        <v>2087</v>
      </c>
      <c r="E108" s="1608">
        <v>0.2</v>
      </c>
      <c r="F108" s="1595">
        <v>30</v>
      </c>
    </row>
    <row r="109" spans="1:6" s="1591" customFormat="1" ht="36">
      <c r="A109" s="1595">
        <v>49</v>
      </c>
      <c r="B109" s="1595" t="s">
        <v>2088</v>
      </c>
      <c r="C109" s="1595" t="s">
        <v>2089</v>
      </c>
      <c r="D109" s="1521" t="s">
        <v>2090</v>
      </c>
      <c r="E109" s="1608">
        <v>0.2</v>
      </c>
      <c r="F109" s="1595">
        <v>30</v>
      </c>
    </row>
    <row r="110" spans="1:6" s="1591" customFormat="1" ht="36">
      <c r="A110" s="1595">
        <v>50</v>
      </c>
      <c r="B110" s="1595" t="s">
        <v>2091</v>
      </c>
      <c r="C110" s="1595" t="s">
        <v>2092</v>
      </c>
      <c r="D110" s="1521" t="s">
        <v>2093</v>
      </c>
      <c r="E110" s="1608">
        <v>0.2</v>
      </c>
      <c r="F110" s="1595">
        <v>30</v>
      </c>
    </row>
    <row r="111" spans="1:6" s="1591" customFormat="1" ht="36">
      <c r="A111" s="1595">
        <v>51</v>
      </c>
      <c r="B111" s="3597" t="s">
        <v>2094</v>
      </c>
      <c r="C111" s="1595" t="s">
        <v>2095</v>
      </c>
      <c r="D111" s="1521" t="s">
        <v>2096</v>
      </c>
      <c r="E111" s="1608">
        <v>0.2</v>
      </c>
      <c r="F111" s="1595">
        <v>30</v>
      </c>
    </row>
    <row r="112" spans="1:6" s="1591" customFormat="1" ht="24">
      <c r="A112" s="1595">
        <v>52</v>
      </c>
      <c r="B112" s="3597"/>
      <c r="C112" s="1595" t="s">
        <v>2097</v>
      </c>
      <c r="D112" s="1521" t="s">
        <v>2098</v>
      </c>
      <c r="E112" s="1608">
        <v>0.2</v>
      </c>
      <c r="F112" s="1595">
        <v>30</v>
      </c>
    </row>
    <row r="113" spans="1:6" s="1591" customFormat="1" ht="24">
      <c r="A113" s="1595">
        <v>53</v>
      </c>
      <c r="B113" s="3597"/>
      <c r="C113" s="1595" t="s">
        <v>2099</v>
      </c>
      <c r="D113" s="1521" t="s">
        <v>2100</v>
      </c>
      <c r="E113" s="1608">
        <v>0.2</v>
      </c>
      <c r="F113" s="1595">
        <v>30</v>
      </c>
    </row>
    <row r="114" spans="1:6" ht="36">
      <c r="A114" s="1595">
        <v>54</v>
      </c>
      <c r="B114" s="1595" t="s">
        <v>2101</v>
      </c>
      <c r="C114" s="1595" t="s">
        <v>2102</v>
      </c>
      <c r="D114" s="1521" t="s">
        <v>2103</v>
      </c>
      <c r="E114" s="1608">
        <v>0.2</v>
      </c>
      <c r="F114" s="1595">
        <v>30</v>
      </c>
    </row>
    <row r="115" spans="1:6" ht="24">
      <c r="A115" s="1595">
        <v>55</v>
      </c>
      <c r="B115" s="1595" t="s">
        <v>2104</v>
      </c>
      <c r="C115" s="1595" t="s">
        <v>2105</v>
      </c>
      <c r="D115" s="1521" t="s">
        <v>2106</v>
      </c>
      <c r="E115" s="1608">
        <v>0.2</v>
      </c>
      <c r="F115" s="1595">
        <v>30</v>
      </c>
    </row>
    <row r="116" spans="1:6" ht="24">
      <c r="A116" s="1595">
        <v>56</v>
      </c>
      <c r="B116" s="3597" t="s">
        <v>2107</v>
      </c>
      <c r="C116" s="1595" t="s">
        <v>2108</v>
      </c>
      <c r="D116" s="1521" t="s">
        <v>2109</v>
      </c>
      <c r="E116" s="1608">
        <v>0.2</v>
      </c>
      <c r="F116" s="1595">
        <v>30</v>
      </c>
    </row>
    <row r="117" spans="1:6" ht="36">
      <c r="A117" s="1595">
        <v>57</v>
      </c>
      <c r="B117" s="3597"/>
      <c r="C117" s="1595" t="s">
        <v>2110</v>
      </c>
      <c r="D117" s="1521" t="s">
        <v>2111</v>
      </c>
      <c r="E117" s="1608">
        <v>0.2</v>
      </c>
      <c r="F117" s="1595">
        <v>30</v>
      </c>
    </row>
    <row r="118" spans="1:6" ht="36">
      <c r="A118" s="1595">
        <v>58</v>
      </c>
      <c r="B118" s="1595" t="s">
        <v>2112</v>
      </c>
      <c r="C118" s="1595" t="s">
        <v>2113</v>
      </c>
      <c r="D118" s="1521" t="s">
        <v>2114</v>
      </c>
      <c r="E118" s="1608">
        <v>0.2</v>
      </c>
      <c r="F118" s="1595">
        <v>30</v>
      </c>
    </row>
    <row r="119" spans="1:6" ht="13.5">
      <c r="A119" s="1595"/>
      <c r="B119" s="1595"/>
      <c r="C119" s="1595" t="s">
        <v>2115</v>
      </c>
      <c r="D119" s="1595"/>
      <c r="E119" s="1608" t="s">
        <v>1925</v>
      </c>
      <c r="F119" s="1595" t="s">
        <v>1925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87" customWidth="1"/>
    <col min="2" max="2" width="37.25" style="1987" customWidth="1"/>
    <col min="3" max="3" width="11.375" style="1987" customWidth="1"/>
    <col min="4" max="4" width="31.75" style="1987" customWidth="1"/>
    <col min="5" max="5" width="0.5" style="1987" customWidth="1"/>
    <col min="6" max="7" width="13" style="1987" customWidth="1"/>
    <col min="8" max="16384" width="9" style="1987"/>
  </cols>
  <sheetData>
    <row r="1" spans="1:5" ht="18.75">
      <c r="A1" s="1985" t="s">
        <v>2397</v>
      </c>
      <c r="B1" s="1986"/>
      <c r="C1" s="1986"/>
      <c r="D1" s="1986"/>
      <c r="E1" s="1986"/>
    </row>
    <row r="2" spans="1:5" ht="78" customHeight="1">
      <c r="A2" s="335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8"/>
      <c r="C2" s="3358"/>
      <c r="D2" s="3358"/>
      <c r="E2" s="3358"/>
    </row>
    <row r="3" spans="1:5" ht="18.75">
      <c r="A3" s="3359" t="s">
        <v>2398</v>
      </c>
      <c r="B3" s="3359"/>
      <c r="C3" s="3359"/>
      <c r="D3" s="3359"/>
      <c r="E3" s="3359"/>
    </row>
    <row r="4" spans="1:5" ht="19.5" thickBot="1">
      <c r="A4" s="1998"/>
      <c r="B4" s="3357" t="s">
        <v>2403</v>
      </c>
      <c r="C4" s="3357"/>
      <c r="D4" s="3357"/>
      <c r="E4" s="1998"/>
    </row>
    <row r="5" spans="1:5" ht="16.5" thickTop="1">
      <c r="A5" s="1986"/>
      <c r="B5" s="3355" t="s">
        <v>2399</v>
      </c>
      <c r="C5" s="1988" t="s">
        <v>2404</v>
      </c>
      <c r="D5" s="1989">
        <f ca="1">结果表!H101</f>
        <v>51847</v>
      </c>
      <c r="E5" s="1986"/>
    </row>
    <row r="6" spans="1:5" ht="15.75">
      <c r="A6" s="1986"/>
      <c r="B6" s="3355"/>
      <c r="C6" s="1988" t="s">
        <v>3285</v>
      </c>
      <c r="D6" s="1989" t="str">
        <f ca="1">NUMBERSTRING(INT(D5*10000),2)&amp;"元整"</f>
        <v>伍亿壹仟捌佰肆拾柒万元整</v>
      </c>
      <c r="E6" s="1986"/>
    </row>
    <row r="7" spans="1:5" ht="15.75">
      <c r="A7" s="1986"/>
      <c r="B7" s="3360"/>
      <c r="C7" s="1990" t="s">
        <v>2405</v>
      </c>
      <c r="D7" s="1991">
        <f ca="1">结果表!H102</f>
        <v>45575</v>
      </c>
      <c r="E7" s="1986"/>
    </row>
    <row r="8" spans="1:5" ht="15.75">
      <c r="A8" s="1986"/>
      <c r="B8" s="3361" t="str">
        <f>结果表!E103</f>
        <v>2.估价师知悉的法定优先受偿款</v>
      </c>
      <c r="C8" s="1992" t="s">
        <v>2406</v>
      </c>
      <c r="D8" s="1991">
        <f>结果表!H103</f>
        <v>0</v>
      </c>
      <c r="E8" s="1986"/>
    </row>
    <row r="9" spans="1:5" ht="15.75">
      <c r="A9" s="1986"/>
      <c r="B9" s="3363"/>
      <c r="C9" s="1988" t="s">
        <v>3285</v>
      </c>
      <c r="D9" s="1989" t="str">
        <f>NUMBERSTRING(INT(D8*10000),2)&amp;"元整"</f>
        <v>零元整</v>
      </c>
      <c r="E9" s="1986"/>
    </row>
    <row r="10" spans="1:5" ht="15">
      <c r="A10" s="1986"/>
      <c r="B10" s="1993" t="s">
        <v>2400</v>
      </c>
      <c r="C10" s="1994" t="s">
        <v>2406</v>
      </c>
      <c r="D10" s="1995">
        <f>结果表!H104</f>
        <v>0</v>
      </c>
      <c r="E10" s="1986"/>
    </row>
    <row r="11" spans="1:5" ht="15">
      <c r="A11" s="1986"/>
      <c r="B11" s="1993" t="s">
        <v>2401</v>
      </c>
      <c r="C11" s="1994" t="s">
        <v>2406</v>
      </c>
      <c r="D11" s="1995">
        <f>结果表!H105</f>
        <v>0</v>
      </c>
      <c r="E11" s="1986"/>
    </row>
    <row r="12" spans="1:5" ht="15">
      <c r="A12" s="1986"/>
      <c r="B12" s="1993" t="s">
        <v>2402</v>
      </c>
      <c r="C12" s="1994" t="s">
        <v>2406</v>
      </c>
      <c r="D12" s="1995">
        <f>结果表!H106</f>
        <v>0</v>
      </c>
      <c r="E12" s="1986"/>
    </row>
    <row r="13" spans="1:5" ht="15.75">
      <c r="A13" s="1986"/>
      <c r="B13" s="3354" t="str">
        <f>结果表!E107</f>
        <v>——</v>
      </c>
      <c r="C13" s="1996" t="s">
        <v>2404</v>
      </c>
      <c r="D13" s="1999" t="str">
        <f>结果表!H107</f>
        <v>——</v>
      </c>
      <c r="E13" s="1986"/>
    </row>
    <row r="14" spans="1:5" ht="15.75">
      <c r="A14" s="1986"/>
      <c r="B14" s="3355"/>
      <c r="C14" s="1988" t="s">
        <v>3285</v>
      </c>
      <c r="D14" s="1989" t="e">
        <f>NUMBERSTRING(INT(D13*10000),2)&amp;"元整"</f>
        <v>#VALUE!</v>
      </c>
      <c r="E14" s="1986"/>
    </row>
    <row r="15" spans="1:5" ht="15">
      <c r="A15" s="1986"/>
      <c r="B15" s="3360"/>
      <c r="C15" s="1990" t="s">
        <v>2405</v>
      </c>
      <c r="D15" s="2101" t="e">
        <f>结果表!H108</f>
        <v>#VALUE!</v>
      </c>
      <c r="E15" s="1986"/>
    </row>
    <row r="16" spans="1:5" ht="14.25">
      <c r="A16" s="1986"/>
      <c r="B16" s="3361" t="str">
        <f>结果表!E109</f>
        <v>3.抵押担保权已注销时的房地产抵押价值</v>
      </c>
      <c r="C16" s="1996" t="s">
        <v>2404</v>
      </c>
      <c r="D16" s="2102">
        <f ca="1">结果表!H109</f>
        <v>51847</v>
      </c>
      <c r="E16" s="1986"/>
    </row>
    <row r="17" spans="1:5" ht="15.75">
      <c r="A17" s="1986"/>
      <c r="B17" s="3362"/>
      <c r="C17" s="1988" t="s">
        <v>3285</v>
      </c>
      <c r="D17" s="1989" t="str">
        <f ca="1">NUMBERSTRING(INT(D16*10000),2)&amp;"元整"</f>
        <v>伍亿壹仟捌佰肆拾柒万元整</v>
      </c>
      <c r="E17" s="1986"/>
    </row>
    <row r="18" spans="1:5" ht="15">
      <c r="A18" s="1986"/>
      <c r="B18" s="3363"/>
      <c r="C18" s="1990" t="s">
        <v>2405</v>
      </c>
      <c r="D18" s="2101">
        <f ca="1">结果表!H110</f>
        <v>45575</v>
      </c>
      <c r="E18" s="1986"/>
    </row>
    <row r="19" spans="1:5" ht="15.75">
      <c r="A19" s="1986"/>
      <c r="B19" s="3354" t="str">
        <f>结果表!E111</f>
        <v>——</v>
      </c>
      <c r="C19" s="1996" t="s">
        <v>2404</v>
      </c>
      <c r="D19" s="1991" t="str">
        <f>结果表!H111</f>
        <v>——</v>
      </c>
      <c r="E19" s="1986"/>
    </row>
    <row r="20" spans="1:5" ht="15.75">
      <c r="A20" s="1986"/>
      <c r="B20" s="3355"/>
      <c r="C20" s="1988" t="s">
        <v>3285</v>
      </c>
      <c r="D20" s="1989" t="e">
        <f>NUMBERSTRING(INT(D19*10000),2)&amp;"元整"</f>
        <v>#VALUE!</v>
      </c>
      <c r="E20" s="1986"/>
    </row>
    <row r="21" spans="1:5" ht="15.75" thickBot="1">
      <c r="A21" s="1986"/>
      <c r="B21" s="3356"/>
      <c r="C21" s="2103" t="s">
        <v>2405</v>
      </c>
      <c r="D21" s="2104" t="str">
        <f>结果表!H112</f>
        <v>——</v>
      </c>
      <c r="E21" s="1986"/>
    </row>
    <row r="22" spans="1:5" ht="14.25" thickTop="1">
      <c r="A22" s="1986"/>
      <c r="B22" s="1997" t="s">
        <v>2433</v>
      </c>
      <c r="C22" s="1986"/>
      <c r="D22" s="1986"/>
      <c r="E22" s="1986"/>
    </row>
    <row r="23" spans="1:5">
      <c r="A23" s="1986"/>
      <c r="B23" s="1986"/>
      <c r="C23" s="1986"/>
      <c r="D23" s="1986"/>
      <c r="E23" s="1986"/>
    </row>
    <row r="24" spans="1:5" ht="18.75">
      <c r="A24" s="2017"/>
      <c r="B24" s="2018" t="s">
        <v>2413</v>
      </c>
      <c r="C24" s="2017"/>
      <c r="D24" s="2017"/>
      <c r="E24" s="2017"/>
    </row>
    <row r="25" spans="1:5">
      <c r="A25" s="2017"/>
      <c r="B25" s="2017"/>
      <c r="C25" s="2017"/>
      <c r="D25" s="2017"/>
      <c r="E25" s="2017"/>
    </row>
    <row r="26" spans="1:5">
      <c r="A26" s="2017"/>
      <c r="B26" s="2017"/>
      <c r="C26" s="2017"/>
      <c r="D26" s="2017"/>
      <c r="E26" s="2017"/>
    </row>
    <row r="27" spans="1:5">
      <c r="A27" s="2017"/>
      <c r="B27" s="2017"/>
      <c r="C27" s="2017"/>
      <c r="D27" s="2017"/>
      <c r="E27" s="2017"/>
    </row>
    <row r="28" spans="1:5">
      <c r="A28" s="2017"/>
      <c r="B28" s="2017"/>
      <c r="C28" s="2017"/>
      <c r="D28" s="2017"/>
      <c r="E28" s="2017"/>
    </row>
    <row r="29" spans="1:5">
      <c r="A29" s="2017"/>
      <c r="B29" s="2017"/>
      <c r="C29" s="2017"/>
      <c r="D29" s="2017"/>
      <c r="E29" s="2017"/>
    </row>
    <row r="30" spans="1:5">
      <c r="A30" s="2017"/>
      <c r="B30" s="2017"/>
      <c r="C30" s="2017"/>
      <c r="D30" s="2017"/>
      <c r="E30" s="2017"/>
    </row>
    <row r="31" spans="1:5">
      <c r="A31" s="2017"/>
      <c r="B31" s="2017"/>
      <c r="C31" s="2017"/>
      <c r="D31" s="2017"/>
      <c r="E31" s="2017"/>
    </row>
    <row r="32" spans="1:5">
      <c r="A32" s="2017"/>
      <c r="B32" s="2017"/>
      <c r="C32" s="2017"/>
      <c r="D32" s="2017"/>
      <c r="E32" s="2017"/>
    </row>
    <row r="33" spans="1:5">
      <c r="A33" s="2017"/>
      <c r="B33" s="2017"/>
      <c r="C33" s="2017"/>
      <c r="D33" s="2017"/>
      <c r="E33" s="2017"/>
    </row>
    <row r="34" spans="1:5">
      <c r="A34" s="2017"/>
      <c r="B34" s="2017"/>
      <c r="C34" s="2017"/>
      <c r="D34" s="2017"/>
      <c r="E34" s="2017"/>
    </row>
    <row r="35" spans="1:5">
      <c r="A35" s="2017"/>
      <c r="B35" s="2017"/>
      <c r="C35" s="2017"/>
      <c r="D35" s="2017"/>
      <c r="E35" s="2017"/>
    </row>
    <row r="36" spans="1:5">
      <c r="A36" s="2017"/>
      <c r="B36" s="2017"/>
      <c r="C36" s="2017"/>
      <c r="D36" s="2017"/>
      <c r="E36" s="2017"/>
    </row>
    <row r="37" spans="1:5">
      <c r="A37" s="2017"/>
      <c r="B37" s="2017"/>
      <c r="C37" s="2017"/>
      <c r="D37" s="2017"/>
      <c r="E37" s="2017"/>
    </row>
    <row r="38" spans="1:5">
      <c r="A38" s="2017"/>
      <c r="B38" s="2017"/>
      <c r="C38" s="2017"/>
      <c r="D38" s="2017"/>
      <c r="E38" s="2017"/>
    </row>
    <row r="39" spans="1:5">
      <c r="A39" s="2017"/>
      <c r="B39" s="2017"/>
      <c r="C39" s="2017"/>
      <c r="D39" s="2017"/>
      <c r="E39" s="2017"/>
    </row>
    <row r="40" spans="1:5">
      <c r="A40" s="2017"/>
      <c r="B40" s="2017"/>
      <c r="C40" s="2017"/>
      <c r="D40" s="2017"/>
      <c r="E40" s="2017"/>
    </row>
    <row r="41" spans="1:5">
      <c r="A41" s="2017"/>
      <c r="B41" s="2017"/>
      <c r="C41" s="2017"/>
      <c r="D41" s="2017"/>
      <c r="E41" s="2017"/>
    </row>
    <row r="42" spans="1:5">
      <c r="A42" s="2017"/>
      <c r="B42" s="2017"/>
      <c r="C42" s="2017"/>
      <c r="D42" s="2017"/>
      <c r="E42" s="20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45"/>
    <col min="2" max="16384" width="9" style="1620"/>
  </cols>
  <sheetData>
    <row r="1" spans="1:14" ht="14.25">
      <c r="A1" s="1618" t="s">
        <v>2125</v>
      </c>
      <c r="B1" s="1619"/>
      <c r="C1" s="1619"/>
      <c r="D1" s="1619"/>
      <c r="E1" s="1619"/>
      <c r="F1" s="1619"/>
      <c r="G1" s="1619"/>
      <c r="H1" s="1619"/>
      <c r="I1" s="1619"/>
      <c r="J1" s="1619"/>
      <c r="K1" s="1619"/>
      <c r="L1" s="1619"/>
      <c r="M1" s="1619"/>
      <c r="N1" s="1619"/>
    </row>
    <row r="2" spans="1:14">
      <c r="A2" s="1621" t="s">
        <v>2122</v>
      </c>
      <c r="B2" s="1622" t="s">
        <v>1527</v>
      </c>
      <c r="C2" s="1622" t="s">
        <v>1528</v>
      </c>
      <c r="D2" s="1622" t="s">
        <v>1529</v>
      </c>
      <c r="E2" s="1622" t="s">
        <v>1530</v>
      </c>
      <c r="F2" s="1622" t="s">
        <v>1531</v>
      </c>
      <c r="G2" s="1622" t="s">
        <v>1532</v>
      </c>
      <c r="H2" s="1623" t="s">
        <v>1533</v>
      </c>
      <c r="I2" s="1623" t="s">
        <v>1534</v>
      </c>
      <c r="J2" s="1624" t="s">
        <v>1535</v>
      </c>
      <c r="K2" s="1624" t="s">
        <v>1536</v>
      </c>
      <c r="L2" s="1624" t="s">
        <v>1537</v>
      </c>
      <c r="M2" s="1624" t="s">
        <v>1538</v>
      </c>
    </row>
    <row r="3" spans="1:14">
      <c r="A3" s="1621">
        <v>0.1</v>
      </c>
      <c r="B3" s="1630">
        <v>15.052</v>
      </c>
      <c r="C3" s="1630">
        <v>15.052</v>
      </c>
      <c r="D3" s="1630">
        <v>14.263</v>
      </c>
      <c r="E3" s="1630">
        <v>14.263</v>
      </c>
      <c r="F3" s="1630">
        <v>14.263</v>
      </c>
      <c r="G3" s="1630">
        <v>14.263</v>
      </c>
      <c r="H3" s="1630">
        <v>14.263</v>
      </c>
      <c r="I3" s="1630">
        <v>14.097</v>
      </c>
      <c r="J3" s="1630">
        <v>14.097</v>
      </c>
      <c r="K3" s="1630">
        <v>14.097</v>
      </c>
      <c r="L3" s="1630">
        <v>14.097</v>
      </c>
      <c r="M3" s="1630">
        <v>14.097</v>
      </c>
      <c r="N3" s="1631"/>
    </row>
    <row r="4" spans="1:14">
      <c r="A4" s="1621">
        <v>0.2</v>
      </c>
      <c r="B4" s="1630">
        <v>7.5259999999999998</v>
      </c>
      <c r="C4" s="1630">
        <v>7.5259999999999998</v>
      </c>
      <c r="D4" s="1630">
        <v>7.1315</v>
      </c>
      <c r="E4" s="1630">
        <v>7.1315</v>
      </c>
      <c r="F4" s="1630">
        <v>7.1315</v>
      </c>
      <c r="G4" s="1630">
        <v>7.1315</v>
      </c>
      <c r="H4" s="1630">
        <v>7.1315</v>
      </c>
      <c r="I4" s="1630">
        <v>7.0484999999999998</v>
      </c>
      <c r="J4" s="1630">
        <v>7.0484999999999998</v>
      </c>
      <c r="K4" s="1630">
        <v>7.0484999999999998</v>
      </c>
      <c r="L4" s="1630">
        <v>7.0484999999999998</v>
      </c>
      <c r="M4" s="1630">
        <v>7.0484999999999998</v>
      </c>
    </row>
    <row r="5" spans="1:14">
      <c r="A5" s="1621">
        <v>0.3</v>
      </c>
      <c r="B5" s="1630">
        <v>5.0172999999999996</v>
      </c>
      <c r="C5" s="1630">
        <v>5.0172999999999996</v>
      </c>
      <c r="D5" s="1630">
        <v>4.7542999999999997</v>
      </c>
      <c r="E5" s="1630">
        <v>4.7542999999999997</v>
      </c>
      <c r="F5" s="1630">
        <v>4.7542999999999997</v>
      </c>
      <c r="G5" s="1630">
        <v>4.7542999999999997</v>
      </c>
      <c r="H5" s="1630">
        <v>4.7542999999999997</v>
      </c>
      <c r="I5" s="1630">
        <v>4.6989999999999998</v>
      </c>
      <c r="J5" s="1630">
        <v>4.6989999999999998</v>
      </c>
      <c r="K5" s="1630">
        <v>4.6989999999999998</v>
      </c>
      <c r="L5" s="1630">
        <v>4.6989999999999998</v>
      </c>
      <c r="M5" s="1630">
        <v>4.6989999999999998</v>
      </c>
    </row>
    <row r="6" spans="1:14">
      <c r="A6" s="1621">
        <v>0.4</v>
      </c>
      <c r="B6" s="1630">
        <v>3.7629999999999999</v>
      </c>
      <c r="C6" s="1630">
        <v>3.7629999999999999</v>
      </c>
      <c r="D6" s="1630">
        <v>3.5657999999999999</v>
      </c>
      <c r="E6" s="1630">
        <v>3.5657999999999999</v>
      </c>
      <c r="F6" s="1630">
        <v>3.5657999999999999</v>
      </c>
      <c r="G6" s="1630">
        <v>3.5657999999999999</v>
      </c>
      <c r="H6" s="1630">
        <v>3.5657999999999999</v>
      </c>
      <c r="I6" s="1630">
        <v>3.5243000000000002</v>
      </c>
      <c r="J6" s="1630">
        <v>3.5243000000000002</v>
      </c>
      <c r="K6" s="1630">
        <v>3.5243000000000002</v>
      </c>
      <c r="L6" s="1630">
        <v>3.5243000000000002</v>
      </c>
      <c r="M6" s="1630">
        <v>3.5243000000000002</v>
      </c>
    </row>
    <row r="7" spans="1:14">
      <c r="A7" s="1621">
        <v>0.5</v>
      </c>
      <c r="B7" s="1630">
        <v>3.0104000000000002</v>
      </c>
      <c r="C7" s="1630">
        <v>3.0104000000000002</v>
      </c>
      <c r="D7" s="1630">
        <v>2.8525999999999998</v>
      </c>
      <c r="E7" s="1630">
        <v>2.8525999999999998</v>
      </c>
      <c r="F7" s="1630">
        <v>2.8525999999999998</v>
      </c>
      <c r="G7" s="1630">
        <v>2.8525999999999998</v>
      </c>
      <c r="H7" s="1630">
        <v>2.8525999999999998</v>
      </c>
      <c r="I7" s="1630">
        <v>2.8193999999999999</v>
      </c>
      <c r="J7" s="1630">
        <v>2.8193999999999999</v>
      </c>
      <c r="K7" s="1630">
        <v>2.8193999999999999</v>
      </c>
      <c r="L7" s="1630">
        <v>2.8193999999999999</v>
      </c>
      <c r="M7" s="1630">
        <v>2.8193999999999999</v>
      </c>
    </row>
    <row r="8" spans="1:14">
      <c r="A8" s="1621">
        <v>0.6</v>
      </c>
      <c r="B8" s="1630">
        <v>2.5087000000000002</v>
      </c>
      <c r="C8" s="1630">
        <v>2.5087000000000002</v>
      </c>
      <c r="D8" s="1630">
        <v>2.3772000000000002</v>
      </c>
      <c r="E8" s="1630">
        <v>2.3772000000000002</v>
      </c>
      <c r="F8" s="1630">
        <v>2.3772000000000002</v>
      </c>
      <c r="G8" s="1630">
        <v>2.3772000000000002</v>
      </c>
      <c r="H8" s="1630">
        <v>2.3772000000000002</v>
      </c>
      <c r="I8" s="1630">
        <v>2.3494999999999999</v>
      </c>
      <c r="J8" s="1630">
        <v>2.3494999999999999</v>
      </c>
      <c r="K8" s="1630">
        <v>2.3494999999999999</v>
      </c>
      <c r="L8" s="1630">
        <v>2.3494999999999999</v>
      </c>
      <c r="M8" s="1630">
        <v>2.3494999999999999</v>
      </c>
    </row>
    <row r="9" spans="1:14">
      <c r="A9" s="1621">
        <v>0.7</v>
      </c>
      <c r="B9" s="1630">
        <v>2.1503000000000001</v>
      </c>
      <c r="C9" s="1630">
        <v>2.1503000000000001</v>
      </c>
      <c r="D9" s="1630">
        <v>2.0375999999999999</v>
      </c>
      <c r="E9" s="1630">
        <v>2.0375999999999999</v>
      </c>
      <c r="F9" s="1630">
        <v>2.0375999999999999</v>
      </c>
      <c r="G9" s="1630">
        <v>2.0375999999999999</v>
      </c>
      <c r="H9" s="1630">
        <v>2.0375999999999999</v>
      </c>
      <c r="I9" s="1630">
        <v>2.0139</v>
      </c>
      <c r="J9" s="1630">
        <v>2.0139</v>
      </c>
      <c r="K9" s="1630">
        <v>2.0139</v>
      </c>
      <c r="L9" s="1630">
        <v>2.0139</v>
      </c>
      <c r="M9" s="1630">
        <v>2.0139</v>
      </c>
    </row>
    <row r="10" spans="1:14">
      <c r="A10" s="1621">
        <v>0.8</v>
      </c>
      <c r="B10" s="1630">
        <v>1.8815</v>
      </c>
      <c r="C10" s="1630">
        <v>1.8815</v>
      </c>
      <c r="D10" s="1630">
        <v>1.7828999999999999</v>
      </c>
      <c r="E10" s="1630">
        <v>1.7828999999999999</v>
      </c>
      <c r="F10" s="1630">
        <v>1.7828999999999999</v>
      </c>
      <c r="G10" s="1630">
        <v>1.7828999999999999</v>
      </c>
      <c r="H10" s="1630">
        <v>1.7828999999999999</v>
      </c>
      <c r="I10" s="1630">
        <v>1.7621</v>
      </c>
      <c r="J10" s="1630">
        <v>1.7621</v>
      </c>
      <c r="K10" s="1630">
        <v>1.7621</v>
      </c>
      <c r="L10" s="1630">
        <v>1.7621</v>
      </c>
      <c r="M10" s="1630">
        <v>1.7621</v>
      </c>
    </row>
    <row r="11" spans="1:14">
      <c r="A11" s="1621">
        <v>0.9</v>
      </c>
      <c r="B11" s="1630">
        <v>1.6724000000000001</v>
      </c>
      <c r="C11" s="1630">
        <v>1.6724000000000001</v>
      </c>
      <c r="D11" s="1630">
        <v>1.5848</v>
      </c>
      <c r="E11" s="1630">
        <v>1.5848</v>
      </c>
      <c r="F11" s="1630">
        <v>1.5848</v>
      </c>
      <c r="G11" s="1630">
        <v>1.5848</v>
      </c>
      <c r="H11" s="1630">
        <v>1.5848</v>
      </c>
      <c r="I11" s="1630">
        <v>1.5663</v>
      </c>
      <c r="J11" s="1630">
        <v>1.5663</v>
      </c>
      <c r="K11" s="1630">
        <v>1.5663</v>
      </c>
      <c r="L11" s="1630">
        <v>1.5663</v>
      </c>
      <c r="M11" s="1630">
        <v>1.5663</v>
      </c>
    </row>
    <row r="12" spans="1:14">
      <c r="A12" s="1621">
        <v>1</v>
      </c>
      <c r="B12" s="1630">
        <v>1.5052000000000001</v>
      </c>
      <c r="C12" s="1630">
        <v>1.5052000000000001</v>
      </c>
      <c r="D12" s="1630">
        <v>1.4262999999999999</v>
      </c>
      <c r="E12" s="1630">
        <v>1.4262999999999999</v>
      </c>
      <c r="F12" s="1630">
        <v>1.4262999999999999</v>
      </c>
      <c r="G12" s="1630">
        <v>1.4262999999999999</v>
      </c>
      <c r="H12" s="1630">
        <v>1.4262999999999999</v>
      </c>
      <c r="I12" s="1630">
        <v>1.4097</v>
      </c>
      <c r="J12" s="1630">
        <v>1.4097</v>
      </c>
      <c r="K12" s="1630">
        <v>1.4097</v>
      </c>
      <c r="L12" s="1630">
        <v>1.4097</v>
      </c>
      <c r="M12" s="1630">
        <v>1.4097</v>
      </c>
    </row>
    <row r="13" spans="1:14">
      <c r="A13" s="1621">
        <v>1.1000000000000001</v>
      </c>
      <c r="B13" s="1630">
        <v>1.4509000000000001</v>
      </c>
      <c r="C13" s="1630">
        <v>1.4509000000000001</v>
      </c>
      <c r="D13" s="1630">
        <v>1.3697999999999999</v>
      </c>
      <c r="E13" s="1630">
        <v>1.3697999999999999</v>
      </c>
      <c r="F13" s="1630">
        <v>1.3697999999999999</v>
      </c>
      <c r="G13" s="1630">
        <v>1.3697999999999999</v>
      </c>
      <c r="H13" s="1630">
        <v>1.3697999999999999</v>
      </c>
      <c r="I13" s="1630">
        <v>1.343</v>
      </c>
      <c r="J13" s="1630">
        <v>1.343</v>
      </c>
      <c r="K13" s="1630">
        <v>1.343</v>
      </c>
      <c r="L13" s="1630">
        <v>1.343</v>
      </c>
      <c r="M13" s="1630">
        <v>1.343</v>
      </c>
    </row>
    <row r="14" spans="1:14">
      <c r="A14" s="1621">
        <v>1.2</v>
      </c>
      <c r="B14" s="1630">
        <v>1.4035</v>
      </c>
      <c r="C14" s="1630">
        <v>1.4035</v>
      </c>
      <c r="D14" s="1630">
        <v>1.3205</v>
      </c>
      <c r="E14" s="1630">
        <v>1.3205</v>
      </c>
      <c r="F14" s="1630">
        <v>1.3205</v>
      </c>
      <c r="G14" s="1630">
        <v>1.3205</v>
      </c>
      <c r="H14" s="1630">
        <v>1.3205</v>
      </c>
      <c r="I14" s="1630">
        <v>1.2845</v>
      </c>
      <c r="J14" s="1630">
        <v>1.2845</v>
      </c>
      <c r="K14" s="1630">
        <v>1.2845</v>
      </c>
      <c r="L14" s="1630">
        <v>1.2845</v>
      </c>
      <c r="M14" s="1630">
        <v>1.2845</v>
      </c>
    </row>
    <row r="15" spans="1:14">
      <c r="A15" s="1621">
        <v>1.3</v>
      </c>
      <c r="B15" s="1630">
        <v>1.3622000000000001</v>
      </c>
      <c r="C15" s="1630">
        <v>1.3622000000000001</v>
      </c>
      <c r="D15" s="1630">
        <v>1.2775000000000001</v>
      </c>
      <c r="E15" s="1630">
        <v>1.2775000000000001</v>
      </c>
      <c r="F15" s="1630">
        <v>1.2775000000000001</v>
      </c>
      <c r="G15" s="1630">
        <v>1.2775000000000001</v>
      </c>
      <c r="H15" s="1630">
        <v>1.2775000000000001</v>
      </c>
      <c r="I15" s="1630">
        <v>1.2332000000000001</v>
      </c>
      <c r="J15" s="1630">
        <v>1.2332000000000001</v>
      </c>
      <c r="K15" s="1630">
        <v>1.2332000000000001</v>
      </c>
      <c r="L15" s="1630">
        <v>1.2332000000000001</v>
      </c>
      <c r="M15" s="1630">
        <v>1.2332000000000001</v>
      </c>
    </row>
    <row r="16" spans="1:14">
      <c r="A16" s="1621">
        <v>1.4</v>
      </c>
      <c r="B16" s="1630">
        <v>1.3262</v>
      </c>
      <c r="C16" s="1630">
        <v>1.3262</v>
      </c>
      <c r="D16" s="1630">
        <v>1.2402</v>
      </c>
      <c r="E16" s="1630">
        <v>1.2402</v>
      </c>
      <c r="F16" s="1630">
        <v>1.2402</v>
      </c>
      <c r="G16" s="1630">
        <v>1.2402</v>
      </c>
      <c r="H16" s="1630">
        <v>1.2402</v>
      </c>
      <c r="I16" s="1630">
        <v>1.1881999999999999</v>
      </c>
      <c r="J16" s="1630">
        <v>1.1881999999999999</v>
      </c>
      <c r="K16" s="1630">
        <v>1.1881999999999999</v>
      </c>
      <c r="L16" s="1630">
        <v>1.1881999999999999</v>
      </c>
      <c r="M16" s="1630">
        <v>1.1881999999999999</v>
      </c>
      <c r="N16" s="1631"/>
    </row>
    <row r="17" spans="1:14">
      <c r="A17" s="1621">
        <v>1.5</v>
      </c>
      <c r="B17" s="1630">
        <v>1.2948</v>
      </c>
      <c r="C17" s="1630">
        <v>1.2948</v>
      </c>
      <c r="D17" s="1630">
        <v>1.2075</v>
      </c>
      <c r="E17" s="1630">
        <v>1.2075</v>
      </c>
      <c r="F17" s="1630">
        <v>1.2075</v>
      </c>
      <c r="G17" s="1630">
        <v>1.2075</v>
      </c>
      <c r="H17" s="1630">
        <v>1.2075</v>
      </c>
      <c r="I17" s="1630">
        <v>1.1486000000000001</v>
      </c>
      <c r="J17" s="1630">
        <v>1.1486000000000001</v>
      </c>
      <c r="K17" s="1630">
        <v>1.1486000000000001</v>
      </c>
      <c r="L17" s="1630">
        <v>1.1486000000000001</v>
      </c>
      <c r="M17" s="1630">
        <v>1.1486000000000001</v>
      </c>
      <c r="N17" s="1631"/>
    </row>
    <row r="18" spans="1:14">
      <c r="A18" s="1621">
        <v>1.6</v>
      </c>
      <c r="B18" s="1630">
        <v>1.2673000000000001</v>
      </c>
      <c r="C18" s="1630">
        <v>1.2673000000000001</v>
      </c>
      <c r="D18" s="1630">
        <v>1.1789000000000001</v>
      </c>
      <c r="E18" s="1630">
        <v>1.1789000000000001</v>
      </c>
      <c r="F18" s="1630">
        <v>1.1789000000000001</v>
      </c>
      <c r="G18" s="1630">
        <v>1.1789000000000001</v>
      </c>
      <c r="H18" s="1630">
        <v>1.1789000000000001</v>
      </c>
      <c r="I18" s="1630">
        <v>1.1134999999999999</v>
      </c>
      <c r="J18" s="1630">
        <v>1.1134999999999999</v>
      </c>
      <c r="K18" s="1630">
        <v>1.1134999999999999</v>
      </c>
      <c r="L18" s="1630">
        <v>1.1134999999999999</v>
      </c>
      <c r="M18" s="1630">
        <v>1.1134999999999999</v>
      </c>
    </row>
    <row r="19" spans="1:14">
      <c r="A19" s="1621">
        <v>1.7</v>
      </c>
      <c r="B19" s="1630">
        <v>1.2428999999999999</v>
      </c>
      <c r="C19" s="1630">
        <v>1.2428999999999999</v>
      </c>
      <c r="D19" s="1630">
        <v>1.1534</v>
      </c>
      <c r="E19" s="1630">
        <v>1.1534</v>
      </c>
      <c r="F19" s="1630">
        <v>1.1534</v>
      </c>
      <c r="G19" s="1630">
        <v>1.1534</v>
      </c>
      <c r="H19" s="1630">
        <v>1.1534</v>
      </c>
      <c r="I19" s="1630">
        <v>1.0820000000000001</v>
      </c>
      <c r="J19" s="1630">
        <v>1.0820000000000001</v>
      </c>
      <c r="K19" s="1630">
        <v>1.0820000000000001</v>
      </c>
      <c r="L19" s="1630">
        <v>1.0820000000000001</v>
      </c>
      <c r="M19" s="1630">
        <v>1.0820000000000001</v>
      </c>
    </row>
    <row r="20" spans="1:14">
      <c r="A20" s="1621">
        <v>1.8</v>
      </c>
      <c r="B20" s="1630">
        <v>1.2206999999999999</v>
      </c>
      <c r="C20" s="1630">
        <v>1.2206999999999999</v>
      </c>
      <c r="D20" s="1630">
        <v>1.1304000000000001</v>
      </c>
      <c r="E20" s="1630">
        <v>1.1304000000000001</v>
      </c>
      <c r="F20" s="1630">
        <v>1.1304000000000001</v>
      </c>
      <c r="G20" s="1630">
        <v>1.1304000000000001</v>
      </c>
      <c r="H20" s="1630">
        <v>1.1304000000000001</v>
      </c>
      <c r="I20" s="1630">
        <v>1.0531999999999999</v>
      </c>
      <c r="J20" s="1630">
        <v>1.0531999999999999</v>
      </c>
      <c r="K20" s="1630">
        <v>1.0531999999999999</v>
      </c>
      <c r="L20" s="1630">
        <v>1.0531999999999999</v>
      </c>
      <c r="M20" s="1630">
        <v>1.0531999999999999</v>
      </c>
    </row>
    <row r="21" spans="1:14">
      <c r="A21" s="1621">
        <v>1.9</v>
      </c>
      <c r="B21" s="1630">
        <v>1.2</v>
      </c>
      <c r="C21" s="1630">
        <v>1.2</v>
      </c>
      <c r="D21" s="1630">
        <v>1.1089</v>
      </c>
      <c r="E21" s="1630">
        <v>1.1089</v>
      </c>
      <c r="F21" s="1630">
        <v>1.1089</v>
      </c>
      <c r="G21" s="1630">
        <v>1.1089</v>
      </c>
      <c r="H21" s="1630">
        <v>1.1089</v>
      </c>
      <c r="I21" s="1630">
        <v>1.0261</v>
      </c>
      <c r="J21" s="1630">
        <v>1.0261</v>
      </c>
      <c r="K21" s="1630">
        <v>1.0261</v>
      </c>
      <c r="L21" s="1630">
        <v>1.0261</v>
      </c>
      <c r="M21" s="1630">
        <v>1.0261</v>
      </c>
    </row>
    <row r="22" spans="1:14">
      <c r="A22" s="1621">
        <v>2</v>
      </c>
      <c r="B22" s="1630">
        <v>1.1800999999999999</v>
      </c>
      <c r="C22" s="1630">
        <v>1.1800999999999999</v>
      </c>
      <c r="D22" s="1630">
        <v>1.0883</v>
      </c>
      <c r="E22" s="1630">
        <v>1.0883</v>
      </c>
      <c r="F22" s="1630">
        <v>1.0883</v>
      </c>
      <c r="G22" s="1630">
        <v>1.0883</v>
      </c>
      <c r="H22" s="1630">
        <v>1.0883</v>
      </c>
      <c r="I22" s="1630">
        <v>1</v>
      </c>
      <c r="J22" s="1630">
        <v>1</v>
      </c>
      <c r="K22" s="1630">
        <v>1</v>
      </c>
      <c r="L22" s="1630">
        <v>1</v>
      </c>
      <c r="M22" s="1630">
        <v>1</v>
      </c>
    </row>
    <row r="23" spans="1:14">
      <c r="A23" s="1644">
        <v>2.1</v>
      </c>
      <c r="B23" s="1630">
        <v>1.1616</v>
      </c>
      <c r="C23" s="1630">
        <v>1.1616</v>
      </c>
      <c r="D23" s="1630">
        <v>1.0685</v>
      </c>
      <c r="E23" s="1630">
        <v>1.0685</v>
      </c>
      <c r="F23" s="1630">
        <v>1.0685</v>
      </c>
      <c r="G23" s="1630">
        <v>1.0685</v>
      </c>
      <c r="H23" s="1630">
        <v>1.0685</v>
      </c>
      <c r="I23" s="1630">
        <v>0.97550000000000003</v>
      </c>
      <c r="J23" s="1630">
        <v>0.97550000000000003</v>
      </c>
      <c r="K23" s="1630">
        <v>0.97550000000000003</v>
      </c>
      <c r="L23" s="1630">
        <v>0.97550000000000003</v>
      </c>
      <c r="M23" s="1630">
        <v>0.97550000000000003</v>
      </c>
    </row>
    <row r="24" spans="1:14">
      <c r="A24" s="1644">
        <v>2.2000000000000002</v>
      </c>
      <c r="B24" s="1630">
        <v>1.1440999999999999</v>
      </c>
      <c r="C24" s="1630">
        <v>1.1440999999999999</v>
      </c>
      <c r="D24" s="1630">
        <v>1.0497000000000001</v>
      </c>
      <c r="E24" s="1630">
        <v>1.0497000000000001</v>
      </c>
      <c r="F24" s="1630">
        <v>1.0497000000000001</v>
      </c>
      <c r="G24" s="1630">
        <v>1.0497000000000001</v>
      </c>
      <c r="H24" s="1630">
        <v>1.0497000000000001</v>
      </c>
      <c r="I24" s="1630">
        <v>0.95230000000000004</v>
      </c>
      <c r="J24" s="1630">
        <v>0.95230000000000004</v>
      </c>
      <c r="K24" s="1630">
        <v>0.95230000000000004</v>
      </c>
      <c r="L24" s="1630">
        <v>0.95230000000000004</v>
      </c>
      <c r="M24" s="1630">
        <v>0.95230000000000004</v>
      </c>
    </row>
    <row r="25" spans="1:14">
      <c r="A25" s="1644">
        <v>2.2999999999999998</v>
      </c>
      <c r="B25" s="1630">
        <v>1.1275999999999999</v>
      </c>
      <c r="C25" s="1630">
        <v>1.1275999999999999</v>
      </c>
      <c r="D25" s="1630">
        <v>1.032</v>
      </c>
      <c r="E25" s="1630">
        <v>1.032</v>
      </c>
      <c r="F25" s="1630">
        <v>1.032</v>
      </c>
      <c r="G25" s="1630">
        <v>1.032</v>
      </c>
      <c r="H25" s="1630">
        <v>1.032</v>
      </c>
      <c r="I25" s="1630">
        <v>0.9304</v>
      </c>
      <c r="J25" s="1630">
        <v>0.9304</v>
      </c>
      <c r="K25" s="1630">
        <v>0.9304</v>
      </c>
      <c r="L25" s="1630">
        <v>0.9304</v>
      </c>
      <c r="M25" s="1630">
        <v>0.9304</v>
      </c>
    </row>
    <row r="26" spans="1:14">
      <c r="A26" s="1644">
        <v>2.4</v>
      </c>
      <c r="B26" s="1630">
        <v>1.1121000000000001</v>
      </c>
      <c r="C26" s="1630">
        <v>1.1121000000000001</v>
      </c>
      <c r="D26" s="1630">
        <v>1.0155000000000001</v>
      </c>
      <c r="E26" s="1630">
        <v>1.0155000000000001</v>
      </c>
      <c r="F26" s="1630">
        <v>1.0155000000000001</v>
      </c>
      <c r="G26" s="1630">
        <v>1.0155000000000001</v>
      </c>
      <c r="H26" s="1630">
        <v>1.0155000000000001</v>
      </c>
      <c r="I26" s="1630">
        <v>0.91</v>
      </c>
      <c r="J26" s="1630">
        <v>0.91</v>
      </c>
      <c r="K26" s="1630">
        <v>0.91</v>
      </c>
      <c r="L26" s="1630">
        <v>0.91</v>
      </c>
      <c r="M26" s="1630">
        <v>0.91</v>
      </c>
    </row>
    <row r="27" spans="1:14">
      <c r="A27" s="1644">
        <v>2.5</v>
      </c>
      <c r="B27" s="1630">
        <v>1.0975999999999999</v>
      </c>
      <c r="C27" s="1630">
        <v>1.0975999999999999</v>
      </c>
      <c r="D27" s="1630">
        <v>1</v>
      </c>
      <c r="E27" s="1630">
        <v>1</v>
      </c>
      <c r="F27" s="1630">
        <v>1</v>
      </c>
      <c r="G27" s="1630">
        <v>1</v>
      </c>
      <c r="H27" s="1630">
        <v>1</v>
      </c>
      <c r="I27" s="1630">
        <v>0.89080000000000004</v>
      </c>
      <c r="J27" s="1630">
        <v>0.89080000000000004</v>
      </c>
      <c r="K27" s="1630">
        <v>0.89080000000000004</v>
      </c>
      <c r="L27" s="1630">
        <v>0.89080000000000004</v>
      </c>
      <c r="M27" s="1630">
        <v>0.89080000000000004</v>
      </c>
    </row>
    <row r="28" spans="1:14">
      <c r="A28" s="1644">
        <v>2.6</v>
      </c>
      <c r="B28" s="1630">
        <v>1.0841000000000001</v>
      </c>
      <c r="C28" s="1630">
        <v>1.0841000000000001</v>
      </c>
      <c r="D28" s="1630">
        <v>0.98619999999999997</v>
      </c>
      <c r="E28" s="1630">
        <v>0.98619999999999997</v>
      </c>
      <c r="F28" s="1630">
        <v>0.98619999999999997</v>
      </c>
      <c r="G28" s="1630">
        <v>0.98619999999999997</v>
      </c>
      <c r="H28" s="1630">
        <v>0.98619999999999997</v>
      </c>
      <c r="I28" s="1630">
        <v>0.873</v>
      </c>
      <c r="J28" s="1630">
        <v>0.873</v>
      </c>
      <c r="K28" s="1630">
        <v>0.873</v>
      </c>
      <c r="L28" s="1630">
        <v>0.873</v>
      </c>
      <c r="M28" s="1630">
        <v>0.873</v>
      </c>
    </row>
    <row r="29" spans="1:14">
      <c r="A29" s="1644">
        <v>2.7</v>
      </c>
      <c r="B29" s="1630">
        <v>1.0716000000000001</v>
      </c>
      <c r="C29" s="1630">
        <v>1.0716000000000001</v>
      </c>
      <c r="D29" s="1630">
        <v>0.97330000000000005</v>
      </c>
      <c r="E29" s="1630">
        <v>0.97330000000000005</v>
      </c>
      <c r="F29" s="1630">
        <v>0.97330000000000005</v>
      </c>
      <c r="G29" s="1630">
        <v>0.97330000000000005</v>
      </c>
      <c r="H29" s="1630">
        <v>0.97330000000000005</v>
      </c>
      <c r="I29" s="1630">
        <v>0.85670000000000002</v>
      </c>
      <c r="J29" s="1630">
        <v>0.85670000000000002</v>
      </c>
      <c r="K29" s="1630">
        <v>0.85670000000000002</v>
      </c>
      <c r="L29" s="1630">
        <v>0.85670000000000002</v>
      </c>
      <c r="M29" s="1630">
        <v>0.85670000000000002</v>
      </c>
    </row>
    <row r="30" spans="1:14">
      <c r="A30" s="1644">
        <v>2.8</v>
      </c>
      <c r="B30" s="1630">
        <v>1.0602</v>
      </c>
      <c r="C30" s="1630">
        <v>1.0602</v>
      </c>
      <c r="D30" s="1630">
        <v>0.96160000000000001</v>
      </c>
      <c r="E30" s="1630">
        <v>0.96160000000000001</v>
      </c>
      <c r="F30" s="1630">
        <v>0.96160000000000001</v>
      </c>
      <c r="G30" s="1630">
        <v>0.96160000000000001</v>
      </c>
      <c r="H30" s="1630">
        <v>0.96160000000000001</v>
      </c>
      <c r="I30" s="1630">
        <v>0.8417</v>
      </c>
      <c r="J30" s="1630">
        <v>0.8417</v>
      </c>
      <c r="K30" s="1630">
        <v>0.8417</v>
      </c>
      <c r="L30" s="1630">
        <v>0.8417</v>
      </c>
      <c r="M30" s="1630">
        <v>0.8417</v>
      </c>
    </row>
    <row r="31" spans="1:14">
      <c r="A31" s="1644">
        <v>2.9</v>
      </c>
      <c r="B31" s="1630">
        <v>1.0497000000000001</v>
      </c>
      <c r="C31" s="1630">
        <v>1.0497000000000001</v>
      </c>
      <c r="D31" s="1630">
        <v>0.95089999999999997</v>
      </c>
      <c r="E31" s="1630">
        <v>0.95089999999999997</v>
      </c>
      <c r="F31" s="1630">
        <v>0.95089999999999997</v>
      </c>
      <c r="G31" s="1630">
        <v>0.95089999999999997</v>
      </c>
      <c r="H31" s="1630">
        <v>0.95089999999999997</v>
      </c>
      <c r="I31" s="1630">
        <v>0.82809999999999995</v>
      </c>
      <c r="J31" s="1630">
        <v>0.82809999999999995</v>
      </c>
      <c r="K31" s="1630">
        <v>0.82809999999999995</v>
      </c>
      <c r="L31" s="1630">
        <v>0.82809999999999995</v>
      </c>
      <c r="M31" s="1630">
        <v>0.82809999999999995</v>
      </c>
    </row>
    <row r="32" spans="1:14">
      <c r="A32" s="1644">
        <v>3</v>
      </c>
      <c r="B32" s="1630">
        <v>1.0401</v>
      </c>
      <c r="C32" s="1630">
        <v>1.0401</v>
      </c>
      <c r="D32" s="1630">
        <v>0.94089999999999996</v>
      </c>
      <c r="E32" s="1630">
        <v>0.94089999999999996</v>
      </c>
      <c r="F32" s="1630">
        <v>0.94089999999999996</v>
      </c>
      <c r="G32" s="1630">
        <v>0.94089999999999996</v>
      </c>
      <c r="H32" s="1630">
        <v>0.94089999999999996</v>
      </c>
      <c r="I32" s="1630">
        <v>0.81579999999999997</v>
      </c>
      <c r="J32" s="1630">
        <v>0.81579999999999997</v>
      </c>
      <c r="K32" s="1630">
        <v>0.81579999999999997</v>
      </c>
      <c r="L32" s="1630">
        <v>0.81579999999999997</v>
      </c>
      <c r="M32" s="1630">
        <v>0.81579999999999997</v>
      </c>
    </row>
    <row r="33" spans="1:13">
      <c r="A33" s="1644">
        <v>3.1</v>
      </c>
      <c r="B33" s="1630">
        <v>1.0314000000000001</v>
      </c>
      <c r="C33" s="1630">
        <v>1.0314000000000001</v>
      </c>
      <c r="D33" s="1630">
        <v>0.93169999999999997</v>
      </c>
      <c r="E33" s="1630">
        <v>0.93169999999999997</v>
      </c>
      <c r="F33" s="1630">
        <v>0.93169999999999997</v>
      </c>
      <c r="G33" s="1630">
        <v>0.93169999999999997</v>
      </c>
      <c r="H33" s="1630">
        <v>0.93169999999999997</v>
      </c>
      <c r="I33" s="1630">
        <v>0.80410000000000004</v>
      </c>
      <c r="J33" s="1630">
        <v>0.80410000000000004</v>
      </c>
      <c r="K33" s="1630">
        <v>0.80410000000000004</v>
      </c>
      <c r="L33" s="1630">
        <v>0.80410000000000004</v>
      </c>
      <c r="M33" s="1630">
        <v>0.80410000000000004</v>
      </c>
    </row>
    <row r="34" spans="1:13">
      <c r="A34" s="1644">
        <v>3.2</v>
      </c>
      <c r="B34" s="1630">
        <v>1.0229999999999999</v>
      </c>
      <c r="C34" s="1630">
        <v>1.0229999999999999</v>
      </c>
      <c r="D34" s="1630">
        <v>0.92279999999999995</v>
      </c>
      <c r="E34" s="1630">
        <v>0.92279999999999995</v>
      </c>
      <c r="F34" s="1630">
        <v>0.92279999999999995</v>
      </c>
      <c r="G34" s="1630">
        <v>0.92279999999999995</v>
      </c>
      <c r="H34" s="1630">
        <v>0.92279999999999995</v>
      </c>
      <c r="I34" s="1630">
        <v>0.79300000000000004</v>
      </c>
      <c r="J34" s="1630">
        <v>0.79300000000000004</v>
      </c>
      <c r="K34" s="1630">
        <v>0.79300000000000004</v>
      </c>
      <c r="L34" s="1630">
        <v>0.79300000000000004</v>
      </c>
      <c r="M34" s="1630">
        <v>0.79300000000000004</v>
      </c>
    </row>
    <row r="35" spans="1:13">
      <c r="A35" s="1644">
        <v>3.3</v>
      </c>
      <c r="B35" s="1630">
        <v>1.0149999999999999</v>
      </c>
      <c r="C35" s="1630">
        <v>1.0149999999999999</v>
      </c>
      <c r="D35" s="1630">
        <v>0.91439999999999999</v>
      </c>
      <c r="E35" s="1630">
        <v>0.91439999999999999</v>
      </c>
      <c r="F35" s="1630">
        <v>0.91439999999999999</v>
      </c>
      <c r="G35" s="1630">
        <v>0.91439999999999999</v>
      </c>
      <c r="H35" s="1630">
        <v>0.91439999999999999</v>
      </c>
      <c r="I35" s="1630">
        <v>0.78220000000000001</v>
      </c>
      <c r="J35" s="1630">
        <v>0.78220000000000001</v>
      </c>
      <c r="K35" s="1630">
        <v>0.78220000000000001</v>
      </c>
      <c r="L35" s="1630">
        <v>0.78220000000000001</v>
      </c>
      <c r="M35" s="1630">
        <v>0.78220000000000001</v>
      </c>
    </row>
    <row r="36" spans="1:13">
      <c r="A36" s="1644">
        <v>3.4</v>
      </c>
      <c r="B36" s="1630">
        <v>1.0073000000000001</v>
      </c>
      <c r="C36" s="1630">
        <v>1.0073000000000001</v>
      </c>
      <c r="D36" s="1630">
        <v>0.90629999999999999</v>
      </c>
      <c r="E36" s="1630">
        <v>0.90629999999999999</v>
      </c>
      <c r="F36" s="1630">
        <v>0.90629999999999999</v>
      </c>
      <c r="G36" s="1630">
        <v>0.90629999999999999</v>
      </c>
      <c r="H36" s="1630">
        <v>0.90629999999999999</v>
      </c>
      <c r="I36" s="1630">
        <v>0.77210000000000001</v>
      </c>
      <c r="J36" s="1630">
        <v>0.77210000000000001</v>
      </c>
      <c r="K36" s="1630">
        <v>0.77210000000000001</v>
      </c>
      <c r="L36" s="1630">
        <v>0.77210000000000001</v>
      </c>
      <c r="M36" s="1630">
        <v>0.77210000000000001</v>
      </c>
    </row>
    <row r="37" spans="1:13">
      <c r="A37" s="1644">
        <v>3.5</v>
      </c>
      <c r="B37" s="1630">
        <v>1</v>
      </c>
      <c r="C37" s="1630">
        <v>1</v>
      </c>
      <c r="D37" s="1630">
        <v>0.89870000000000005</v>
      </c>
      <c r="E37" s="1630">
        <v>0.89870000000000005</v>
      </c>
      <c r="F37" s="1630">
        <v>0.89870000000000005</v>
      </c>
      <c r="G37" s="1630">
        <v>0.89870000000000005</v>
      </c>
      <c r="H37" s="1630">
        <v>0.89870000000000005</v>
      </c>
      <c r="I37" s="1630">
        <v>0.76239999999999997</v>
      </c>
      <c r="J37" s="1630">
        <v>0.76239999999999997</v>
      </c>
      <c r="K37" s="1630">
        <v>0.76239999999999997</v>
      </c>
      <c r="L37" s="1630">
        <v>0.76239999999999997</v>
      </c>
      <c r="M37" s="1630">
        <v>0.76239999999999997</v>
      </c>
    </row>
    <row r="38" spans="1:13">
      <c r="A38" s="1644">
        <v>3.6</v>
      </c>
      <c r="B38" s="1630">
        <v>0.99329999999999996</v>
      </c>
      <c r="C38" s="1630">
        <v>0.99329999999999996</v>
      </c>
      <c r="D38" s="1630">
        <v>0.89139999999999997</v>
      </c>
      <c r="E38" s="1630">
        <v>0.89139999999999997</v>
      </c>
      <c r="F38" s="1630">
        <v>0.89139999999999997</v>
      </c>
      <c r="G38" s="1630">
        <v>0.89139999999999997</v>
      </c>
      <c r="H38" s="1630">
        <v>0.89139999999999997</v>
      </c>
      <c r="I38" s="1630">
        <v>0.75319999999999998</v>
      </c>
      <c r="J38" s="1630">
        <v>0.75319999999999998</v>
      </c>
      <c r="K38" s="1630">
        <v>0.75319999999999998</v>
      </c>
      <c r="L38" s="1630">
        <v>0.75319999999999998</v>
      </c>
      <c r="M38" s="1630">
        <v>0.75319999999999998</v>
      </c>
    </row>
    <row r="39" spans="1:13">
      <c r="A39" s="1644">
        <v>3.7</v>
      </c>
      <c r="B39" s="1630">
        <v>0.9869</v>
      </c>
      <c r="C39" s="1630">
        <v>0.9869</v>
      </c>
      <c r="D39" s="1630">
        <v>0.88449999999999995</v>
      </c>
      <c r="E39" s="1630">
        <v>0.88449999999999995</v>
      </c>
      <c r="F39" s="1630">
        <v>0.88449999999999995</v>
      </c>
      <c r="G39" s="1630">
        <v>0.88449999999999995</v>
      </c>
      <c r="H39" s="1630">
        <v>0.88449999999999995</v>
      </c>
      <c r="I39" s="1630">
        <v>0.74460000000000004</v>
      </c>
      <c r="J39" s="1630">
        <v>0.74460000000000004</v>
      </c>
      <c r="K39" s="1630">
        <v>0.74460000000000004</v>
      </c>
      <c r="L39" s="1630">
        <v>0.74460000000000004</v>
      </c>
      <c r="M39" s="1630">
        <v>0.74460000000000004</v>
      </c>
    </row>
    <row r="40" spans="1:13">
      <c r="A40" s="1644">
        <v>3.8</v>
      </c>
      <c r="B40" s="1630">
        <v>0.98080000000000001</v>
      </c>
      <c r="C40" s="1630">
        <v>0.98080000000000001</v>
      </c>
      <c r="D40" s="1630">
        <v>0.87809999999999999</v>
      </c>
      <c r="E40" s="1630">
        <v>0.87809999999999999</v>
      </c>
      <c r="F40" s="1630">
        <v>0.87809999999999999</v>
      </c>
      <c r="G40" s="1630">
        <v>0.87809999999999999</v>
      </c>
      <c r="H40" s="1630">
        <v>0.87809999999999999</v>
      </c>
      <c r="I40" s="1630">
        <v>0.73640000000000005</v>
      </c>
      <c r="J40" s="1630">
        <v>0.73640000000000005</v>
      </c>
      <c r="K40" s="1630">
        <v>0.73640000000000005</v>
      </c>
      <c r="L40" s="1630">
        <v>0.73640000000000005</v>
      </c>
      <c r="M40" s="1630">
        <v>0.73640000000000005</v>
      </c>
    </row>
    <row r="41" spans="1:13">
      <c r="A41" s="1644">
        <v>3.9</v>
      </c>
      <c r="B41" s="1630">
        <v>0.97509999999999997</v>
      </c>
      <c r="C41" s="1630">
        <v>0.97509999999999997</v>
      </c>
      <c r="D41" s="1630">
        <v>0.87209999999999999</v>
      </c>
      <c r="E41" s="1630">
        <v>0.87209999999999999</v>
      </c>
      <c r="F41" s="1630">
        <v>0.87209999999999999</v>
      </c>
      <c r="G41" s="1630">
        <v>0.87209999999999999</v>
      </c>
      <c r="H41" s="1630">
        <v>0.87209999999999999</v>
      </c>
      <c r="I41" s="1630">
        <v>0.7288</v>
      </c>
      <c r="J41" s="1630">
        <v>0.7288</v>
      </c>
      <c r="K41" s="1630">
        <v>0.7288</v>
      </c>
      <c r="L41" s="1630">
        <v>0.7288</v>
      </c>
      <c r="M41" s="1630">
        <v>0.7288</v>
      </c>
    </row>
    <row r="42" spans="1:13">
      <c r="A42" s="1644">
        <v>4</v>
      </c>
      <c r="B42" s="1630">
        <v>0.96989999999999998</v>
      </c>
      <c r="C42" s="1630">
        <v>0.96989999999999998</v>
      </c>
      <c r="D42" s="1630">
        <v>0.86650000000000005</v>
      </c>
      <c r="E42" s="1630">
        <v>0.86650000000000005</v>
      </c>
      <c r="F42" s="1630">
        <v>0.86650000000000005</v>
      </c>
      <c r="G42" s="1630">
        <v>0.86650000000000005</v>
      </c>
      <c r="H42" s="1630">
        <v>0.86650000000000005</v>
      </c>
      <c r="I42" s="1630">
        <v>0.7218</v>
      </c>
      <c r="J42" s="1630">
        <v>0.7218</v>
      </c>
      <c r="K42" s="1630">
        <v>0.7218</v>
      </c>
      <c r="L42" s="1630">
        <v>0.7218</v>
      </c>
      <c r="M42" s="1630">
        <v>0.7218</v>
      </c>
    </row>
    <row r="43" spans="1:13">
      <c r="A43" s="1644">
        <v>4.0999999999999996</v>
      </c>
      <c r="B43" s="1630">
        <v>0.96479999999999999</v>
      </c>
      <c r="C43" s="1630">
        <v>0.96479999999999999</v>
      </c>
      <c r="D43" s="1630">
        <v>0.86109999999999998</v>
      </c>
      <c r="E43" s="1630">
        <v>0.86109999999999998</v>
      </c>
      <c r="F43" s="1630">
        <v>0.86109999999999998</v>
      </c>
      <c r="G43" s="1630">
        <v>0.86109999999999998</v>
      </c>
      <c r="H43" s="1630">
        <v>0.86109999999999998</v>
      </c>
      <c r="I43" s="1630">
        <v>0.71499999999999997</v>
      </c>
      <c r="J43" s="1630">
        <v>0.71499999999999997</v>
      </c>
      <c r="K43" s="1630">
        <v>0.71499999999999997</v>
      </c>
      <c r="L43" s="1630">
        <v>0.71499999999999997</v>
      </c>
      <c r="M43" s="1630">
        <v>0.71499999999999997</v>
      </c>
    </row>
    <row r="44" spans="1:13">
      <c r="A44" s="1644">
        <v>4.2</v>
      </c>
      <c r="B44" s="1630">
        <v>0.96</v>
      </c>
      <c r="C44" s="1630">
        <v>0.96</v>
      </c>
      <c r="D44" s="1630">
        <v>0.85599999999999998</v>
      </c>
      <c r="E44" s="1630">
        <v>0.85599999999999998</v>
      </c>
      <c r="F44" s="1630">
        <v>0.85599999999999998</v>
      </c>
      <c r="G44" s="1630">
        <v>0.85599999999999998</v>
      </c>
      <c r="H44" s="1630">
        <v>0.85599999999999998</v>
      </c>
      <c r="I44" s="1630">
        <v>0.70840000000000003</v>
      </c>
      <c r="J44" s="1630">
        <v>0.70840000000000003</v>
      </c>
      <c r="K44" s="1630">
        <v>0.70840000000000003</v>
      </c>
      <c r="L44" s="1630">
        <v>0.70840000000000003</v>
      </c>
      <c r="M44" s="1630">
        <v>0.70840000000000003</v>
      </c>
    </row>
    <row r="45" spans="1:13">
      <c r="A45" s="1644">
        <v>4.3</v>
      </c>
      <c r="B45" s="1630">
        <v>0.95530000000000004</v>
      </c>
      <c r="C45" s="1630">
        <v>0.95530000000000004</v>
      </c>
      <c r="D45" s="1630">
        <v>0.85099999999999998</v>
      </c>
      <c r="E45" s="1630">
        <v>0.85099999999999998</v>
      </c>
      <c r="F45" s="1630">
        <v>0.85099999999999998</v>
      </c>
      <c r="G45" s="1630">
        <v>0.85099999999999998</v>
      </c>
      <c r="H45" s="1630">
        <v>0.85099999999999998</v>
      </c>
      <c r="I45" s="1630">
        <v>0.70199999999999996</v>
      </c>
      <c r="J45" s="1630">
        <v>0.70199999999999996</v>
      </c>
      <c r="K45" s="1630">
        <v>0.70199999999999996</v>
      </c>
      <c r="L45" s="1630">
        <v>0.70199999999999996</v>
      </c>
      <c r="M45" s="1630">
        <v>0.70199999999999996</v>
      </c>
    </row>
    <row r="46" spans="1:13">
      <c r="A46" s="1644">
        <v>4.4000000000000004</v>
      </c>
      <c r="B46" s="1630">
        <v>0.95079999999999998</v>
      </c>
      <c r="C46" s="1630">
        <v>0.95079999999999998</v>
      </c>
      <c r="D46" s="1630">
        <v>0.84619999999999995</v>
      </c>
      <c r="E46" s="1630">
        <v>0.84619999999999995</v>
      </c>
      <c r="F46" s="1630">
        <v>0.84619999999999995</v>
      </c>
      <c r="G46" s="1630">
        <v>0.84619999999999995</v>
      </c>
      <c r="H46" s="1630">
        <v>0.84619999999999995</v>
      </c>
      <c r="I46" s="1630">
        <v>0.69579999999999997</v>
      </c>
      <c r="J46" s="1630">
        <v>0.69579999999999997</v>
      </c>
      <c r="K46" s="1630">
        <v>0.69579999999999997</v>
      </c>
      <c r="L46" s="1630">
        <v>0.69579999999999997</v>
      </c>
      <c r="M46" s="1630">
        <v>0.69579999999999997</v>
      </c>
    </row>
    <row r="47" spans="1:13">
      <c r="A47" s="1644">
        <v>4.5</v>
      </c>
      <c r="B47" s="1630">
        <v>0.94640000000000002</v>
      </c>
      <c r="C47" s="1630">
        <v>0.94640000000000002</v>
      </c>
      <c r="D47" s="1630">
        <v>0.84150000000000003</v>
      </c>
      <c r="E47" s="1630">
        <v>0.84150000000000003</v>
      </c>
      <c r="F47" s="1630">
        <v>0.84150000000000003</v>
      </c>
      <c r="G47" s="1630">
        <v>0.84150000000000003</v>
      </c>
      <c r="H47" s="1630">
        <v>0.84150000000000003</v>
      </c>
      <c r="I47" s="1630">
        <v>0.68989999999999996</v>
      </c>
      <c r="J47" s="1630">
        <v>0.68989999999999996</v>
      </c>
      <c r="K47" s="1630">
        <v>0.68989999999999996</v>
      </c>
      <c r="L47" s="1630">
        <v>0.68989999999999996</v>
      </c>
      <c r="M47" s="1630">
        <v>0.68989999999999996</v>
      </c>
    </row>
    <row r="48" spans="1:13">
      <c r="A48" s="1644">
        <v>4.5999999999999996</v>
      </c>
      <c r="B48" s="1630">
        <v>0.94230000000000003</v>
      </c>
      <c r="C48" s="1630">
        <v>0.94230000000000003</v>
      </c>
      <c r="D48" s="1630">
        <v>0.83709999999999996</v>
      </c>
      <c r="E48" s="1630">
        <v>0.83709999999999996</v>
      </c>
      <c r="F48" s="1630">
        <v>0.83709999999999996</v>
      </c>
      <c r="G48" s="1630">
        <v>0.83709999999999996</v>
      </c>
      <c r="H48" s="1630">
        <v>0.83709999999999996</v>
      </c>
      <c r="I48" s="1630">
        <v>0.68430000000000002</v>
      </c>
      <c r="J48" s="1630">
        <v>0.68430000000000002</v>
      </c>
      <c r="K48" s="1630">
        <v>0.68430000000000002</v>
      </c>
      <c r="L48" s="1630">
        <v>0.68430000000000002</v>
      </c>
      <c r="M48" s="1630">
        <v>0.68430000000000002</v>
      </c>
    </row>
    <row r="49" spans="1:13">
      <c r="A49" s="1644">
        <v>4.7</v>
      </c>
      <c r="B49" s="1630">
        <v>0.93830000000000002</v>
      </c>
      <c r="C49" s="1630">
        <v>0.93830000000000002</v>
      </c>
      <c r="D49" s="1630">
        <v>0.83279999999999998</v>
      </c>
      <c r="E49" s="1630">
        <v>0.83279999999999998</v>
      </c>
      <c r="F49" s="1630">
        <v>0.83279999999999998</v>
      </c>
      <c r="G49" s="1630">
        <v>0.83279999999999998</v>
      </c>
      <c r="H49" s="1630">
        <v>0.83279999999999998</v>
      </c>
      <c r="I49" s="1630">
        <v>0.67879999999999996</v>
      </c>
      <c r="J49" s="1630">
        <v>0.67879999999999996</v>
      </c>
      <c r="K49" s="1630">
        <v>0.67879999999999996</v>
      </c>
      <c r="L49" s="1630">
        <v>0.67879999999999996</v>
      </c>
      <c r="M49" s="1630">
        <v>0.67879999999999996</v>
      </c>
    </row>
    <row r="50" spans="1:13">
      <c r="A50" s="1644">
        <v>4.8</v>
      </c>
      <c r="B50" s="1630">
        <v>0.9345</v>
      </c>
      <c r="C50" s="1630">
        <v>0.9345</v>
      </c>
      <c r="D50" s="1630">
        <v>0.82869999999999999</v>
      </c>
      <c r="E50" s="1630">
        <v>0.82869999999999999</v>
      </c>
      <c r="F50" s="1630">
        <v>0.82869999999999999</v>
      </c>
      <c r="G50" s="1630">
        <v>0.82869999999999999</v>
      </c>
      <c r="H50" s="1630">
        <v>0.82869999999999999</v>
      </c>
      <c r="I50" s="1630">
        <v>0.67359999999999998</v>
      </c>
      <c r="J50" s="1630">
        <v>0.67359999999999998</v>
      </c>
      <c r="K50" s="1630">
        <v>0.67359999999999998</v>
      </c>
      <c r="L50" s="1630">
        <v>0.67359999999999998</v>
      </c>
      <c r="M50" s="1630">
        <v>0.67359999999999998</v>
      </c>
    </row>
    <row r="51" spans="1:13">
      <c r="A51" s="1644">
        <v>4.9000000000000004</v>
      </c>
      <c r="B51" s="1630">
        <v>0.93079999999999996</v>
      </c>
      <c r="C51" s="1630">
        <v>0.93079999999999996</v>
      </c>
      <c r="D51" s="1630">
        <v>0.82479999999999998</v>
      </c>
      <c r="E51" s="1630">
        <v>0.82479999999999998</v>
      </c>
      <c r="F51" s="1630">
        <v>0.82479999999999998</v>
      </c>
      <c r="G51" s="1630">
        <v>0.82479999999999998</v>
      </c>
      <c r="H51" s="1630">
        <v>0.82479999999999998</v>
      </c>
      <c r="I51" s="1630">
        <v>0.66849999999999998</v>
      </c>
      <c r="J51" s="1630">
        <v>0.66849999999999998</v>
      </c>
      <c r="K51" s="1630">
        <v>0.66849999999999998</v>
      </c>
      <c r="L51" s="1630">
        <v>0.66849999999999998</v>
      </c>
      <c r="M51" s="1630">
        <v>0.66849999999999998</v>
      </c>
    </row>
    <row r="52" spans="1:13">
      <c r="A52" s="1644">
        <v>5</v>
      </c>
      <c r="B52" s="1630">
        <v>0.9274</v>
      </c>
      <c r="C52" s="1630">
        <v>0.9274</v>
      </c>
      <c r="D52" s="1630">
        <v>0.82110000000000005</v>
      </c>
      <c r="E52" s="1630">
        <v>0.82110000000000005</v>
      </c>
      <c r="F52" s="1630">
        <v>0.82110000000000005</v>
      </c>
      <c r="G52" s="1630">
        <v>0.82110000000000005</v>
      </c>
      <c r="H52" s="1630">
        <v>0.82110000000000005</v>
      </c>
      <c r="I52" s="1630">
        <v>0.66369999999999996</v>
      </c>
      <c r="J52" s="1630">
        <v>0.66369999999999996</v>
      </c>
      <c r="K52" s="1630">
        <v>0.66369999999999996</v>
      </c>
      <c r="L52" s="1630">
        <v>0.66369999999999996</v>
      </c>
      <c r="M52" s="1630">
        <v>0.66369999999999996</v>
      </c>
    </row>
    <row r="53" spans="1:13">
      <c r="A53" s="1621">
        <v>5.0999999999999996</v>
      </c>
      <c r="B53" s="1630">
        <v>0.92410000000000003</v>
      </c>
      <c r="C53" s="1630">
        <v>0.92410000000000003</v>
      </c>
      <c r="D53" s="1630">
        <v>0.8175</v>
      </c>
      <c r="E53" s="1630">
        <v>0.8175</v>
      </c>
      <c r="F53" s="1630">
        <v>0.8175</v>
      </c>
      <c r="G53" s="1630">
        <v>0.8175</v>
      </c>
      <c r="H53" s="1630">
        <v>0.8175</v>
      </c>
      <c r="I53" s="1630">
        <v>0.65900000000000003</v>
      </c>
      <c r="J53" s="1630">
        <v>0.65900000000000003</v>
      </c>
      <c r="K53" s="1630">
        <v>0.65900000000000003</v>
      </c>
      <c r="L53" s="1630">
        <v>0.65900000000000003</v>
      </c>
      <c r="M53" s="1630">
        <v>0.65900000000000003</v>
      </c>
    </row>
    <row r="54" spans="1:13">
      <c r="A54" s="1621">
        <v>5.2</v>
      </c>
      <c r="B54" s="1630">
        <v>0.92090000000000005</v>
      </c>
      <c r="C54" s="1630">
        <v>0.92090000000000005</v>
      </c>
      <c r="D54" s="1630">
        <v>0.81399999999999995</v>
      </c>
      <c r="E54" s="1630">
        <v>0.81399999999999995</v>
      </c>
      <c r="F54" s="1630">
        <v>0.81399999999999995</v>
      </c>
      <c r="G54" s="1630">
        <v>0.81399999999999995</v>
      </c>
      <c r="H54" s="1630">
        <v>0.81399999999999995</v>
      </c>
      <c r="I54" s="1630">
        <v>0.65449999999999997</v>
      </c>
      <c r="J54" s="1630">
        <v>0.65449999999999997</v>
      </c>
      <c r="K54" s="1630">
        <v>0.65449999999999997</v>
      </c>
      <c r="L54" s="1630">
        <v>0.65449999999999997</v>
      </c>
      <c r="M54" s="1630">
        <v>0.65449999999999997</v>
      </c>
    </row>
    <row r="55" spans="1:13">
      <c r="A55" s="1621">
        <v>5.3</v>
      </c>
      <c r="B55" s="1630">
        <v>0.91790000000000005</v>
      </c>
      <c r="C55" s="1630">
        <v>0.91790000000000005</v>
      </c>
      <c r="D55" s="1630">
        <v>0.81059999999999999</v>
      </c>
      <c r="E55" s="1630">
        <v>0.81059999999999999</v>
      </c>
      <c r="F55" s="1630">
        <v>0.81059999999999999</v>
      </c>
      <c r="G55" s="1630">
        <v>0.81059999999999999</v>
      </c>
      <c r="H55" s="1630">
        <v>0.81059999999999999</v>
      </c>
      <c r="I55" s="1630">
        <v>0.6502</v>
      </c>
      <c r="J55" s="1630">
        <v>0.6502</v>
      </c>
      <c r="K55" s="1630">
        <v>0.6502</v>
      </c>
      <c r="L55" s="1630">
        <v>0.6502</v>
      </c>
      <c r="M55" s="1630">
        <v>0.6502</v>
      </c>
    </row>
    <row r="56" spans="1:13">
      <c r="A56" s="1621">
        <v>5.4</v>
      </c>
      <c r="B56" s="1630">
        <v>0.91490000000000005</v>
      </c>
      <c r="C56" s="1630">
        <v>0.91490000000000005</v>
      </c>
      <c r="D56" s="1630">
        <v>0.80740000000000001</v>
      </c>
      <c r="E56" s="1630">
        <v>0.80740000000000001</v>
      </c>
      <c r="F56" s="1630">
        <v>0.80740000000000001</v>
      </c>
      <c r="G56" s="1630">
        <v>0.80740000000000001</v>
      </c>
      <c r="H56" s="1630">
        <v>0.80740000000000001</v>
      </c>
      <c r="I56" s="1630">
        <v>0.64590000000000003</v>
      </c>
      <c r="J56" s="1630">
        <v>0.64590000000000003</v>
      </c>
      <c r="K56" s="1630">
        <v>0.64590000000000003</v>
      </c>
      <c r="L56" s="1630">
        <v>0.64590000000000003</v>
      </c>
      <c r="M56" s="1630">
        <v>0.64590000000000003</v>
      </c>
    </row>
    <row r="57" spans="1:13">
      <c r="A57" s="1621">
        <v>5.5</v>
      </c>
      <c r="B57" s="1630">
        <v>0.91200000000000003</v>
      </c>
      <c r="C57" s="1630">
        <v>0.91200000000000003</v>
      </c>
      <c r="D57" s="1630">
        <v>0.80420000000000003</v>
      </c>
      <c r="E57" s="1630">
        <v>0.80420000000000003</v>
      </c>
      <c r="F57" s="1630">
        <v>0.80420000000000003</v>
      </c>
      <c r="G57" s="1630">
        <v>0.80420000000000003</v>
      </c>
      <c r="H57" s="1630">
        <v>0.80420000000000003</v>
      </c>
      <c r="I57" s="1630">
        <v>0.64180000000000004</v>
      </c>
      <c r="J57" s="1630">
        <v>0.64180000000000004</v>
      </c>
      <c r="K57" s="1630">
        <v>0.64180000000000004</v>
      </c>
      <c r="L57" s="1630">
        <v>0.64180000000000004</v>
      </c>
      <c r="M57" s="1630">
        <v>0.64180000000000004</v>
      </c>
    </row>
    <row r="58" spans="1:13">
      <c r="A58" s="1621">
        <v>5.6</v>
      </c>
      <c r="B58" s="1630">
        <v>0.90910000000000002</v>
      </c>
      <c r="C58" s="1630">
        <v>0.90910000000000002</v>
      </c>
      <c r="D58" s="1630">
        <v>0.80120000000000002</v>
      </c>
      <c r="E58" s="1630">
        <v>0.80120000000000002</v>
      </c>
      <c r="F58" s="1630">
        <v>0.80120000000000002</v>
      </c>
      <c r="G58" s="1630">
        <v>0.80120000000000002</v>
      </c>
      <c r="H58" s="1630">
        <v>0.80120000000000002</v>
      </c>
      <c r="I58" s="1630">
        <v>0.63790000000000002</v>
      </c>
      <c r="J58" s="1630">
        <v>0.63790000000000002</v>
      </c>
      <c r="K58" s="1630">
        <v>0.63790000000000002</v>
      </c>
      <c r="L58" s="1630">
        <v>0.63790000000000002</v>
      </c>
      <c r="M58" s="1630">
        <v>0.63790000000000002</v>
      </c>
    </row>
    <row r="59" spans="1:13">
      <c r="A59" s="1644">
        <v>5.7</v>
      </c>
      <c r="B59" s="1630">
        <v>0.90639999999999998</v>
      </c>
      <c r="C59" s="1630">
        <v>0.90639999999999998</v>
      </c>
      <c r="D59" s="1630">
        <v>0.79820000000000002</v>
      </c>
      <c r="E59" s="1630">
        <v>0.79820000000000002</v>
      </c>
      <c r="F59" s="1630">
        <v>0.79820000000000002</v>
      </c>
      <c r="G59" s="1630">
        <v>0.79820000000000002</v>
      </c>
      <c r="H59" s="1630">
        <v>0.79820000000000002</v>
      </c>
      <c r="I59" s="1630">
        <v>0.6341</v>
      </c>
      <c r="J59" s="1630">
        <v>0.6341</v>
      </c>
      <c r="K59" s="1630">
        <v>0.6341</v>
      </c>
      <c r="L59" s="1630">
        <v>0.6341</v>
      </c>
      <c r="M59" s="1630">
        <v>0.6341</v>
      </c>
    </row>
    <row r="60" spans="1:13">
      <c r="A60" s="1621">
        <v>5.8</v>
      </c>
      <c r="B60" s="1630">
        <v>0.90380000000000005</v>
      </c>
      <c r="C60" s="1630">
        <v>0.90380000000000005</v>
      </c>
      <c r="D60" s="1630">
        <v>0.7954</v>
      </c>
      <c r="E60" s="1630">
        <v>0.7954</v>
      </c>
      <c r="F60" s="1630">
        <v>0.7954</v>
      </c>
      <c r="G60" s="1630">
        <v>0.7954</v>
      </c>
      <c r="H60" s="1630">
        <v>0.7954</v>
      </c>
      <c r="I60" s="1630">
        <v>0.63039999999999996</v>
      </c>
      <c r="J60" s="1630">
        <v>0.63039999999999996</v>
      </c>
      <c r="K60" s="1630">
        <v>0.63039999999999996</v>
      </c>
      <c r="L60" s="1630">
        <v>0.63039999999999996</v>
      </c>
      <c r="M60" s="1630">
        <v>0.63039999999999996</v>
      </c>
    </row>
    <row r="61" spans="1:13">
      <c r="A61" s="1621">
        <v>5.9</v>
      </c>
      <c r="B61" s="1630">
        <v>0.90129999999999999</v>
      </c>
      <c r="C61" s="1630">
        <v>0.90129999999999999</v>
      </c>
      <c r="D61" s="1630">
        <v>0.79269999999999996</v>
      </c>
      <c r="E61" s="1630">
        <v>0.79269999999999996</v>
      </c>
      <c r="F61" s="1630">
        <v>0.79269999999999996</v>
      </c>
      <c r="G61" s="1630">
        <v>0.79269999999999996</v>
      </c>
      <c r="H61" s="1630">
        <v>0.79269999999999996</v>
      </c>
      <c r="I61" s="1630">
        <v>0.62690000000000001</v>
      </c>
      <c r="J61" s="1630">
        <v>0.62690000000000001</v>
      </c>
      <c r="K61" s="1630">
        <v>0.62690000000000001</v>
      </c>
      <c r="L61" s="1630">
        <v>0.62690000000000001</v>
      </c>
      <c r="M61" s="1630">
        <v>0.62690000000000001</v>
      </c>
    </row>
    <row r="62" spans="1:13">
      <c r="A62" s="1621">
        <v>6</v>
      </c>
      <c r="B62" s="1630">
        <v>0.89890000000000003</v>
      </c>
      <c r="C62" s="1630">
        <v>0.89890000000000003</v>
      </c>
      <c r="D62" s="1630">
        <v>0.79020000000000001</v>
      </c>
      <c r="E62" s="1630">
        <v>0.79020000000000001</v>
      </c>
      <c r="F62" s="1630">
        <v>0.79020000000000001</v>
      </c>
      <c r="G62" s="1630">
        <v>0.79020000000000001</v>
      </c>
      <c r="H62" s="1630">
        <v>0.79020000000000001</v>
      </c>
      <c r="I62" s="1630">
        <v>0.62350000000000005</v>
      </c>
      <c r="J62" s="1630">
        <v>0.62350000000000005</v>
      </c>
      <c r="K62" s="1630">
        <v>0.62350000000000005</v>
      </c>
      <c r="L62" s="1630">
        <v>0.62350000000000005</v>
      </c>
      <c r="M62" s="1630">
        <v>0.62350000000000005</v>
      </c>
    </row>
    <row r="63" spans="1:13">
      <c r="A63" s="1621">
        <v>6.1</v>
      </c>
      <c r="B63" s="1630">
        <v>0.89649999999999996</v>
      </c>
      <c r="C63" s="1630">
        <v>0.89649999999999996</v>
      </c>
      <c r="D63" s="1630">
        <v>0.78769999999999996</v>
      </c>
      <c r="E63" s="1630">
        <v>0.78769999999999996</v>
      </c>
      <c r="F63" s="1630">
        <v>0.78769999999999996</v>
      </c>
      <c r="G63" s="1630">
        <v>0.78769999999999996</v>
      </c>
      <c r="H63" s="1630">
        <v>0.78769999999999996</v>
      </c>
      <c r="I63" s="1630">
        <v>0.62029999999999996</v>
      </c>
      <c r="J63" s="1630">
        <v>0.62029999999999996</v>
      </c>
      <c r="K63" s="1630">
        <v>0.62029999999999996</v>
      </c>
      <c r="L63" s="1630">
        <v>0.62029999999999996</v>
      </c>
      <c r="M63" s="1630">
        <v>0.62029999999999996</v>
      </c>
    </row>
    <row r="64" spans="1:13">
      <c r="A64" s="1621">
        <v>6.2</v>
      </c>
      <c r="B64" s="1630">
        <v>0.89429999999999998</v>
      </c>
      <c r="C64" s="1630">
        <v>0.89429999999999998</v>
      </c>
      <c r="D64" s="1630">
        <v>0.78520000000000001</v>
      </c>
      <c r="E64" s="1630">
        <v>0.78520000000000001</v>
      </c>
      <c r="F64" s="1630">
        <v>0.78520000000000001</v>
      </c>
      <c r="G64" s="1630">
        <v>0.78520000000000001</v>
      </c>
      <c r="H64" s="1630">
        <v>0.78520000000000001</v>
      </c>
      <c r="I64" s="1630">
        <v>0.61719999999999997</v>
      </c>
      <c r="J64" s="1630">
        <v>0.61719999999999997</v>
      </c>
      <c r="K64" s="1630">
        <v>0.61719999999999997</v>
      </c>
      <c r="L64" s="1630">
        <v>0.61719999999999997</v>
      </c>
      <c r="M64" s="1630">
        <v>0.61719999999999997</v>
      </c>
    </row>
    <row r="65" spans="1:13">
      <c r="A65" s="1621">
        <v>6.3</v>
      </c>
      <c r="B65" s="1630">
        <v>0.89200000000000002</v>
      </c>
      <c r="C65" s="1630">
        <v>0.89200000000000002</v>
      </c>
      <c r="D65" s="1630">
        <v>0.78280000000000005</v>
      </c>
      <c r="E65" s="1630">
        <v>0.78280000000000005</v>
      </c>
      <c r="F65" s="1630">
        <v>0.78280000000000005</v>
      </c>
      <c r="G65" s="1630">
        <v>0.78280000000000005</v>
      </c>
      <c r="H65" s="1630">
        <v>0.78280000000000005</v>
      </c>
      <c r="I65" s="1630">
        <v>0.61409999999999998</v>
      </c>
      <c r="J65" s="1630">
        <v>0.61409999999999998</v>
      </c>
      <c r="K65" s="1630">
        <v>0.61409999999999998</v>
      </c>
      <c r="L65" s="1630">
        <v>0.61409999999999998</v>
      </c>
      <c r="M65" s="1630">
        <v>0.61409999999999998</v>
      </c>
    </row>
    <row r="66" spans="1:13">
      <c r="A66" s="1621">
        <v>6.4</v>
      </c>
      <c r="B66" s="1630">
        <v>0.88990000000000002</v>
      </c>
      <c r="C66" s="1630">
        <v>0.88990000000000002</v>
      </c>
      <c r="D66" s="1630">
        <v>0.78039999999999998</v>
      </c>
      <c r="E66" s="1630">
        <v>0.78039999999999998</v>
      </c>
      <c r="F66" s="1630">
        <v>0.78039999999999998</v>
      </c>
      <c r="G66" s="1630">
        <v>0.78039999999999998</v>
      </c>
      <c r="H66" s="1630">
        <v>0.78039999999999998</v>
      </c>
      <c r="I66" s="1630">
        <v>0.61099999999999999</v>
      </c>
      <c r="J66" s="1630">
        <v>0.61099999999999999</v>
      </c>
      <c r="K66" s="1630">
        <v>0.61099999999999999</v>
      </c>
      <c r="L66" s="1630">
        <v>0.61099999999999999</v>
      </c>
      <c r="M66" s="1630">
        <v>0.61099999999999999</v>
      </c>
    </row>
    <row r="67" spans="1:13">
      <c r="A67" s="1621">
        <v>6.5</v>
      </c>
      <c r="B67" s="1630">
        <v>0.88780000000000003</v>
      </c>
      <c r="C67" s="1630">
        <v>0.88780000000000003</v>
      </c>
      <c r="D67" s="1630">
        <v>0.77810000000000001</v>
      </c>
      <c r="E67" s="1630">
        <v>0.77810000000000001</v>
      </c>
      <c r="F67" s="1630">
        <v>0.77810000000000001</v>
      </c>
      <c r="G67" s="1630">
        <v>0.77810000000000001</v>
      </c>
      <c r="H67" s="1630">
        <v>0.77810000000000001</v>
      </c>
      <c r="I67" s="1630">
        <v>0.60799999999999998</v>
      </c>
      <c r="J67" s="1630">
        <v>0.60799999999999998</v>
      </c>
      <c r="K67" s="1630">
        <v>0.60799999999999998</v>
      </c>
      <c r="L67" s="1630">
        <v>0.60799999999999998</v>
      </c>
      <c r="M67" s="1630">
        <v>0.60799999999999998</v>
      </c>
    </row>
    <row r="68" spans="1:13">
      <c r="A68" s="1621">
        <v>6.6</v>
      </c>
      <c r="B68" s="1630">
        <v>0.88580000000000003</v>
      </c>
      <c r="C68" s="1630">
        <v>0.88580000000000003</v>
      </c>
      <c r="D68" s="1630">
        <v>0.77580000000000005</v>
      </c>
      <c r="E68" s="1630">
        <v>0.77580000000000005</v>
      </c>
      <c r="F68" s="1630">
        <v>0.77580000000000005</v>
      </c>
      <c r="G68" s="1630">
        <v>0.77580000000000005</v>
      </c>
      <c r="H68" s="1630">
        <v>0.77580000000000005</v>
      </c>
      <c r="I68" s="1630">
        <v>0.60499999999999998</v>
      </c>
      <c r="J68" s="1630">
        <v>0.60499999999999998</v>
      </c>
      <c r="K68" s="1630">
        <v>0.60499999999999998</v>
      </c>
      <c r="L68" s="1630">
        <v>0.60499999999999998</v>
      </c>
      <c r="M68" s="1630">
        <v>0.60499999999999998</v>
      </c>
    </row>
    <row r="69" spans="1:13">
      <c r="A69" s="1621">
        <v>6.7</v>
      </c>
      <c r="B69" s="1630">
        <v>0.88380000000000003</v>
      </c>
      <c r="C69" s="1630">
        <v>0.88380000000000003</v>
      </c>
      <c r="D69" s="1630">
        <v>0.77359999999999995</v>
      </c>
      <c r="E69" s="1630">
        <v>0.77359999999999995</v>
      </c>
      <c r="F69" s="1630">
        <v>0.77359999999999995</v>
      </c>
      <c r="G69" s="1630">
        <v>0.77359999999999995</v>
      </c>
      <c r="H69" s="1630">
        <v>0.77359999999999995</v>
      </c>
      <c r="I69" s="1630">
        <v>0.60209999999999997</v>
      </c>
      <c r="J69" s="1630">
        <v>0.60209999999999997</v>
      </c>
      <c r="K69" s="1630">
        <v>0.60209999999999997</v>
      </c>
      <c r="L69" s="1630">
        <v>0.60209999999999997</v>
      </c>
      <c r="M69" s="1630">
        <v>0.60209999999999997</v>
      </c>
    </row>
    <row r="70" spans="1:13">
      <c r="A70" s="1621">
        <v>6.8</v>
      </c>
      <c r="B70" s="1630">
        <v>0.88190000000000002</v>
      </c>
      <c r="C70" s="1630">
        <v>0.88190000000000002</v>
      </c>
      <c r="D70" s="1630">
        <v>0.77159999999999995</v>
      </c>
      <c r="E70" s="1630">
        <v>0.77159999999999995</v>
      </c>
      <c r="F70" s="1630">
        <v>0.77159999999999995</v>
      </c>
      <c r="G70" s="1630">
        <v>0.77159999999999995</v>
      </c>
      <c r="H70" s="1630">
        <v>0.77159999999999995</v>
      </c>
      <c r="I70" s="1630">
        <v>0.59930000000000005</v>
      </c>
      <c r="J70" s="1630">
        <v>0.59930000000000005</v>
      </c>
      <c r="K70" s="1630">
        <v>0.59930000000000005</v>
      </c>
      <c r="L70" s="1630">
        <v>0.59930000000000005</v>
      </c>
      <c r="M70" s="1630">
        <v>0.59930000000000005</v>
      </c>
    </row>
    <row r="71" spans="1:13">
      <c r="A71" s="1621">
        <v>6.9</v>
      </c>
      <c r="B71" s="1630">
        <v>0.88</v>
      </c>
      <c r="C71" s="1630">
        <v>0.88</v>
      </c>
      <c r="D71" s="1630">
        <v>0.76949999999999996</v>
      </c>
      <c r="E71" s="1630">
        <v>0.76949999999999996</v>
      </c>
      <c r="F71" s="1630">
        <v>0.76949999999999996</v>
      </c>
      <c r="G71" s="1630">
        <v>0.76949999999999996</v>
      </c>
      <c r="H71" s="1630">
        <v>0.76949999999999996</v>
      </c>
      <c r="I71" s="1630">
        <v>0.59640000000000004</v>
      </c>
      <c r="J71" s="1630">
        <v>0.59640000000000004</v>
      </c>
      <c r="K71" s="1630">
        <v>0.59640000000000004</v>
      </c>
      <c r="L71" s="1630">
        <v>0.59640000000000004</v>
      </c>
      <c r="M71" s="1630">
        <v>0.59640000000000004</v>
      </c>
    </row>
    <row r="72" spans="1:13">
      <c r="A72" s="1621">
        <v>7</v>
      </c>
      <c r="B72" s="1630">
        <v>0.87819999999999998</v>
      </c>
      <c r="C72" s="1630">
        <v>0.87819999999999998</v>
      </c>
      <c r="D72" s="1630">
        <v>0.76749999999999996</v>
      </c>
      <c r="E72" s="1630">
        <v>0.76749999999999996</v>
      </c>
      <c r="F72" s="1630">
        <v>0.76749999999999996</v>
      </c>
      <c r="G72" s="1630">
        <v>0.76749999999999996</v>
      </c>
      <c r="H72" s="1630">
        <v>0.76749999999999996</v>
      </c>
      <c r="I72" s="1630">
        <v>0.59360000000000002</v>
      </c>
      <c r="J72" s="1630">
        <v>0.59360000000000002</v>
      </c>
      <c r="K72" s="1630">
        <v>0.59360000000000002</v>
      </c>
      <c r="L72" s="1630">
        <v>0.59360000000000002</v>
      </c>
      <c r="M72" s="1630">
        <v>0.59360000000000002</v>
      </c>
    </row>
    <row r="73" spans="1:13">
      <c r="A73" s="1621">
        <v>7.1</v>
      </c>
      <c r="B73" s="1630">
        <v>0.87660000000000005</v>
      </c>
      <c r="C73" s="1630">
        <v>0.87660000000000005</v>
      </c>
      <c r="D73" s="1630">
        <v>0.76570000000000005</v>
      </c>
      <c r="E73" s="1630">
        <v>0.76570000000000005</v>
      </c>
      <c r="F73" s="1630">
        <v>0.76570000000000005</v>
      </c>
      <c r="G73" s="1630">
        <v>0.76570000000000005</v>
      </c>
      <c r="H73" s="1630">
        <v>0.76570000000000005</v>
      </c>
      <c r="I73" s="1630">
        <v>0.59109999999999996</v>
      </c>
      <c r="J73" s="1630">
        <v>0.59109999999999996</v>
      </c>
      <c r="K73" s="1630">
        <v>0.59109999999999996</v>
      </c>
      <c r="L73" s="1630">
        <v>0.59109999999999996</v>
      </c>
      <c r="M73" s="1630">
        <v>0.59109999999999996</v>
      </c>
    </row>
    <row r="74" spans="1:13">
      <c r="A74" s="1621">
        <v>7.2</v>
      </c>
      <c r="B74" s="1630">
        <v>0.87490000000000001</v>
      </c>
      <c r="C74" s="1630">
        <v>0.87490000000000001</v>
      </c>
      <c r="D74" s="1630">
        <v>0.76380000000000003</v>
      </c>
      <c r="E74" s="1630">
        <v>0.76380000000000003</v>
      </c>
      <c r="F74" s="1630">
        <v>0.76380000000000003</v>
      </c>
      <c r="G74" s="1630">
        <v>0.76380000000000003</v>
      </c>
      <c r="H74" s="1630">
        <v>0.76380000000000003</v>
      </c>
      <c r="I74" s="1630">
        <v>0.58860000000000001</v>
      </c>
      <c r="J74" s="1630">
        <v>0.58860000000000001</v>
      </c>
      <c r="K74" s="1630">
        <v>0.58860000000000001</v>
      </c>
      <c r="L74" s="1630">
        <v>0.58860000000000001</v>
      </c>
      <c r="M74" s="1630">
        <v>0.58860000000000001</v>
      </c>
    </row>
    <row r="75" spans="1:13">
      <c r="A75" s="1621">
        <v>7.3</v>
      </c>
      <c r="B75" s="1630">
        <v>0.87329999999999997</v>
      </c>
      <c r="C75" s="1630">
        <v>0.87329999999999997</v>
      </c>
      <c r="D75" s="1630">
        <v>0.76200000000000001</v>
      </c>
      <c r="E75" s="1630">
        <v>0.76200000000000001</v>
      </c>
      <c r="F75" s="1630">
        <v>0.76200000000000001</v>
      </c>
      <c r="G75" s="1630">
        <v>0.76200000000000001</v>
      </c>
      <c r="H75" s="1630">
        <v>0.76200000000000001</v>
      </c>
      <c r="I75" s="1630">
        <v>0.58620000000000005</v>
      </c>
      <c r="J75" s="1630">
        <v>0.58620000000000005</v>
      </c>
      <c r="K75" s="1630">
        <v>0.58620000000000005</v>
      </c>
      <c r="L75" s="1630">
        <v>0.58620000000000005</v>
      </c>
      <c r="M75" s="1630">
        <v>0.58620000000000005</v>
      </c>
    </row>
    <row r="76" spans="1:13">
      <c r="A76" s="1621">
        <v>7.4</v>
      </c>
      <c r="B76" s="1630">
        <v>0.87160000000000004</v>
      </c>
      <c r="C76" s="1630">
        <v>0.87160000000000004</v>
      </c>
      <c r="D76" s="1630">
        <v>0.76029999999999998</v>
      </c>
      <c r="E76" s="1630">
        <v>0.76029999999999998</v>
      </c>
      <c r="F76" s="1630">
        <v>0.76029999999999998</v>
      </c>
      <c r="G76" s="1630">
        <v>0.76029999999999998</v>
      </c>
      <c r="H76" s="1630">
        <v>0.76029999999999998</v>
      </c>
      <c r="I76" s="1630">
        <v>0.58379999999999999</v>
      </c>
      <c r="J76" s="1630">
        <v>0.58379999999999999</v>
      </c>
      <c r="K76" s="1630">
        <v>0.58379999999999999</v>
      </c>
      <c r="L76" s="1630">
        <v>0.58379999999999999</v>
      </c>
      <c r="M76" s="1630">
        <v>0.58379999999999999</v>
      </c>
    </row>
    <row r="77" spans="1:13">
      <c r="A77" s="1621">
        <v>7.5</v>
      </c>
      <c r="B77" s="1630">
        <v>0.87</v>
      </c>
      <c r="C77" s="1630">
        <v>0.87</v>
      </c>
      <c r="D77" s="1630">
        <v>0.75849999999999995</v>
      </c>
      <c r="E77" s="1630">
        <v>0.75849999999999995</v>
      </c>
      <c r="F77" s="1630">
        <v>0.75849999999999995</v>
      </c>
      <c r="G77" s="1630">
        <v>0.75849999999999995</v>
      </c>
      <c r="H77" s="1630">
        <v>0.75849999999999995</v>
      </c>
      <c r="I77" s="1630">
        <v>0.58140000000000003</v>
      </c>
      <c r="J77" s="1630">
        <v>0.58140000000000003</v>
      </c>
      <c r="K77" s="1630">
        <v>0.58140000000000003</v>
      </c>
      <c r="L77" s="1630">
        <v>0.58140000000000003</v>
      </c>
      <c r="M77" s="1630">
        <v>0.58140000000000003</v>
      </c>
    </row>
    <row r="78" spans="1:13">
      <c r="A78" s="1621">
        <v>7.6</v>
      </c>
      <c r="B78" s="1630">
        <v>0.86839999999999995</v>
      </c>
      <c r="C78" s="1630">
        <v>0.86839999999999995</v>
      </c>
      <c r="D78" s="1630">
        <v>0.75680000000000003</v>
      </c>
      <c r="E78" s="1630">
        <v>0.75680000000000003</v>
      </c>
      <c r="F78" s="1630">
        <v>0.75680000000000003</v>
      </c>
      <c r="G78" s="1630">
        <v>0.75680000000000003</v>
      </c>
      <c r="H78" s="1630">
        <v>0.75680000000000003</v>
      </c>
      <c r="I78" s="1630">
        <v>0.57899999999999996</v>
      </c>
      <c r="J78" s="1630">
        <v>0.57899999999999996</v>
      </c>
      <c r="K78" s="1630">
        <v>0.57899999999999996</v>
      </c>
      <c r="L78" s="1630">
        <v>0.57899999999999996</v>
      </c>
      <c r="M78" s="1630">
        <v>0.57899999999999996</v>
      </c>
    </row>
    <row r="79" spans="1:13">
      <c r="A79" s="1621">
        <v>7.7</v>
      </c>
      <c r="B79" s="1630">
        <v>0.8669</v>
      </c>
      <c r="C79" s="1630">
        <v>0.8669</v>
      </c>
      <c r="D79" s="1630">
        <v>0.755</v>
      </c>
      <c r="E79" s="1630">
        <v>0.755</v>
      </c>
      <c r="F79" s="1630">
        <v>0.755</v>
      </c>
      <c r="G79" s="1630">
        <v>0.755</v>
      </c>
      <c r="H79" s="1630">
        <v>0.755</v>
      </c>
      <c r="I79" s="1630">
        <v>0.57669999999999999</v>
      </c>
      <c r="J79" s="1630">
        <v>0.57669999999999999</v>
      </c>
      <c r="K79" s="1630">
        <v>0.57669999999999999</v>
      </c>
      <c r="L79" s="1630">
        <v>0.57669999999999999</v>
      </c>
      <c r="M79" s="1630">
        <v>0.57669999999999999</v>
      </c>
    </row>
    <row r="80" spans="1:13">
      <c r="A80" s="1621">
        <v>7.8</v>
      </c>
      <c r="B80" s="1630">
        <v>0.86539999999999995</v>
      </c>
      <c r="C80" s="1630">
        <v>0.86539999999999995</v>
      </c>
      <c r="D80" s="1630">
        <v>0.75329999999999997</v>
      </c>
      <c r="E80" s="1630">
        <v>0.75329999999999997</v>
      </c>
      <c r="F80" s="1630">
        <v>0.75329999999999997</v>
      </c>
      <c r="G80" s="1630">
        <v>0.75329999999999997</v>
      </c>
      <c r="H80" s="1630">
        <v>0.75329999999999997</v>
      </c>
      <c r="I80" s="1630">
        <v>0.57450000000000001</v>
      </c>
      <c r="J80" s="1630">
        <v>0.57450000000000001</v>
      </c>
      <c r="K80" s="1630">
        <v>0.57450000000000001</v>
      </c>
      <c r="L80" s="1630">
        <v>0.57450000000000001</v>
      </c>
      <c r="M80" s="1630">
        <v>0.57450000000000001</v>
      </c>
    </row>
    <row r="81" spans="1:13">
      <c r="A81" s="1621">
        <v>7.9</v>
      </c>
      <c r="B81" s="1630">
        <v>0.86380000000000001</v>
      </c>
      <c r="C81" s="1630">
        <v>0.86380000000000001</v>
      </c>
      <c r="D81" s="1630">
        <v>0.75170000000000003</v>
      </c>
      <c r="E81" s="1630">
        <v>0.75170000000000003</v>
      </c>
      <c r="F81" s="1630">
        <v>0.75170000000000003</v>
      </c>
      <c r="G81" s="1630">
        <v>0.75170000000000003</v>
      </c>
      <c r="H81" s="1630">
        <v>0.75170000000000003</v>
      </c>
      <c r="I81" s="1630">
        <v>0.57220000000000004</v>
      </c>
      <c r="J81" s="1630">
        <v>0.57220000000000004</v>
      </c>
      <c r="K81" s="1630">
        <v>0.57220000000000004</v>
      </c>
      <c r="L81" s="1630">
        <v>0.57220000000000004</v>
      </c>
      <c r="M81" s="1630">
        <v>0.57220000000000004</v>
      </c>
    </row>
    <row r="82" spans="1:13">
      <c r="A82" s="1621">
        <v>8</v>
      </c>
      <c r="B82" s="1630">
        <v>0.86240000000000006</v>
      </c>
      <c r="C82" s="1630">
        <v>0.86240000000000006</v>
      </c>
      <c r="D82" s="1630">
        <v>0.75</v>
      </c>
      <c r="E82" s="1630">
        <v>0.75</v>
      </c>
      <c r="F82" s="1630">
        <v>0.75</v>
      </c>
      <c r="G82" s="1630">
        <v>0.75</v>
      </c>
      <c r="H82" s="1630">
        <v>0.75</v>
      </c>
      <c r="I82" s="1630">
        <v>0.56989999999999996</v>
      </c>
      <c r="J82" s="1630">
        <v>0.56989999999999996</v>
      </c>
      <c r="K82" s="1630">
        <v>0.56989999999999996</v>
      </c>
      <c r="L82" s="1630">
        <v>0.56989999999999996</v>
      </c>
      <c r="M82" s="1630">
        <v>0.56989999999999996</v>
      </c>
    </row>
    <row r="83" spans="1:13">
      <c r="A83" s="1621">
        <v>8.1</v>
      </c>
      <c r="B83" s="1630">
        <v>0.86099999999999999</v>
      </c>
      <c r="C83" s="1630">
        <v>0.86099999999999999</v>
      </c>
      <c r="D83" s="1630">
        <v>0.74850000000000005</v>
      </c>
      <c r="E83" s="1630">
        <v>0.74850000000000005</v>
      </c>
      <c r="F83" s="1630">
        <v>0.74850000000000005</v>
      </c>
      <c r="G83" s="1630">
        <v>0.74850000000000005</v>
      </c>
      <c r="H83" s="1630">
        <v>0.74850000000000005</v>
      </c>
      <c r="I83" s="1630">
        <v>0.56779999999999997</v>
      </c>
      <c r="J83" s="1630">
        <v>0.56779999999999997</v>
      </c>
      <c r="K83" s="1630">
        <v>0.56779999999999997</v>
      </c>
      <c r="L83" s="1630">
        <v>0.56779999999999997</v>
      </c>
      <c r="M83" s="1630">
        <v>0.56779999999999997</v>
      </c>
    </row>
    <row r="84" spans="1:13">
      <c r="A84" s="1621">
        <v>8.1999999999999993</v>
      </c>
      <c r="B84" s="1630">
        <v>0.85970000000000002</v>
      </c>
      <c r="C84" s="1630">
        <v>0.85970000000000002</v>
      </c>
      <c r="D84" s="1630">
        <v>0.747</v>
      </c>
      <c r="E84" s="1630">
        <v>0.747</v>
      </c>
      <c r="F84" s="1630">
        <v>0.747</v>
      </c>
      <c r="G84" s="1630">
        <v>0.747</v>
      </c>
      <c r="H84" s="1630">
        <v>0.747</v>
      </c>
      <c r="I84" s="1630">
        <v>0.56589999999999996</v>
      </c>
      <c r="J84" s="1630">
        <v>0.56589999999999996</v>
      </c>
      <c r="K84" s="1630">
        <v>0.56589999999999996</v>
      </c>
      <c r="L84" s="1630">
        <v>0.56589999999999996</v>
      </c>
      <c r="M84" s="1630">
        <v>0.56589999999999996</v>
      </c>
    </row>
    <row r="85" spans="1:13">
      <c r="A85" s="1621">
        <v>8.3000000000000007</v>
      </c>
      <c r="B85" s="1630">
        <v>0.85840000000000005</v>
      </c>
      <c r="C85" s="1630">
        <v>0.85840000000000005</v>
      </c>
      <c r="D85" s="1630">
        <v>0.74560000000000004</v>
      </c>
      <c r="E85" s="1630">
        <v>0.74560000000000004</v>
      </c>
      <c r="F85" s="1630">
        <v>0.74560000000000004</v>
      </c>
      <c r="G85" s="1630">
        <v>0.74560000000000004</v>
      </c>
      <c r="H85" s="1630">
        <v>0.74560000000000004</v>
      </c>
      <c r="I85" s="1630">
        <v>0.56389999999999996</v>
      </c>
      <c r="J85" s="1630">
        <v>0.56389999999999996</v>
      </c>
      <c r="K85" s="1630">
        <v>0.56389999999999996</v>
      </c>
      <c r="L85" s="1630">
        <v>0.56389999999999996</v>
      </c>
      <c r="M85" s="1630">
        <v>0.56389999999999996</v>
      </c>
    </row>
    <row r="86" spans="1:13">
      <c r="A86" s="1621">
        <v>8.4</v>
      </c>
      <c r="B86" s="1630">
        <v>0.85709999999999997</v>
      </c>
      <c r="C86" s="1630">
        <v>0.85709999999999997</v>
      </c>
      <c r="D86" s="1630">
        <v>0.74419999999999997</v>
      </c>
      <c r="E86" s="1630">
        <v>0.74419999999999997</v>
      </c>
      <c r="F86" s="1630">
        <v>0.74419999999999997</v>
      </c>
      <c r="G86" s="1630">
        <v>0.74419999999999997</v>
      </c>
      <c r="H86" s="1630">
        <v>0.74419999999999997</v>
      </c>
      <c r="I86" s="1630">
        <v>0.56189999999999996</v>
      </c>
      <c r="J86" s="1630">
        <v>0.56189999999999996</v>
      </c>
      <c r="K86" s="1630">
        <v>0.56189999999999996</v>
      </c>
      <c r="L86" s="1630">
        <v>0.56189999999999996</v>
      </c>
      <c r="M86" s="1630">
        <v>0.56189999999999996</v>
      </c>
    </row>
    <row r="87" spans="1:13">
      <c r="A87" s="1621">
        <v>8.5</v>
      </c>
      <c r="B87" s="1630">
        <v>0.85580000000000001</v>
      </c>
      <c r="C87" s="1630">
        <v>0.85580000000000001</v>
      </c>
      <c r="D87" s="1630">
        <v>0.74270000000000003</v>
      </c>
      <c r="E87" s="1630">
        <v>0.74270000000000003</v>
      </c>
      <c r="F87" s="1630">
        <v>0.74270000000000003</v>
      </c>
      <c r="G87" s="1630">
        <v>0.74270000000000003</v>
      </c>
      <c r="H87" s="1630">
        <v>0.74270000000000003</v>
      </c>
      <c r="I87" s="1630">
        <v>0.55989999999999995</v>
      </c>
      <c r="J87" s="1630">
        <v>0.55989999999999995</v>
      </c>
      <c r="K87" s="1630">
        <v>0.55989999999999995</v>
      </c>
      <c r="L87" s="1630">
        <v>0.55989999999999995</v>
      </c>
      <c r="M87" s="1630">
        <v>0.55989999999999995</v>
      </c>
    </row>
    <row r="88" spans="1:13">
      <c r="A88" s="1621">
        <v>8.6</v>
      </c>
      <c r="B88" s="1630">
        <v>0.85450000000000004</v>
      </c>
      <c r="C88" s="1630">
        <v>0.85450000000000004</v>
      </c>
      <c r="D88" s="1630">
        <v>0.74129999999999996</v>
      </c>
      <c r="E88" s="1630">
        <v>0.74129999999999996</v>
      </c>
      <c r="F88" s="1630">
        <v>0.74129999999999996</v>
      </c>
      <c r="G88" s="1630">
        <v>0.74129999999999996</v>
      </c>
      <c r="H88" s="1630">
        <v>0.74129999999999996</v>
      </c>
      <c r="I88" s="1630">
        <v>0.55800000000000005</v>
      </c>
      <c r="J88" s="1630">
        <v>0.55800000000000005</v>
      </c>
      <c r="K88" s="1630">
        <v>0.55800000000000005</v>
      </c>
      <c r="L88" s="1630">
        <v>0.55800000000000005</v>
      </c>
      <c r="M88" s="1630">
        <v>0.55800000000000005</v>
      </c>
    </row>
    <row r="89" spans="1:13">
      <c r="A89" s="1621">
        <v>8.6999999999999993</v>
      </c>
      <c r="B89" s="1630">
        <v>0.85329999999999995</v>
      </c>
      <c r="C89" s="1630">
        <v>0.85329999999999995</v>
      </c>
      <c r="D89" s="1630">
        <v>0.7399</v>
      </c>
      <c r="E89" s="1630">
        <v>0.7399</v>
      </c>
      <c r="F89" s="1630">
        <v>0.7399</v>
      </c>
      <c r="G89" s="1630">
        <v>0.7399</v>
      </c>
      <c r="H89" s="1630">
        <v>0.7399</v>
      </c>
      <c r="I89" s="1630">
        <v>0.55600000000000005</v>
      </c>
      <c r="J89" s="1630">
        <v>0.55600000000000005</v>
      </c>
      <c r="K89" s="1630">
        <v>0.55600000000000005</v>
      </c>
      <c r="L89" s="1630">
        <v>0.55600000000000005</v>
      </c>
      <c r="M89" s="1630">
        <v>0.55600000000000005</v>
      </c>
    </row>
    <row r="90" spans="1:13">
      <c r="A90" s="1621">
        <v>8.8000000000000007</v>
      </c>
      <c r="B90" s="1630">
        <v>0.85209999999999997</v>
      </c>
      <c r="C90" s="1630">
        <v>0.85209999999999997</v>
      </c>
      <c r="D90" s="1630">
        <v>0.73850000000000005</v>
      </c>
      <c r="E90" s="1630">
        <v>0.73850000000000005</v>
      </c>
      <c r="F90" s="1630">
        <v>0.73850000000000005</v>
      </c>
      <c r="G90" s="1630">
        <v>0.73850000000000005</v>
      </c>
      <c r="H90" s="1630">
        <v>0.73850000000000005</v>
      </c>
      <c r="I90" s="1630">
        <v>0.55420000000000003</v>
      </c>
      <c r="J90" s="1630">
        <v>0.55420000000000003</v>
      </c>
      <c r="K90" s="1630">
        <v>0.55420000000000003</v>
      </c>
      <c r="L90" s="1630">
        <v>0.55420000000000003</v>
      </c>
      <c r="M90" s="1630">
        <v>0.55420000000000003</v>
      </c>
    </row>
    <row r="91" spans="1:13">
      <c r="A91" s="1621">
        <v>8.9</v>
      </c>
      <c r="B91" s="1630">
        <v>0.85099999999999998</v>
      </c>
      <c r="C91" s="1630">
        <v>0.85099999999999998</v>
      </c>
      <c r="D91" s="1630">
        <v>0.73719999999999997</v>
      </c>
      <c r="E91" s="1630">
        <v>0.73719999999999997</v>
      </c>
      <c r="F91" s="1630">
        <v>0.73719999999999997</v>
      </c>
      <c r="G91" s="1630">
        <v>0.73719999999999997</v>
      </c>
      <c r="H91" s="1630">
        <v>0.73719999999999997</v>
      </c>
      <c r="I91" s="1630">
        <v>0.55230000000000001</v>
      </c>
      <c r="J91" s="1630">
        <v>0.55230000000000001</v>
      </c>
      <c r="K91" s="1630">
        <v>0.55230000000000001</v>
      </c>
      <c r="L91" s="1630">
        <v>0.55230000000000001</v>
      </c>
      <c r="M91" s="1630">
        <v>0.55230000000000001</v>
      </c>
    </row>
    <row r="92" spans="1:13">
      <c r="A92" s="1644">
        <v>9</v>
      </c>
      <c r="B92" s="1630">
        <v>0.8498</v>
      </c>
      <c r="C92" s="1630">
        <v>0.8498</v>
      </c>
      <c r="D92" s="1630">
        <v>0.7359</v>
      </c>
      <c r="E92" s="1630">
        <v>0.7359</v>
      </c>
      <c r="F92" s="1630">
        <v>0.7359</v>
      </c>
      <c r="G92" s="1630">
        <v>0.7359</v>
      </c>
      <c r="H92" s="1630">
        <v>0.7359</v>
      </c>
      <c r="I92" s="1630">
        <v>0.55049999999999999</v>
      </c>
      <c r="J92" s="1630">
        <v>0.55049999999999999</v>
      </c>
      <c r="K92" s="1630">
        <v>0.55049999999999999</v>
      </c>
      <c r="L92" s="1630">
        <v>0.55049999999999999</v>
      </c>
      <c r="M92" s="1630">
        <v>0.55049999999999999</v>
      </c>
    </row>
    <row r="93" spans="1:13">
      <c r="A93" s="1644">
        <v>9.1</v>
      </c>
      <c r="B93" s="1630">
        <v>0.84870000000000001</v>
      </c>
      <c r="C93" s="1630">
        <v>0.84870000000000001</v>
      </c>
      <c r="D93" s="1630">
        <v>0.73470000000000002</v>
      </c>
      <c r="E93" s="1630">
        <v>0.73470000000000002</v>
      </c>
      <c r="F93" s="1630">
        <v>0.73470000000000002</v>
      </c>
      <c r="G93" s="1630">
        <v>0.73470000000000002</v>
      </c>
      <c r="H93" s="1630">
        <v>0.73470000000000002</v>
      </c>
      <c r="I93" s="1630">
        <v>0.54879999999999995</v>
      </c>
      <c r="J93" s="1630">
        <v>0.54879999999999995</v>
      </c>
      <c r="K93" s="1630">
        <v>0.54879999999999995</v>
      </c>
      <c r="L93" s="1630">
        <v>0.54879999999999995</v>
      </c>
      <c r="M93" s="1630">
        <v>0.54879999999999995</v>
      </c>
    </row>
    <row r="94" spans="1:13">
      <c r="A94" s="1644">
        <v>9.1999999999999993</v>
      </c>
      <c r="B94" s="1630">
        <v>0.84770000000000001</v>
      </c>
      <c r="C94" s="1630">
        <v>0.84770000000000001</v>
      </c>
      <c r="D94" s="1630">
        <v>0.73350000000000004</v>
      </c>
      <c r="E94" s="1630">
        <v>0.73350000000000004</v>
      </c>
      <c r="F94" s="1630">
        <v>0.73350000000000004</v>
      </c>
      <c r="G94" s="1630">
        <v>0.73350000000000004</v>
      </c>
      <c r="H94" s="1630">
        <v>0.73350000000000004</v>
      </c>
      <c r="I94" s="1630">
        <v>0.54710000000000003</v>
      </c>
      <c r="J94" s="1630">
        <v>0.54710000000000003</v>
      </c>
      <c r="K94" s="1630">
        <v>0.54710000000000003</v>
      </c>
      <c r="L94" s="1630">
        <v>0.54710000000000003</v>
      </c>
      <c r="M94" s="1630">
        <v>0.54710000000000003</v>
      </c>
    </row>
    <row r="95" spans="1:13">
      <c r="A95" s="1644">
        <v>9.3000000000000007</v>
      </c>
      <c r="B95" s="1630">
        <v>0.84660000000000002</v>
      </c>
      <c r="C95" s="1630">
        <v>0.84660000000000002</v>
      </c>
      <c r="D95" s="1630">
        <v>0.73229999999999995</v>
      </c>
      <c r="E95" s="1630">
        <v>0.73229999999999995</v>
      </c>
      <c r="F95" s="1630">
        <v>0.73229999999999995</v>
      </c>
      <c r="G95" s="1630">
        <v>0.73229999999999995</v>
      </c>
      <c r="H95" s="1630">
        <v>0.73229999999999995</v>
      </c>
      <c r="I95" s="1630">
        <v>0.5454</v>
      </c>
      <c r="J95" s="1630">
        <v>0.5454</v>
      </c>
      <c r="K95" s="1630">
        <v>0.5454</v>
      </c>
      <c r="L95" s="1630">
        <v>0.5454</v>
      </c>
      <c r="M95" s="1630">
        <v>0.5454</v>
      </c>
    </row>
    <row r="96" spans="1:13">
      <c r="A96" s="1644">
        <v>9.4</v>
      </c>
      <c r="B96" s="1630">
        <v>0.84550000000000003</v>
      </c>
      <c r="C96" s="1630">
        <v>0.84550000000000003</v>
      </c>
      <c r="D96" s="1630">
        <v>0.73109999999999997</v>
      </c>
      <c r="E96" s="1630">
        <v>0.73109999999999997</v>
      </c>
      <c r="F96" s="1630">
        <v>0.73109999999999997</v>
      </c>
      <c r="G96" s="1630">
        <v>0.73109999999999997</v>
      </c>
      <c r="H96" s="1630">
        <v>0.73109999999999997</v>
      </c>
      <c r="I96" s="1630">
        <v>0.54369999999999996</v>
      </c>
      <c r="J96" s="1630">
        <v>0.54369999999999996</v>
      </c>
      <c r="K96" s="1630">
        <v>0.54369999999999996</v>
      </c>
      <c r="L96" s="1630">
        <v>0.54369999999999996</v>
      </c>
      <c r="M96" s="1630">
        <v>0.54369999999999996</v>
      </c>
    </row>
    <row r="97" spans="1:14">
      <c r="A97" s="1644">
        <v>9.5</v>
      </c>
      <c r="B97" s="1630">
        <v>0.84450000000000003</v>
      </c>
      <c r="C97" s="1630">
        <v>0.84450000000000003</v>
      </c>
      <c r="D97" s="1630">
        <v>0.72989999999999999</v>
      </c>
      <c r="E97" s="1630">
        <v>0.72989999999999999</v>
      </c>
      <c r="F97" s="1630">
        <v>0.72989999999999999</v>
      </c>
      <c r="G97" s="1630">
        <v>0.72989999999999999</v>
      </c>
      <c r="H97" s="1630">
        <v>0.72989999999999999</v>
      </c>
      <c r="I97" s="1630">
        <v>0.54200000000000004</v>
      </c>
      <c r="J97" s="1630">
        <v>0.54200000000000004</v>
      </c>
      <c r="K97" s="1630">
        <v>0.54200000000000004</v>
      </c>
      <c r="L97" s="1630">
        <v>0.54200000000000004</v>
      </c>
      <c r="M97" s="1630">
        <v>0.54200000000000004</v>
      </c>
    </row>
    <row r="98" spans="1:14">
      <c r="A98" s="1644">
        <v>9.6</v>
      </c>
      <c r="B98" s="1630">
        <v>0.84340000000000004</v>
      </c>
      <c r="C98" s="1630">
        <v>0.84340000000000004</v>
      </c>
      <c r="D98" s="1630">
        <v>0.72870000000000001</v>
      </c>
      <c r="E98" s="1630">
        <v>0.72870000000000001</v>
      </c>
      <c r="F98" s="1630">
        <v>0.72870000000000001</v>
      </c>
      <c r="G98" s="1630">
        <v>0.72870000000000001</v>
      </c>
      <c r="H98" s="1630">
        <v>0.72870000000000001</v>
      </c>
      <c r="I98" s="1630">
        <v>0.5403</v>
      </c>
      <c r="J98" s="1630">
        <v>0.5403</v>
      </c>
      <c r="K98" s="1630">
        <v>0.5403</v>
      </c>
      <c r="L98" s="1630">
        <v>0.5403</v>
      </c>
      <c r="M98" s="1630">
        <v>0.5403</v>
      </c>
    </row>
    <row r="99" spans="1:14">
      <c r="A99" s="1644">
        <v>9.6999999999999993</v>
      </c>
      <c r="B99" s="1630">
        <v>0.84230000000000005</v>
      </c>
      <c r="C99" s="1630">
        <v>0.84230000000000005</v>
      </c>
      <c r="D99" s="1630">
        <v>0.72750000000000004</v>
      </c>
      <c r="E99" s="1630">
        <v>0.72750000000000004</v>
      </c>
      <c r="F99" s="1630">
        <v>0.72750000000000004</v>
      </c>
      <c r="G99" s="1630">
        <v>0.72750000000000004</v>
      </c>
      <c r="H99" s="1630">
        <v>0.72750000000000004</v>
      </c>
      <c r="I99" s="1630">
        <v>0.53859999999999997</v>
      </c>
      <c r="J99" s="1630">
        <v>0.53859999999999997</v>
      </c>
      <c r="K99" s="1630">
        <v>0.53859999999999997</v>
      </c>
      <c r="L99" s="1630">
        <v>0.53859999999999997</v>
      </c>
      <c r="M99" s="1630">
        <v>0.53859999999999997</v>
      </c>
    </row>
    <row r="100" spans="1:14">
      <c r="A100" s="1644">
        <v>9.8000000000000007</v>
      </c>
      <c r="B100" s="1630">
        <v>0.84140000000000004</v>
      </c>
      <c r="C100" s="1630">
        <v>0.84140000000000004</v>
      </c>
      <c r="D100" s="1630">
        <v>0.72629999999999995</v>
      </c>
      <c r="E100" s="1630">
        <v>0.72629999999999995</v>
      </c>
      <c r="F100" s="1630">
        <v>0.72629999999999995</v>
      </c>
      <c r="G100" s="1630">
        <v>0.72629999999999995</v>
      </c>
      <c r="H100" s="1630">
        <v>0.72629999999999995</v>
      </c>
      <c r="I100" s="1630">
        <v>0.53710000000000002</v>
      </c>
      <c r="J100" s="1630">
        <v>0.53710000000000002</v>
      </c>
      <c r="K100" s="1630">
        <v>0.53710000000000002</v>
      </c>
      <c r="L100" s="1630">
        <v>0.53710000000000002</v>
      </c>
      <c r="M100" s="1630">
        <v>0.53710000000000002</v>
      </c>
    </row>
    <row r="101" spans="1:14">
      <c r="A101" s="1644">
        <v>9.9</v>
      </c>
      <c r="B101" s="1630">
        <v>0.84050000000000002</v>
      </c>
      <c r="C101" s="1630">
        <v>0.84050000000000002</v>
      </c>
      <c r="D101" s="1630">
        <v>0.72519999999999996</v>
      </c>
      <c r="E101" s="1630">
        <v>0.72519999999999996</v>
      </c>
      <c r="F101" s="1630">
        <v>0.72519999999999996</v>
      </c>
      <c r="G101" s="1630">
        <v>0.72519999999999996</v>
      </c>
      <c r="H101" s="1630">
        <v>0.72519999999999996</v>
      </c>
      <c r="I101" s="1630">
        <v>0.53549999999999998</v>
      </c>
      <c r="J101" s="1630">
        <v>0.53549999999999998</v>
      </c>
      <c r="K101" s="1630">
        <v>0.53549999999999998</v>
      </c>
      <c r="L101" s="1630">
        <v>0.53549999999999998</v>
      </c>
      <c r="M101" s="1630">
        <v>0.53549999999999998</v>
      </c>
    </row>
    <row r="102" spans="1:14">
      <c r="A102" s="1644">
        <v>10</v>
      </c>
      <c r="B102" s="1630">
        <v>0.83950000000000002</v>
      </c>
      <c r="C102" s="1630">
        <v>0.83950000000000002</v>
      </c>
      <c r="D102" s="1630">
        <v>0.72409999999999997</v>
      </c>
      <c r="E102" s="1630">
        <v>0.72409999999999997</v>
      </c>
      <c r="F102" s="1630">
        <v>0.72409999999999997</v>
      </c>
      <c r="G102" s="1630">
        <v>0.72409999999999997</v>
      </c>
      <c r="H102" s="1630">
        <v>0.72409999999999997</v>
      </c>
      <c r="I102" s="1630">
        <v>0.53400000000000003</v>
      </c>
      <c r="J102" s="1630">
        <v>0.53400000000000003</v>
      </c>
      <c r="K102" s="1630">
        <v>0.53400000000000003</v>
      </c>
      <c r="L102" s="1630">
        <v>0.53400000000000003</v>
      </c>
      <c r="M102" s="1630">
        <v>0.53400000000000003</v>
      </c>
    </row>
    <row r="103" spans="1:14" ht="14.25">
      <c r="A103" s="1618" t="s">
        <v>2131</v>
      </c>
      <c r="B103" s="1619"/>
      <c r="C103" s="1619"/>
      <c r="D103" s="1619"/>
      <c r="E103" s="1619"/>
      <c r="F103" s="1619"/>
      <c r="G103" s="1619"/>
      <c r="H103" s="1619"/>
      <c r="I103" s="1619"/>
      <c r="J103" s="1619"/>
      <c r="K103" s="1619"/>
      <c r="L103" s="1619"/>
      <c r="M103" s="1619"/>
      <c r="N103" s="1619"/>
    </row>
    <row r="104" spans="1:14" ht="14.25">
      <c r="A104" s="1621" t="s">
        <v>2122</v>
      </c>
      <c r="B104" s="1622" t="s">
        <v>1527</v>
      </c>
      <c r="C104" s="1622" t="s">
        <v>1528</v>
      </c>
      <c r="D104" s="1622" t="s">
        <v>1529</v>
      </c>
      <c r="E104" s="1622" t="s">
        <v>1530</v>
      </c>
      <c r="F104" s="1622" t="s">
        <v>1531</v>
      </c>
      <c r="G104" s="1622" t="s">
        <v>1532</v>
      </c>
      <c r="H104" s="1623" t="s">
        <v>1533</v>
      </c>
      <c r="I104" s="1623" t="s">
        <v>1534</v>
      </c>
      <c r="J104" s="1624" t="s">
        <v>1535</v>
      </c>
      <c r="K104" s="1624" t="s">
        <v>1536</v>
      </c>
      <c r="L104" s="1624" t="s">
        <v>1537</v>
      </c>
      <c r="M104" s="1624" t="s">
        <v>1538</v>
      </c>
      <c r="N104" s="1619">
        <f>SUMPRODUCT((A105:A204=ROUNDDOWN(基准地价修正!G3,1))*(B104:M104=基准地价修正!G2)*(B105:M204))</f>
        <v>0.87809999999999999</v>
      </c>
    </row>
    <row r="105" spans="1:14">
      <c r="A105" s="1621">
        <v>0.1</v>
      </c>
      <c r="B105" s="1630">
        <v>13.733000000000001</v>
      </c>
      <c r="C105" s="1630">
        <v>13.733000000000001</v>
      </c>
      <c r="D105" s="1630">
        <v>12.787000000000001</v>
      </c>
      <c r="E105" s="1630">
        <v>12.787000000000001</v>
      </c>
      <c r="F105" s="1630">
        <v>12.787000000000001</v>
      </c>
      <c r="G105" s="1630">
        <v>12.787000000000001</v>
      </c>
      <c r="H105" s="1630">
        <v>12.787000000000001</v>
      </c>
      <c r="I105" s="1630">
        <v>12.384</v>
      </c>
      <c r="J105" s="1630">
        <v>12.384</v>
      </c>
      <c r="K105" s="1630">
        <v>12.384</v>
      </c>
      <c r="L105" s="1630">
        <v>12.384</v>
      </c>
      <c r="M105" s="1630">
        <v>12.384</v>
      </c>
    </row>
    <row r="106" spans="1:14">
      <c r="A106" s="1621">
        <v>0.2</v>
      </c>
      <c r="B106" s="1630">
        <v>6.8665000000000003</v>
      </c>
      <c r="C106" s="1630">
        <v>6.8665000000000003</v>
      </c>
      <c r="D106" s="1630">
        <v>6.3935000000000004</v>
      </c>
      <c r="E106" s="1630">
        <v>6.3935000000000004</v>
      </c>
      <c r="F106" s="1630">
        <v>6.3935000000000004</v>
      </c>
      <c r="G106" s="1630">
        <v>6.3935000000000004</v>
      </c>
      <c r="H106" s="1630">
        <v>6.3935000000000004</v>
      </c>
      <c r="I106" s="1630">
        <v>6.1920000000000002</v>
      </c>
      <c r="J106" s="1630">
        <v>6.1920000000000002</v>
      </c>
      <c r="K106" s="1630">
        <v>6.1920000000000002</v>
      </c>
      <c r="L106" s="1630">
        <v>6.1920000000000002</v>
      </c>
      <c r="M106" s="1630">
        <v>6.1920000000000002</v>
      </c>
    </row>
    <row r="107" spans="1:14">
      <c r="A107" s="1621">
        <v>0.3</v>
      </c>
      <c r="B107" s="1630">
        <v>4.5777000000000001</v>
      </c>
      <c r="C107" s="1630">
        <v>4.5777000000000001</v>
      </c>
      <c r="D107" s="1630">
        <v>4.2622999999999998</v>
      </c>
      <c r="E107" s="1630">
        <v>4.2622999999999998</v>
      </c>
      <c r="F107" s="1630">
        <v>4.2622999999999998</v>
      </c>
      <c r="G107" s="1630">
        <v>4.2622999999999998</v>
      </c>
      <c r="H107" s="1630">
        <v>4.2622999999999998</v>
      </c>
      <c r="I107" s="1630">
        <v>4.1280000000000001</v>
      </c>
      <c r="J107" s="1630">
        <v>4.1280000000000001</v>
      </c>
      <c r="K107" s="1630">
        <v>4.1280000000000001</v>
      </c>
      <c r="L107" s="1630">
        <v>4.1280000000000001</v>
      </c>
      <c r="M107" s="1630">
        <v>4.1280000000000001</v>
      </c>
    </row>
    <row r="108" spans="1:14">
      <c r="A108" s="1621">
        <v>0.4</v>
      </c>
      <c r="B108" s="1630">
        <v>3.4333</v>
      </c>
      <c r="C108" s="1630">
        <v>3.4333</v>
      </c>
      <c r="D108" s="1630">
        <v>3.1968000000000001</v>
      </c>
      <c r="E108" s="1630">
        <v>3.1968000000000001</v>
      </c>
      <c r="F108" s="1630">
        <v>3.1968000000000001</v>
      </c>
      <c r="G108" s="1630">
        <v>3.1968000000000001</v>
      </c>
      <c r="H108" s="1630">
        <v>3.1968000000000001</v>
      </c>
      <c r="I108" s="1630">
        <v>3.0960000000000001</v>
      </c>
      <c r="J108" s="1630">
        <v>3.0960000000000001</v>
      </c>
      <c r="K108" s="1630">
        <v>3.0960000000000001</v>
      </c>
      <c r="L108" s="1630">
        <v>3.0960000000000001</v>
      </c>
      <c r="M108" s="1630">
        <v>3.0960000000000001</v>
      </c>
    </row>
    <row r="109" spans="1:14">
      <c r="A109" s="1621">
        <v>0.5</v>
      </c>
      <c r="B109" s="1630">
        <v>2.7465999999999999</v>
      </c>
      <c r="C109" s="1630">
        <v>2.7465999999999999</v>
      </c>
      <c r="D109" s="1630">
        <v>2.5573999999999999</v>
      </c>
      <c r="E109" s="1630">
        <v>2.5573999999999999</v>
      </c>
      <c r="F109" s="1630">
        <v>2.5573999999999999</v>
      </c>
      <c r="G109" s="1630">
        <v>2.5573999999999999</v>
      </c>
      <c r="H109" s="1630">
        <v>2.5573999999999999</v>
      </c>
      <c r="I109" s="1630">
        <v>2.4767999999999999</v>
      </c>
      <c r="J109" s="1630">
        <v>2.4767999999999999</v>
      </c>
      <c r="K109" s="1630">
        <v>2.4767999999999999</v>
      </c>
      <c r="L109" s="1630">
        <v>2.4767999999999999</v>
      </c>
      <c r="M109" s="1630">
        <v>2.4767999999999999</v>
      </c>
    </row>
    <row r="110" spans="1:14">
      <c r="A110" s="1621">
        <v>0.6</v>
      </c>
      <c r="B110" s="1630">
        <v>2.2888000000000002</v>
      </c>
      <c r="C110" s="1630">
        <v>2.2888000000000002</v>
      </c>
      <c r="D110" s="1630">
        <v>2.1312000000000002</v>
      </c>
      <c r="E110" s="1630">
        <v>2.1312000000000002</v>
      </c>
      <c r="F110" s="1630">
        <v>2.1312000000000002</v>
      </c>
      <c r="G110" s="1630">
        <v>2.1312000000000002</v>
      </c>
      <c r="H110" s="1630">
        <v>2.1312000000000002</v>
      </c>
      <c r="I110" s="1630">
        <v>2.0640000000000001</v>
      </c>
      <c r="J110" s="1630">
        <v>2.0640000000000001</v>
      </c>
      <c r="K110" s="1630">
        <v>2.0640000000000001</v>
      </c>
      <c r="L110" s="1630">
        <v>2.0640000000000001</v>
      </c>
      <c r="M110" s="1630">
        <v>2.0640000000000001</v>
      </c>
    </row>
    <row r="111" spans="1:14">
      <c r="A111" s="1621">
        <v>0.7</v>
      </c>
      <c r="B111" s="1630">
        <v>1.9619</v>
      </c>
      <c r="C111" s="1630">
        <v>1.9619</v>
      </c>
      <c r="D111" s="1630">
        <v>1.8267</v>
      </c>
      <c r="E111" s="1630">
        <v>1.8267</v>
      </c>
      <c r="F111" s="1630">
        <v>1.8267</v>
      </c>
      <c r="G111" s="1630">
        <v>1.8267</v>
      </c>
      <c r="H111" s="1630">
        <v>1.8267</v>
      </c>
      <c r="I111" s="1630">
        <v>1.7690999999999999</v>
      </c>
      <c r="J111" s="1630">
        <v>1.7690999999999999</v>
      </c>
      <c r="K111" s="1630">
        <v>1.7690999999999999</v>
      </c>
      <c r="L111" s="1630">
        <v>1.7690999999999999</v>
      </c>
      <c r="M111" s="1630">
        <v>1.7690999999999999</v>
      </c>
    </row>
    <row r="112" spans="1:14">
      <c r="A112" s="1621">
        <v>0.8</v>
      </c>
      <c r="B112" s="1630">
        <v>1.7165999999999999</v>
      </c>
      <c r="C112" s="1630">
        <v>1.7165999999999999</v>
      </c>
      <c r="D112" s="1630">
        <v>1.5984</v>
      </c>
      <c r="E112" s="1630">
        <v>1.5984</v>
      </c>
      <c r="F112" s="1630">
        <v>1.5984</v>
      </c>
      <c r="G112" s="1630">
        <v>1.5984</v>
      </c>
      <c r="H112" s="1630">
        <v>1.5984</v>
      </c>
      <c r="I112" s="1630">
        <v>1.548</v>
      </c>
      <c r="J112" s="1630">
        <v>1.548</v>
      </c>
      <c r="K112" s="1630">
        <v>1.548</v>
      </c>
      <c r="L112" s="1630">
        <v>1.548</v>
      </c>
      <c r="M112" s="1630">
        <v>1.548</v>
      </c>
    </row>
    <row r="113" spans="1:13">
      <c r="A113" s="1621">
        <v>0.9</v>
      </c>
      <c r="B113" s="1630">
        <v>1.5259</v>
      </c>
      <c r="C113" s="1630">
        <v>1.5259</v>
      </c>
      <c r="D113" s="1630">
        <v>1.4208000000000001</v>
      </c>
      <c r="E113" s="1630">
        <v>1.4208000000000001</v>
      </c>
      <c r="F113" s="1630">
        <v>1.4208000000000001</v>
      </c>
      <c r="G113" s="1630">
        <v>1.4208000000000001</v>
      </c>
      <c r="H113" s="1630">
        <v>1.4208000000000001</v>
      </c>
      <c r="I113" s="1630">
        <v>1.3759999999999999</v>
      </c>
      <c r="J113" s="1630">
        <v>1.3759999999999999</v>
      </c>
      <c r="K113" s="1630">
        <v>1.3759999999999999</v>
      </c>
      <c r="L113" s="1630">
        <v>1.3759999999999999</v>
      </c>
      <c r="M113" s="1630">
        <v>1.3759999999999999</v>
      </c>
    </row>
    <row r="114" spans="1:13">
      <c r="A114" s="1621">
        <v>1</v>
      </c>
      <c r="B114" s="1630">
        <v>1.3733</v>
      </c>
      <c r="C114" s="1630">
        <v>1.3733</v>
      </c>
      <c r="D114" s="1630">
        <v>1.2786999999999999</v>
      </c>
      <c r="E114" s="1630">
        <v>1.2786999999999999</v>
      </c>
      <c r="F114" s="1630">
        <v>1.2786999999999999</v>
      </c>
      <c r="G114" s="1630">
        <v>1.2786999999999999</v>
      </c>
      <c r="H114" s="1630">
        <v>1.2786999999999999</v>
      </c>
      <c r="I114" s="1630">
        <v>1.2383999999999999</v>
      </c>
      <c r="J114" s="1630">
        <v>1.2383999999999999</v>
      </c>
      <c r="K114" s="1630">
        <v>1.2383999999999999</v>
      </c>
      <c r="L114" s="1630">
        <v>1.2383999999999999</v>
      </c>
      <c r="M114" s="1630">
        <v>1.2383999999999999</v>
      </c>
    </row>
    <row r="115" spans="1:13">
      <c r="A115" s="1621">
        <v>1.1000000000000001</v>
      </c>
      <c r="B115" s="1630">
        <v>1.3489</v>
      </c>
      <c r="C115" s="1630">
        <v>1.3489</v>
      </c>
      <c r="D115" s="1630">
        <v>1.2542</v>
      </c>
      <c r="E115" s="1630">
        <v>1.2542</v>
      </c>
      <c r="F115" s="1630">
        <v>1.2542</v>
      </c>
      <c r="G115" s="1630">
        <v>1.2542</v>
      </c>
      <c r="H115" s="1630">
        <v>1.2542</v>
      </c>
      <c r="I115" s="1630">
        <v>1.2050000000000001</v>
      </c>
      <c r="J115" s="1630">
        <v>1.2050000000000001</v>
      </c>
      <c r="K115" s="1630">
        <v>1.2050000000000001</v>
      </c>
      <c r="L115" s="1630">
        <v>1.2050000000000001</v>
      </c>
      <c r="M115" s="1630">
        <v>1.2050000000000001</v>
      </c>
    </row>
    <row r="116" spans="1:13">
      <c r="A116" s="1621">
        <v>1.2</v>
      </c>
      <c r="B116" s="1630">
        <v>1.3255999999999999</v>
      </c>
      <c r="C116" s="1630">
        <v>1.3255999999999999</v>
      </c>
      <c r="D116" s="1630">
        <v>1.2305999999999999</v>
      </c>
      <c r="E116" s="1630">
        <v>1.2305999999999999</v>
      </c>
      <c r="F116" s="1630">
        <v>1.2305999999999999</v>
      </c>
      <c r="G116" s="1630">
        <v>1.2305999999999999</v>
      </c>
      <c r="H116" s="1630">
        <v>1.2305999999999999</v>
      </c>
      <c r="I116" s="1630">
        <v>1.1741999999999999</v>
      </c>
      <c r="J116" s="1630">
        <v>1.1741999999999999</v>
      </c>
      <c r="K116" s="1630">
        <v>1.1741999999999999</v>
      </c>
      <c r="L116" s="1630">
        <v>1.1741999999999999</v>
      </c>
      <c r="M116" s="1630">
        <v>1.1741999999999999</v>
      </c>
    </row>
    <row r="117" spans="1:13">
      <c r="A117" s="1621">
        <v>1.3</v>
      </c>
      <c r="B117" s="1630">
        <v>1.3032999999999999</v>
      </c>
      <c r="C117" s="1630">
        <v>1.3032999999999999</v>
      </c>
      <c r="D117" s="1630">
        <v>1.2079</v>
      </c>
      <c r="E117" s="1630">
        <v>1.2079</v>
      </c>
      <c r="F117" s="1630">
        <v>1.2079</v>
      </c>
      <c r="G117" s="1630">
        <v>1.2079</v>
      </c>
      <c r="H117" s="1630">
        <v>1.2079</v>
      </c>
      <c r="I117" s="1630">
        <v>1.1459999999999999</v>
      </c>
      <c r="J117" s="1630">
        <v>1.1459999999999999</v>
      </c>
      <c r="K117" s="1630">
        <v>1.1459999999999999</v>
      </c>
      <c r="L117" s="1630">
        <v>1.1459999999999999</v>
      </c>
      <c r="M117" s="1630">
        <v>1.1459999999999999</v>
      </c>
    </row>
    <row r="118" spans="1:13">
      <c r="A118" s="1621">
        <v>1.4</v>
      </c>
      <c r="B118" s="1630">
        <v>1.282</v>
      </c>
      <c r="C118" s="1630">
        <v>1.282</v>
      </c>
      <c r="D118" s="1630">
        <v>1.1861999999999999</v>
      </c>
      <c r="E118" s="1630">
        <v>1.1861999999999999</v>
      </c>
      <c r="F118" s="1630">
        <v>1.1861999999999999</v>
      </c>
      <c r="G118" s="1630">
        <v>1.1861999999999999</v>
      </c>
      <c r="H118" s="1630">
        <v>1.1861999999999999</v>
      </c>
      <c r="I118" s="1630">
        <v>1.1200000000000001</v>
      </c>
      <c r="J118" s="1630">
        <v>1.1200000000000001</v>
      </c>
      <c r="K118" s="1630">
        <v>1.1200000000000001</v>
      </c>
      <c r="L118" s="1630">
        <v>1.1200000000000001</v>
      </c>
      <c r="M118" s="1630">
        <v>1.1200000000000001</v>
      </c>
    </row>
    <row r="119" spans="1:13">
      <c r="A119" s="1621">
        <v>1.5</v>
      </c>
      <c r="B119" s="1630">
        <v>1.2617</v>
      </c>
      <c r="C119" s="1630">
        <v>1.2617</v>
      </c>
      <c r="D119" s="1630">
        <v>1.1653</v>
      </c>
      <c r="E119" s="1630">
        <v>1.1653</v>
      </c>
      <c r="F119" s="1630">
        <v>1.1653</v>
      </c>
      <c r="G119" s="1630">
        <v>1.1653</v>
      </c>
      <c r="H119" s="1630">
        <v>1.1653</v>
      </c>
      <c r="I119" s="1630">
        <v>1.0961000000000001</v>
      </c>
      <c r="J119" s="1630">
        <v>1.0961000000000001</v>
      </c>
      <c r="K119" s="1630">
        <v>1.0961000000000001</v>
      </c>
      <c r="L119" s="1630">
        <v>1.0961000000000001</v>
      </c>
      <c r="M119" s="1630">
        <v>1.0961000000000001</v>
      </c>
    </row>
    <row r="120" spans="1:13">
      <c r="A120" s="1621">
        <v>1.6</v>
      </c>
      <c r="B120" s="1630">
        <v>1.2423</v>
      </c>
      <c r="C120" s="1630">
        <v>1.2423</v>
      </c>
      <c r="D120" s="1630">
        <v>1.1453</v>
      </c>
      <c r="E120" s="1630">
        <v>1.1453</v>
      </c>
      <c r="F120" s="1630">
        <v>1.1453</v>
      </c>
      <c r="G120" s="1630">
        <v>1.1453</v>
      </c>
      <c r="H120" s="1630">
        <v>1.1453</v>
      </c>
      <c r="I120" s="1630">
        <v>1.0740000000000001</v>
      </c>
      <c r="J120" s="1630">
        <v>1.0740000000000001</v>
      </c>
      <c r="K120" s="1630">
        <v>1.0740000000000001</v>
      </c>
      <c r="L120" s="1630">
        <v>1.0740000000000001</v>
      </c>
      <c r="M120" s="1630">
        <v>1.0740000000000001</v>
      </c>
    </row>
    <row r="121" spans="1:13">
      <c r="A121" s="1621">
        <v>1.7</v>
      </c>
      <c r="B121" s="1630">
        <v>1.2237</v>
      </c>
      <c r="C121" s="1630">
        <v>1.2237</v>
      </c>
      <c r="D121" s="1630">
        <v>1.1261000000000001</v>
      </c>
      <c r="E121" s="1630">
        <v>1.1261000000000001</v>
      </c>
      <c r="F121" s="1630">
        <v>1.1261000000000001</v>
      </c>
      <c r="G121" s="1630">
        <v>1.1261000000000001</v>
      </c>
      <c r="H121" s="1630">
        <v>1.1261000000000001</v>
      </c>
      <c r="I121" s="1630">
        <v>1.0535000000000001</v>
      </c>
      <c r="J121" s="1630">
        <v>1.0535000000000001</v>
      </c>
      <c r="K121" s="1630">
        <v>1.0535000000000001</v>
      </c>
      <c r="L121" s="1630">
        <v>1.0535000000000001</v>
      </c>
      <c r="M121" s="1630">
        <v>1.0535000000000001</v>
      </c>
    </row>
    <row r="122" spans="1:13">
      <c r="A122" s="1621">
        <v>1.8</v>
      </c>
      <c r="B122" s="1630">
        <v>1.206</v>
      </c>
      <c r="C122" s="1630">
        <v>1.206</v>
      </c>
      <c r="D122" s="1630">
        <v>1.1076999999999999</v>
      </c>
      <c r="E122" s="1630">
        <v>1.1076999999999999</v>
      </c>
      <c r="F122" s="1630">
        <v>1.1076999999999999</v>
      </c>
      <c r="G122" s="1630">
        <v>1.1076999999999999</v>
      </c>
      <c r="H122" s="1630">
        <v>1.1076999999999999</v>
      </c>
      <c r="I122" s="1630">
        <v>1.0345</v>
      </c>
      <c r="J122" s="1630">
        <v>1.0345</v>
      </c>
      <c r="K122" s="1630">
        <v>1.0345</v>
      </c>
      <c r="L122" s="1630">
        <v>1.0345</v>
      </c>
      <c r="M122" s="1630">
        <v>1.0345</v>
      </c>
    </row>
    <row r="123" spans="1:13">
      <c r="A123" s="1621">
        <v>1.9</v>
      </c>
      <c r="B123" s="1630">
        <v>1.1891</v>
      </c>
      <c r="C123" s="1630">
        <v>1.1891</v>
      </c>
      <c r="D123" s="1630">
        <v>1.0901000000000001</v>
      </c>
      <c r="E123" s="1630">
        <v>1.0901000000000001</v>
      </c>
      <c r="F123" s="1630">
        <v>1.0901000000000001</v>
      </c>
      <c r="G123" s="1630">
        <v>1.0901000000000001</v>
      </c>
      <c r="H123" s="1630">
        <v>1.0901000000000001</v>
      </c>
      <c r="I123" s="1630">
        <v>1.0166999999999999</v>
      </c>
      <c r="J123" s="1630">
        <v>1.0166999999999999</v>
      </c>
      <c r="K123" s="1630">
        <v>1.0166999999999999</v>
      </c>
      <c r="L123" s="1630">
        <v>1.0166999999999999</v>
      </c>
      <c r="M123" s="1630">
        <v>1.0166999999999999</v>
      </c>
    </row>
    <row r="124" spans="1:13">
      <c r="A124" s="1621">
        <v>2</v>
      </c>
      <c r="B124" s="1630">
        <v>1.1729000000000001</v>
      </c>
      <c r="C124" s="1630">
        <v>1.1729000000000001</v>
      </c>
      <c r="D124" s="1630">
        <v>1.0732999999999999</v>
      </c>
      <c r="E124" s="1630">
        <v>1.0732999999999999</v>
      </c>
      <c r="F124" s="1630">
        <v>1.0732999999999999</v>
      </c>
      <c r="G124" s="1630">
        <v>1.0732999999999999</v>
      </c>
      <c r="H124" s="1630">
        <v>1.0732999999999999</v>
      </c>
      <c r="I124" s="1630">
        <v>1</v>
      </c>
      <c r="J124" s="1630">
        <v>1</v>
      </c>
      <c r="K124" s="1630">
        <v>1</v>
      </c>
      <c r="L124" s="1630">
        <v>1</v>
      </c>
      <c r="M124" s="1630">
        <v>1</v>
      </c>
    </row>
    <row r="125" spans="1:13">
      <c r="A125" s="1644">
        <v>2.1</v>
      </c>
      <c r="B125" s="1630">
        <v>1.1574</v>
      </c>
      <c r="C125" s="1630">
        <v>1.1574</v>
      </c>
      <c r="D125" s="1630">
        <v>1.0571999999999999</v>
      </c>
      <c r="E125" s="1630">
        <v>1.0571999999999999</v>
      </c>
      <c r="F125" s="1630">
        <v>1.0571999999999999</v>
      </c>
      <c r="G125" s="1630">
        <v>1.0571999999999999</v>
      </c>
      <c r="H125" s="1630">
        <v>1.0571999999999999</v>
      </c>
      <c r="I125" s="1630">
        <v>0.98409999999999997</v>
      </c>
      <c r="J125" s="1630">
        <v>0.98409999999999997</v>
      </c>
      <c r="K125" s="1630">
        <v>0.98409999999999997</v>
      </c>
      <c r="L125" s="1630">
        <v>0.98409999999999997</v>
      </c>
      <c r="M125" s="1630">
        <v>0.98409999999999997</v>
      </c>
    </row>
    <row r="126" spans="1:13">
      <c r="A126" s="1644">
        <v>2.2000000000000002</v>
      </c>
      <c r="B126" s="1630">
        <v>1.1426000000000001</v>
      </c>
      <c r="C126" s="1630">
        <v>1.1426000000000001</v>
      </c>
      <c r="D126" s="1630">
        <v>1.0419</v>
      </c>
      <c r="E126" s="1630">
        <v>1.0419</v>
      </c>
      <c r="F126" s="1630">
        <v>1.0419</v>
      </c>
      <c r="G126" s="1630">
        <v>1.0419</v>
      </c>
      <c r="H126" s="1630">
        <v>1.0419</v>
      </c>
      <c r="I126" s="1630">
        <v>0.96889999999999998</v>
      </c>
      <c r="J126" s="1630">
        <v>0.96889999999999998</v>
      </c>
      <c r="K126" s="1630">
        <v>0.96889999999999998</v>
      </c>
      <c r="L126" s="1630">
        <v>0.96889999999999998</v>
      </c>
      <c r="M126" s="1630">
        <v>0.96889999999999998</v>
      </c>
    </row>
    <row r="127" spans="1:13">
      <c r="A127" s="1644">
        <v>2.2999999999999998</v>
      </c>
      <c r="B127" s="1630">
        <v>1.1285000000000001</v>
      </c>
      <c r="C127" s="1630">
        <v>1.1285000000000001</v>
      </c>
      <c r="D127" s="1630">
        <v>1.0271999999999999</v>
      </c>
      <c r="E127" s="1630">
        <v>1.0271999999999999</v>
      </c>
      <c r="F127" s="1630">
        <v>1.0271999999999999</v>
      </c>
      <c r="G127" s="1630">
        <v>1.0271999999999999</v>
      </c>
      <c r="H127" s="1630">
        <v>1.0271999999999999</v>
      </c>
      <c r="I127" s="1630">
        <v>0.95440000000000003</v>
      </c>
      <c r="J127" s="1630">
        <v>0.95440000000000003</v>
      </c>
      <c r="K127" s="1630">
        <v>0.95440000000000003</v>
      </c>
      <c r="L127" s="1630">
        <v>0.95440000000000003</v>
      </c>
      <c r="M127" s="1630">
        <v>0.95440000000000003</v>
      </c>
    </row>
    <row r="128" spans="1:13">
      <c r="A128" s="1644">
        <v>2.4</v>
      </c>
      <c r="B128" s="1630">
        <v>1.1149</v>
      </c>
      <c r="C128" s="1630">
        <v>1.1149</v>
      </c>
      <c r="D128" s="1630">
        <v>1.0133000000000001</v>
      </c>
      <c r="E128" s="1630">
        <v>1.0133000000000001</v>
      </c>
      <c r="F128" s="1630">
        <v>1.0133000000000001</v>
      </c>
      <c r="G128" s="1630">
        <v>1.0133000000000001</v>
      </c>
      <c r="H128" s="1630">
        <v>1.0133000000000001</v>
      </c>
      <c r="I128" s="1630">
        <v>0.9405</v>
      </c>
      <c r="J128" s="1630">
        <v>0.9405</v>
      </c>
      <c r="K128" s="1630">
        <v>0.9405</v>
      </c>
      <c r="L128" s="1630">
        <v>0.9405</v>
      </c>
      <c r="M128" s="1630">
        <v>0.9405</v>
      </c>
    </row>
    <row r="129" spans="1:13">
      <c r="A129" s="1644">
        <v>2.5</v>
      </c>
      <c r="B129" s="1630">
        <v>1.1020000000000001</v>
      </c>
      <c r="C129" s="1630">
        <v>1.1020000000000001</v>
      </c>
      <c r="D129" s="1630">
        <v>1</v>
      </c>
      <c r="E129" s="1630">
        <v>1</v>
      </c>
      <c r="F129" s="1630">
        <v>1</v>
      </c>
      <c r="G129" s="1630">
        <v>1</v>
      </c>
      <c r="H129" s="1630">
        <v>1</v>
      </c>
      <c r="I129" s="1630">
        <v>0.92730000000000001</v>
      </c>
      <c r="J129" s="1630">
        <v>0.92730000000000001</v>
      </c>
      <c r="K129" s="1630">
        <v>0.92730000000000001</v>
      </c>
      <c r="L129" s="1630">
        <v>0.92730000000000001</v>
      </c>
      <c r="M129" s="1630">
        <v>0.92730000000000001</v>
      </c>
    </row>
    <row r="130" spans="1:13">
      <c r="A130" s="1644">
        <v>2.6</v>
      </c>
      <c r="B130" s="1630">
        <v>1.0895999999999999</v>
      </c>
      <c r="C130" s="1630">
        <v>1.0895999999999999</v>
      </c>
      <c r="D130" s="1630">
        <v>0.98740000000000006</v>
      </c>
      <c r="E130" s="1630">
        <v>0.98740000000000006</v>
      </c>
      <c r="F130" s="1630">
        <v>0.98740000000000006</v>
      </c>
      <c r="G130" s="1630">
        <v>0.98740000000000006</v>
      </c>
      <c r="H130" s="1630">
        <v>0.98740000000000006</v>
      </c>
      <c r="I130" s="1630">
        <v>0.91469999999999996</v>
      </c>
      <c r="J130" s="1630">
        <v>0.91469999999999996</v>
      </c>
      <c r="K130" s="1630">
        <v>0.91469999999999996</v>
      </c>
      <c r="L130" s="1630">
        <v>0.91469999999999996</v>
      </c>
      <c r="M130" s="1630">
        <v>0.91469999999999996</v>
      </c>
    </row>
    <row r="131" spans="1:13">
      <c r="A131" s="1644">
        <v>2.7</v>
      </c>
      <c r="B131" s="1630">
        <v>1.0778000000000001</v>
      </c>
      <c r="C131" s="1630">
        <v>1.0778000000000001</v>
      </c>
      <c r="D131" s="1630">
        <v>0.97540000000000004</v>
      </c>
      <c r="E131" s="1630">
        <v>0.97540000000000004</v>
      </c>
      <c r="F131" s="1630">
        <v>0.97540000000000004</v>
      </c>
      <c r="G131" s="1630">
        <v>0.97540000000000004</v>
      </c>
      <c r="H131" s="1630">
        <v>0.97540000000000004</v>
      </c>
      <c r="I131" s="1630">
        <v>0.90269999999999995</v>
      </c>
      <c r="J131" s="1630">
        <v>0.90269999999999995</v>
      </c>
      <c r="K131" s="1630">
        <v>0.90269999999999995</v>
      </c>
      <c r="L131" s="1630">
        <v>0.90269999999999995</v>
      </c>
      <c r="M131" s="1630">
        <v>0.90269999999999995</v>
      </c>
    </row>
    <row r="132" spans="1:13">
      <c r="A132" s="1644">
        <v>2.8</v>
      </c>
      <c r="B132" s="1630">
        <v>1.0665</v>
      </c>
      <c r="C132" s="1630">
        <v>1.0665</v>
      </c>
      <c r="D132" s="1630">
        <v>0.96399999999999997</v>
      </c>
      <c r="E132" s="1630">
        <v>0.96399999999999997</v>
      </c>
      <c r="F132" s="1630">
        <v>0.96399999999999997</v>
      </c>
      <c r="G132" s="1630">
        <v>0.96399999999999997</v>
      </c>
      <c r="H132" s="1630">
        <v>0.96399999999999997</v>
      </c>
      <c r="I132" s="1630">
        <v>0.89119999999999999</v>
      </c>
      <c r="J132" s="1630">
        <v>0.89119999999999999</v>
      </c>
      <c r="K132" s="1630">
        <v>0.89119999999999999</v>
      </c>
      <c r="L132" s="1630">
        <v>0.89119999999999999</v>
      </c>
      <c r="M132" s="1630">
        <v>0.89119999999999999</v>
      </c>
    </row>
    <row r="133" spans="1:13">
      <c r="A133" s="1644">
        <v>2.9</v>
      </c>
      <c r="B133" s="1630">
        <v>1.0556000000000001</v>
      </c>
      <c r="C133" s="1630">
        <v>1.0556000000000001</v>
      </c>
      <c r="D133" s="1630">
        <v>0.95330000000000004</v>
      </c>
      <c r="E133" s="1630">
        <v>0.95330000000000004</v>
      </c>
      <c r="F133" s="1630">
        <v>0.95330000000000004</v>
      </c>
      <c r="G133" s="1630">
        <v>0.95330000000000004</v>
      </c>
      <c r="H133" s="1630">
        <v>0.95330000000000004</v>
      </c>
      <c r="I133" s="1630">
        <v>0.88019999999999998</v>
      </c>
      <c r="J133" s="1630">
        <v>0.88019999999999998</v>
      </c>
      <c r="K133" s="1630">
        <v>0.88019999999999998</v>
      </c>
      <c r="L133" s="1630">
        <v>0.88019999999999998</v>
      </c>
      <c r="M133" s="1630">
        <v>0.88019999999999998</v>
      </c>
    </row>
    <row r="134" spans="1:13">
      <c r="A134" s="1644">
        <v>3</v>
      </c>
      <c r="B134" s="1630">
        <v>1.0452999999999999</v>
      </c>
      <c r="C134" s="1630">
        <v>1.0452999999999999</v>
      </c>
      <c r="D134" s="1630">
        <v>0.94299999999999995</v>
      </c>
      <c r="E134" s="1630">
        <v>0.94299999999999995</v>
      </c>
      <c r="F134" s="1630">
        <v>0.94299999999999995</v>
      </c>
      <c r="G134" s="1630">
        <v>0.94299999999999995</v>
      </c>
      <c r="H134" s="1630">
        <v>0.94299999999999995</v>
      </c>
      <c r="I134" s="1630">
        <v>0.86970000000000003</v>
      </c>
      <c r="J134" s="1630">
        <v>0.86970000000000003</v>
      </c>
      <c r="K134" s="1630">
        <v>0.86970000000000003</v>
      </c>
      <c r="L134" s="1630">
        <v>0.86970000000000003</v>
      </c>
      <c r="M134" s="1630">
        <v>0.86970000000000003</v>
      </c>
    </row>
    <row r="135" spans="1:13">
      <c r="A135" s="1644">
        <v>3.1</v>
      </c>
      <c r="B135" s="1630">
        <v>1.0354000000000001</v>
      </c>
      <c r="C135" s="1630">
        <v>1.0354000000000001</v>
      </c>
      <c r="D135" s="1630">
        <v>0.93330000000000002</v>
      </c>
      <c r="E135" s="1630">
        <v>0.93330000000000002</v>
      </c>
      <c r="F135" s="1630">
        <v>0.93330000000000002</v>
      </c>
      <c r="G135" s="1630">
        <v>0.93330000000000002</v>
      </c>
      <c r="H135" s="1630">
        <v>0.93330000000000002</v>
      </c>
      <c r="I135" s="1630">
        <v>0.85970000000000002</v>
      </c>
      <c r="J135" s="1630">
        <v>0.85970000000000002</v>
      </c>
      <c r="K135" s="1630">
        <v>0.85970000000000002</v>
      </c>
      <c r="L135" s="1630">
        <v>0.85970000000000002</v>
      </c>
      <c r="M135" s="1630">
        <v>0.85970000000000002</v>
      </c>
    </row>
    <row r="136" spans="1:13">
      <c r="A136" s="1644">
        <v>3.2</v>
      </c>
      <c r="B136" s="1630">
        <v>1.0259</v>
      </c>
      <c r="C136" s="1630">
        <v>1.0259</v>
      </c>
      <c r="D136" s="1630">
        <v>0.92410000000000003</v>
      </c>
      <c r="E136" s="1630">
        <v>0.92410000000000003</v>
      </c>
      <c r="F136" s="1630">
        <v>0.92410000000000003</v>
      </c>
      <c r="G136" s="1630">
        <v>0.92410000000000003</v>
      </c>
      <c r="H136" s="1630">
        <v>0.92410000000000003</v>
      </c>
      <c r="I136" s="1630">
        <v>0.85019999999999996</v>
      </c>
      <c r="J136" s="1630">
        <v>0.85019999999999996</v>
      </c>
      <c r="K136" s="1630">
        <v>0.85019999999999996</v>
      </c>
      <c r="L136" s="1630">
        <v>0.85019999999999996</v>
      </c>
      <c r="M136" s="1630">
        <v>0.85019999999999996</v>
      </c>
    </row>
    <row r="137" spans="1:13">
      <c r="A137" s="1644">
        <v>3.3</v>
      </c>
      <c r="B137" s="1630">
        <v>1.0168999999999999</v>
      </c>
      <c r="C137" s="1630">
        <v>1.0168999999999999</v>
      </c>
      <c r="D137" s="1630">
        <v>0.91539999999999999</v>
      </c>
      <c r="E137" s="1630">
        <v>0.91539999999999999</v>
      </c>
      <c r="F137" s="1630">
        <v>0.91539999999999999</v>
      </c>
      <c r="G137" s="1630">
        <v>0.91539999999999999</v>
      </c>
      <c r="H137" s="1630">
        <v>0.91539999999999999</v>
      </c>
      <c r="I137" s="1630">
        <v>0.84109999999999996</v>
      </c>
      <c r="J137" s="1630">
        <v>0.84109999999999996</v>
      </c>
      <c r="K137" s="1630">
        <v>0.84109999999999996</v>
      </c>
      <c r="L137" s="1630">
        <v>0.84109999999999996</v>
      </c>
      <c r="M137" s="1630">
        <v>0.84109999999999996</v>
      </c>
    </row>
    <row r="138" spans="1:13">
      <c r="A138" s="1644">
        <v>3.4</v>
      </c>
      <c r="B138" s="1630">
        <v>1.0082</v>
      </c>
      <c r="C138" s="1630">
        <v>1.0082</v>
      </c>
      <c r="D138" s="1630">
        <v>0.90710000000000002</v>
      </c>
      <c r="E138" s="1630">
        <v>0.90710000000000002</v>
      </c>
      <c r="F138" s="1630">
        <v>0.90710000000000002</v>
      </c>
      <c r="G138" s="1630">
        <v>0.90710000000000002</v>
      </c>
      <c r="H138" s="1630">
        <v>0.90710000000000002</v>
      </c>
      <c r="I138" s="1630">
        <v>0.83240000000000003</v>
      </c>
      <c r="J138" s="1630">
        <v>0.83240000000000003</v>
      </c>
      <c r="K138" s="1630">
        <v>0.83240000000000003</v>
      </c>
      <c r="L138" s="1630">
        <v>0.83240000000000003</v>
      </c>
      <c r="M138" s="1630">
        <v>0.83240000000000003</v>
      </c>
    </row>
    <row r="139" spans="1:13">
      <c r="A139" s="1644">
        <v>3.5</v>
      </c>
      <c r="B139" s="1630">
        <v>1</v>
      </c>
      <c r="C139" s="1630">
        <v>1</v>
      </c>
      <c r="D139" s="1630">
        <v>0.89929999999999999</v>
      </c>
      <c r="E139" s="1630">
        <v>0.89929999999999999</v>
      </c>
      <c r="F139" s="1630">
        <v>0.89929999999999999</v>
      </c>
      <c r="G139" s="1630">
        <v>0.89929999999999999</v>
      </c>
      <c r="H139" s="1630">
        <v>0.89929999999999999</v>
      </c>
      <c r="I139" s="1630">
        <v>0.82410000000000005</v>
      </c>
      <c r="J139" s="1630">
        <v>0.82410000000000005</v>
      </c>
      <c r="K139" s="1630">
        <v>0.82410000000000005</v>
      </c>
      <c r="L139" s="1630">
        <v>0.82410000000000005</v>
      </c>
      <c r="M139" s="1630">
        <v>0.82410000000000005</v>
      </c>
    </row>
    <row r="140" spans="1:13">
      <c r="A140" s="1644">
        <v>3.6</v>
      </c>
      <c r="B140" s="1630">
        <v>0.99219999999999997</v>
      </c>
      <c r="C140" s="1630">
        <v>0.99219999999999997</v>
      </c>
      <c r="D140" s="1630">
        <v>0.89190000000000003</v>
      </c>
      <c r="E140" s="1630">
        <v>0.89190000000000003</v>
      </c>
      <c r="F140" s="1630">
        <v>0.89190000000000003</v>
      </c>
      <c r="G140" s="1630">
        <v>0.89190000000000003</v>
      </c>
      <c r="H140" s="1630">
        <v>0.89190000000000003</v>
      </c>
      <c r="I140" s="1630">
        <v>0.81620000000000004</v>
      </c>
      <c r="J140" s="1630">
        <v>0.81620000000000004</v>
      </c>
      <c r="K140" s="1630">
        <v>0.81620000000000004</v>
      </c>
      <c r="L140" s="1630">
        <v>0.81620000000000004</v>
      </c>
      <c r="M140" s="1630">
        <v>0.81620000000000004</v>
      </c>
    </row>
    <row r="141" spans="1:13">
      <c r="A141" s="1644">
        <v>3.7</v>
      </c>
      <c r="B141" s="1630">
        <v>0.98480000000000001</v>
      </c>
      <c r="C141" s="1630">
        <v>0.98480000000000001</v>
      </c>
      <c r="D141" s="1630">
        <v>0.88480000000000003</v>
      </c>
      <c r="E141" s="1630">
        <v>0.88480000000000003</v>
      </c>
      <c r="F141" s="1630">
        <v>0.88480000000000003</v>
      </c>
      <c r="G141" s="1630">
        <v>0.88480000000000003</v>
      </c>
      <c r="H141" s="1630">
        <v>0.88480000000000003</v>
      </c>
      <c r="I141" s="1630">
        <v>0.80869999999999997</v>
      </c>
      <c r="J141" s="1630">
        <v>0.80869999999999997</v>
      </c>
      <c r="K141" s="1630">
        <v>0.80869999999999997</v>
      </c>
      <c r="L141" s="1630">
        <v>0.80869999999999997</v>
      </c>
      <c r="M141" s="1630">
        <v>0.80869999999999997</v>
      </c>
    </row>
    <row r="142" spans="1:13">
      <c r="A142" s="1644">
        <v>3.8</v>
      </c>
      <c r="B142" s="1630">
        <v>0.9778</v>
      </c>
      <c r="C142" s="1630">
        <v>0.9778</v>
      </c>
      <c r="D142" s="1630">
        <v>0.87809999999999999</v>
      </c>
      <c r="E142" s="1630">
        <v>0.87809999999999999</v>
      </c>
      <c r="F142" s="1630">
        <v>0.87809999999999999</v>
      </c>
      <c r="G142" s="1630">
        <v>0.87809999999999999</v>
      </c>
      <c r="H142" s="1630">
        <v>0.87809999999999999</v>
      </c>
      <c r="I142" s="1630">
        <v>0.80159999999999998</v>
      </c>
      <c r="J142" s="1630">
        <v>0.80159999999999998</v>
      </c>
      <c r="K142" s="1630">
        <v>0.80159999999999998</v>
      </c>
      <c r="L142" s="1630">
        <v>0.80159999999999998</v>
      </c>
      <c r="M142" s="1630">
        <v>0.80159999999999998</v>
      </c>
    </row>
    <row r="143" spans="1:13">
      <c r="A143" s="1644">
        <v>3.9</v>
      </c>
      <c r="B143" s="1630">
        <v>0.97119999999999995</v>
      </c>
      <c r="C143" s="1630">
        <v>0.97119999999999995</v>
      </c>
      <c r="D143" s="1630">
        <v>0.87180000000000002</v>
      </c>
      <c r="E143" s="1630">
        <v>0.87180000000000002</v>
      </c>
      <c r="F143" s="1630">
        <v>0.87180000000000002</v>
      </c>
      <c r="G143" s="1630">
        <v>0.87180000000000002</v>
      </c>
      <c r="H143" s="1630">
        <v>0.87180000000000002</v>
      </c>
      <c r="I143" s="1630">
        <v>0.79479999999999995</v>
      </c>
      <c r="J143" s="1630">
        <v>0.79479999999999995</v>
      </c>
      <c r="K143" s="1630">
        <v>0.79479999999999995</v>
      </c>
      <c r="L143" s="1630">
        <v>0.79479999999999995</v>
      </c>
      <c r="M143" s="1630">
        <v>0.79479999999999995</v>
      </c>
    </row>
    <row r="144" spans="1:13">
      <c r="A144" s="1644">
        <v>4</v>
      </c>
      <c r="B144" s="1630">
        <v>0.96499999999999997</v>
      </c>
      <c r="C144" s="1630">
        <v>0.96499999999999997</v>
      </c>
      <c r="D144" s="1630">
        <v>0.86580000000000001</v>
      </c>
      <c r="E144" s="1630">
        <v>0.86580000000000001</v>
      </c>
      <c r="F144" s="1630">
        <v>0.86580000000000001</v>
      </c>
      <c r="G144" s="1630">
        <v>0.86580000000000001</v>
      </c>
      <c r="H144" s="1630">
        <v>0.86580000000000001</v>
      </c>
      <c r="I144" s="1630">
        <v>0.7883</v>
      </c>
      <c r="J144" s="1630">
        <v>0.7883</v>
      </c>
      <c r="K144" s="1630">
        <v>0.7883</v>
      </c>
      <c r="L144" s="1630">
        <v>0.7883</v>
      </c>
      <c r="M144" s="1630">
        <v>0.7883</v>
      </c>
    </row>
    <row r="145" spans="1:13">
      <c r="A145" s="1644">
        <v>4.0999999999999996</v>
      </c>
      <c r="B145" s="1630">
        <v>0.95909999999999995</v>
      </c>
      <c r="C145" s="1630">
        <v>0.95909999999999995</v>
      </c>
      <c r="D145" s="1630">
        <v>0.86009999999999998</v>
      </c>
      <c r="E145" s="1630">
        <v>0.86009999999999998</v>
      </c>
      <c r="F145" s="1630">
        <v>0.86009999999999998</v>
      </c>
      <c r="G145" s="1630">
        <v>0.86009999999999998</v>
      </c>
      <c r="H145" s="1630">
        <v>0.86009999999999998</v>
      </c>
      <c r="I145" s="1630">
        <v>0.78200000000000003</v>
      </c>
      <c r="J145" s="1630">
        <v>0.78200000000000003</v>
      </c>
      <c r="K145" s="1630">
        <v>0.78200000000000003</v>
      </c>
      <c r="L145" s="1630">
        <v>0.78200000000000003</v>
      </c>
      <c r="M145" s="1630">
        <v>0.78200000000000003</v>
      </c>
    </row>
    <row r="146" spans="1:13">
      <c r="A146" s="1644">
        <v>4.2</v>
      </c>
      <c r="B146" s="1630">
        <v>0.95350000000000001</v>
      </c>
      <c r="C146" s="1630">
        <v>0.95350000000000001</v>
      </c>
      <c r="D146" s="1630">
        <v>0.85470000000000002</v>
      </c>
      <c r="E146" s="1630">
        <v>0.85470000000000002</v>
      </c>
      <c r="F146" s="1630">
        <v>0.85470000000000002</v>
      </c>
      <c r="G146" s="1630">
        <v>0.85470000000000002</v>
      </c>
      <c r="H146" s="1630">
        <v>0.85470000000000002</v>
      </c>
      <c r="I146" s="1630">
        <v>0.77600000000000002</v>
      </c>
      <c r="J146" s="1630">
        <v>0.77600000000000002</v>
      </c>
      <c r="K146" s="1630">
        <v>0.77600000000000002</v>
      </c>
      <c r="L146" s="1630">
        <v>0.77600000000000002</v>
      </c>
      <c r="M146" s="1630">
        <v>0.77600000000000002</v>
      </c>
    </row>
    <row r="147" spans="1:13">
      <c r="A147" s="1644">
        <v>4.3</v>
      </c>
      <c r="B147" s="1630">
        <v>0.94820000000000004</v>
      </c>
      <c r="C147" s="1630">
        <v>0.94820000000000004</v>
      </c>
      <c r="D147" s="1630">
        <v>0.84960000000000002</v>
      </c>
      <c r="E147" s="1630">
        <v>0.84960000000000002</v>
      </c>
      <c r="F147" s="1630">
        <v>0.84960000000000002</v>
      </c>
      <c r="G147" s="1630">
        <v>0.84960000000000002</v>
      </c>
      <c r="H147" s="1630">
        <v>0.84960000000000002</v>
      </c>
      <c r="I147" s="1630">
        <v>0.77029999999999998</v>
      </c>
      <c r="J147" s="1630">
        <v>0.77029999999999998</v>
      </c>
      <c r="K147" s="1630">
        <v>0.77029999999999998</v>
      </c>
      <c r="L147" s="1630">
        <v>0.77029999999999998</v>
      </c>
      <c r="M147" s="1630">
        <v>0.77029999999999998</v>
      </c>
    </row>
    <row r="148" spans="1:13">
      <c r="A148" s="1644">
        <v>4.4000000000000004</v>
      </c>
      <c r="B148" s="1630">
        <v>0.94320000000000004</v>
      </c>
      <c r="C148" s="1630">
        <v>0.94320000000000004</v>
      </c>
      <c r="D148" s="1630">
        <v>0.8448</v>
      </c>
      <c r="E148" s="1630">
        <v>0.8448</v>
      </c>
      <c r="F148" s="1630">
        <v>0.8448</v>
      </c>
      <c r="G148" s="1630">
        <v>0.8448</v>
      </c>
      <c r="H148" s="1630">
        <v>0.8448</v>
      </c>
      <c r="I148" s="1630">
        <v>0.76490000000000002</v>
      </c>
      <c r="J148" s="1630">
        <v>0.76490000000000002</v>
      </c>
      <c r="K148" s="1630">
        <v>0.76490000000000002</v>
      </c>
      <c r="L148" s="1630">
        <v>0.76490000000000002</v>
      </c>
      <c r="M148" s="1630">
        <v>0.76490000000000002</v>
      </c>
    </row>
    <row r="149" spans="1:13">
      <c r="A149" s="1644">
        <v>4.5</v>
      </c>
      <c r="B149" s="1630">
        <v>0.9385</v>
      </c>
      <c r="C149" s="1630">
        <v>0.9385</v>
      </c>
      <c r="D149" s="1630">
        <v>0.84019999999999995</v>
      </c>
      <c r="E149" s="1630">
        <v>0.84019999999999995</v>
      </c>
      <c r="F149" s="1630">
        <v>0.84019999999999995</v>
      </c>
      <c r="G149" s="1630">
        <v>0.84019999999999995</v>
      </c>
      <c r="H149" s="1630">
        <v>0.84019999999999995</v>
      </c>
      <c r="I149" s="1630">
        <v>0.75970000000000004</v>
      </c>
      <c r="J149" s="1630">
        <v>0.75970000000000004</v>
      </c>
      <c r="K149" s="1630">
        <v>0.75970000000000004</v>
      </c>
      <c r="L149" s="1630">
        <v>0.75970000000000004</v>
      </c>
      <c r="M149" s="1630">
        <v>0.75970000000000004</v>
      </c>
    </row>
    <row r="150" spans="1:13">
      <c r="A150" s="1644">
        <v>4.5999999999999996</v>
      </c>
      <c r="B150" s="1630">
        <v>0.93410000000000004</v>
      </c>
      <c r="C150" s="1630">
        <v>0.93410000000000004</v>
      </c>
      <c r="D150" s="1630">
        <v>0.83579999999999999</v>
      </c>
      <c r="E150" s="1630">
        <v>0.83579999999999999</v>
      </c>
      <c r="F150" s="1630">
        <v>0.83579999999999999</v>
      </c>
      <c r="G150" s="1630">
        <v>0.83579999999999999</v>
      </c>
      <c r="H150" s="1630">
        <v>0.83579999999999999</v>
      </c>
      <c r="I150" s="1630">
        <v>0.75470000000000004</v>
      </c>
      <c r="J150" s="1630">
        <v>0.75470000000000004</v>
      </c>
      <c r="K150" s="1630">
        <v>0.75470000000000004</v>
      </c>
      <c r="L150" s="1630">
        <v>0.75470000000000004</v>
      </c>
      <c r="M150" s="1630">
        <v>0.75470000000000004</v>
      </c>
    </row>
    <row r="151" spans="1:13">
      <c r="A151" s="1644">
        <v>4.7</v>
      </c>
      <c r="B151" s="1630">
        <v>0.92989999999999995</v>
      </c>
      <c r="C151" s="1630">
        <v>0.92989999999999995</v>
      </c>
      <c r="D151" s="1630">
        <v>0.83160000000000001</v>
      </c>
      <c r="E151" s="1630">
        <v>0.83160000000000001</v>
      </c>
      <c r="F151" s="1630">
        <v>0.83160000000000001</v>
      </c>
      <c r="G151" s="1630">
        <v>0.83160000000000001</v>
      </c>
      <c r="H151" s="1630">
        <v>0.83160000000000001</v>
      </c>
      <c r="I151" s="1630">
        <v>0.74990000000000001</v>
      </c>
      <c r="J151" s="1630">
        <v>0.74990000000000001</v>
      </c>
      <c r="K151" s="1630">
        <v>0.74990000000000001</v>
      </c>
      <c r="L151" s="1630">
        <v>0.74990000000000001</v>
      </c>
      <c r="M151" s="1630">
        <v>0.74990000000000001</v>
      </c>
    </row>
    <row r="152" spans="1:13">
      <c r="A152" s="1644">
        <v>4.8</v>
      </c>
      <c r="B152" s="1630">
        <v>0.92589999999999995</v>
      </c>
      <c r="C152" s="1630">
        <v>0.92589999999999995</v>
      </c>
      <c r="D152" s="1630">
        <v>0.82769999999999999</v>
      </c>
      <c r="E152" s="1630">
        <v>0.82769999999999999</v>
      </c>
      <c r="F152" s="1630">
        <v>0.82769999999999999</v>
      </c>
      <c r="G152" s="1630">
        <v>0.82769999999999999</v>
      </c>
      <c r="H152" s="1630">
        <v>0.82769999999999999</v>
      </c>
      <c r="I152" s="1630">
        <v>0.74529999999999996</v>
      </c>
      <c r="J152" s="1630">
        <v>0.74529999999999996</v>
      </c>
      <c r="K152" s="1630">
        <v>0.74529999999999996</v>
      </c>
      <c r="L152" s="1630">
        <v>0.74529999999999996</v>
      </c>
      <c r="M152" s="1630">
        <v>0.74529999999999996</v>
      </c>
    </row>
    <row r="153" spans="1:13">
      <c r="A153" s="1644">
        <v>4.9000000000000004</v>
      </c>
      <c r="B153" s="1630">
        <v>0.92210000000000003</v>
      </c>
      <c r="C153" s="1630">
        <v>0.92210000000000003</v>
      </c>
      <c r="D153" s="1630">
        <v>0.82389999999999997</v>
      </c>
      <c r="E153" s="1630">
        <v>0.82389999999999997</v>
      </c>
      <c r="F153" s="1630">
        <v>0.82389999999999997</v>
      </c>
      <c r="G153" s="1630">
        <v>0.82389999999999997</v>
      </c>
      <c r="H153" s="1630">
        <v>0.82389999999999997</v>
      </c>
      <c r="I153" s="1630">
        <v>0.7409</v>
      </c>
      <c r="J153" s="1630">
        <v>0.7409</v>
      </c>
      <c r="K153" s="1630">
        <v>0.7409</v>
      </c>
      <c r="L153" s="1630">
        <v>0.7409</v>
      </c>
      <c r="M153" s="1630">
        <v>0.7409</v>
      </c>
    </row>
    <row r="154" spans="1:13">
      <c r="A154" s="1644">
        <v>5</v>
      </c>
      <c r="B154" s="1630">
        <v>0.91849999999999998</v>
      </c>
      <c r="C154" s="1630">
        <v>0.91849999999999998</v>
      </c>
      <c r="D154" s="1630">
        <v>0.82030000000000003</v>
      </c>
      <c r="E154" s="1630">
        <v>0.82030000000000003</v>
      </c>
      <c r="F154" s="1630">
        <v>0.82030000000000003</v>
      </c>
      <c r="G154" s="1630">
        <v>0.82030000000000003</v>
      </c>
      <c r="H154" s="1630">
        <v>0.82030000000000003</v>
      </c>
      <c r="I154" s="1630">
        <v>0.73670000000000002</v>
      </c>
      <c r="J154" s="1630">
        <v>0.73670000000000002</v>
      </c>
      <c r="K154" s="1630">
        <v>0.73670000000000002</v>
      </c>
      <c r="L154" s="1630">
        <v>0.73670000000000002</v>
      </c>
      <c r="M154" s="1630">
        <v>0.73670000000000002</v>
      </c>
    </row>
    <row r="155" spans="1:13">
      <c r="A155" s="1621">
        <v>5.0999999999999996</v>
      </c>
      <c r="B155" s="1630">
        <v>0.91510000000000002</v>
      </c>
      <c r="C155" s="1630">
        <v>0.91510000000000002</v>
      </c>
      <c r="D155" s="1630">
        <v>0.81689999999999996</v>
      </c>
      <c r="E155" s="1630">
        <v>0.81689999999999996</v>
      </c>
      <c r="F155" s="1630">
        <v>0.81689999999999996</v>
      </c>
      <c r="G155" s="1630">
        <v>0.81689999999999996</v>
      </c>
      <c r="H155" s="1630">
        <v>0.81689999999999996</v>
      </c>
      <c r="I155" s="1630">
        <v>0.73270000000000002</v>
      </c>
      <c r="J155" s="1630">
        <v>0.73270000000000002</v>
      </c>
      <c r="K155" s="1630">
        <v>0.73270000000000002</v>
      </c>
      <c r="L155" s="1630">
        <v>0.73270000000000002</v>
      </c>
      <c r="M155" s="1630">
        <v>0.73270000000000002</v>
      </c>
    </row>
    <row r="156" spans="1:13">
      <c r="A156" s="1621">
        <v>5.2</v>
      </c>
      <c r="B156" s="1630">
        <v>0.91190000000000004</v>
      </c>
      <c r="C156" s="1630">
        <v>0.91190000000000004</v>
      </c>
      <c r="D156" s="1630">
        <v>0.81359999999999999</v>
      </c>
      <c r="E156" s="1630">
        <v>0.81359999999999999</v>
      </c>
      <c r="F156" s="1630">
        <v>0.81359999999999999</v>
      </c>
      <c r="G156" s="1630">
        <v>0.81359999999999999</v>
      </c>
      <c r="H156" s="1630">
        <v>0.81359999999999999</v>
      </c>
      <c r="I156" s="1630">
        <v>0.72889999999999999</v>
      </c>
      <c r="J156" s="1630">
        <v>0.72889999999999999</v>
      </c>
      <c r="K156" s="1630">
        <v>0.72889999999999999</v>
      </c>
      <c r="L156" s="1630">
        <v>0.72889999999999999</v>
      </c>
      <c r="M156" s="1630">
        <v>0.72889999999999999</v>
      </c>
    </row>
    <row r="157" spans="1:13">
      <c r="A157" s="1621">
        <v>5.3</v>
      </c>
      <c r="B157" s="1630">
        <v>0.90880000000000005</v>
      </c>
      <c r="C157" s="1630">
        <v>0.90880000000000005</v>
      </c>
      <c r="D157" s="1630">
        <v>0.8105</v>
      </c>
      <c r="E157" s="1630">
        <v>0.8105</v>
      </c>
      <c r="F157" s="1630">
        <v>0.8105</v>
      </c>
      <c r="G157" s="1630">
        <v>0.8105</v>
      </c>
      <c r="H157" s="1630">
        <v>0.8105</v>
      </c>
      <c r="I157" s="1630">
        <v>0.72529999999999994</v>
      </c>
      <c r="J157" s="1630">
        <v>0.72529999999999994</v>
      </c>
      <c r="K157" s="1630">
        <v>0.72529999999999994</v>
      </c>
      <c r="L157" s="1630">
        <v>0.72529999999999994</v>
      </c>
      <c r="M157" s="1630">
        <v>0.72529999999999994</v>
      </c>
    </row>
    <row r="158" spans="1:13">
      <c r="A158" s="1621">
        <v>5.4</v>
      </c>
      <c r="B158" s="1630">
        <v>0.90580000000000005</v>
      </c>
      <c r="C158" s="1630">
        <v>0.90580000000000005</v>
      </c>
      <c r="D158" s="1630">
        <v>0.8075</v>
      </c>
      <c r="E158" s="1630">
        <v>0.8075</v>
      </c>
      <c r="F158" s="1630">
        <v>0.8075</v>
      </c>
      <c r="G158" s="1630">
        <v>0.8075</v>
      </c>
      <c r="H158" s="1630">
        <v>0.8075</v>
      </c>
      <c r="I158" s="1630">
        <v>0.7218</v>
      </c>
      <c r="J158" s="1630">
        <v>0.7218</v>
      </c>
      <c r="K158" s="1630">
        <v>0.7218</v>
      </c>
      <c r="L158" s="1630">
        <v>0.7218</v>
      </c>
      <c r="M158" s="1630">
        <v>0.7218</v>
      </c>
    </row>
    <row r="159" spans="1:13">
      <c r="A159" s="1621">
        <v>5.5</v>
      </c>
      <c r="B159" s="1630">
        <v>0.90290000000000004</v>
      </c>
      <c r="C159" s="1630">
        <v>0.90290000000000004</v>
      </c>
      <c r="D159" s="1630">
        <v>0.80469999999999997</v>
      </c>
      <c r="E159" s="1630">
        <v>0.80469999999999997</v>
      </c>
      <c r="F159" s="1630">
        <v>0.80469999999999997</v>
      </c>
      <c r="G159" s="1630">
        <v>0.80469999999999997</v>
      </c>
      <c r="H159" s="1630">
        <v>0.80469999999999997</v>
      </c>
      <c r="I159" s="1630">
        <v>0.71840000000000004</v>
      </c>
      <c r="J159" s="1630">
        <v>0.71840000000000004</v>
      </c>
      <c r="K159" s="1630">
        <v>0.71840000000000004</v>
      </c>
      <c r="L159" s="1630">
        <v>0.71840000000000004</v>
      </c>
      <c r="M159" s="1630">
        <v>0.71840000000000004</v>
      </c>
    </row>
    <row r="160" spans="1:13">
      <c r="A160" s="1621">
        <v>5.6</v>
      </c>
      <c r="B160" s="1630">
        <v>0.90010000000000001</v>
      </c>
      <c r="C160" s="1630">
        <v>0.90010000000000001</v>
      </c>
      <c r="D160" s="1630">
        <v>0.80200000000000005</v>
      </c>
      <c r="E160" s="1630">
        <v>0.80200000000000005</v>
      </c>
      <c r="F160" s="1630">
        <v>0.80200000000000005</v>
      </c>
      <c r="G160" s="1630">
        <v>0.80200000000000005</v>
      </c>
      <c r="H160" s="1630">
        <v>0.80200000000000005</v>
      </c>
      <c r="I160" s="1630">
        <v>0.71509999999999996</v>
      </c>
      <c r="J160" s="1630">
        <v>0.71509999999999996</v>
      </c>
      <c r="K160" s="1630">
        <v>0.71509999999999996</v>
      </c>
      <c r="L160" s="1630">
        <v>0.71509999999999996</v>
      </c>
      <c r="M160" s="1630">
        <v>0.71509999999999996</v>
      </c>
    </row>
    <row r="161" spans="1:13">
      <c r="A161" s="1644">
        <v>5.7</v>
      </c>
      <c r="B161" s="1630">
        <v>0.89749999999999996</v>
      </c>
      <c r="C161" s="1630">
        <v>0.89749999999999996</v>
      </c>
      <c r="D161" s="1630">
        <v>0.79930000000000001</v>
      </c>
      <c r="E161" s="1630">
        <v>0.79930000000000001</v>
      </c>
      <c r="F161" s="1630">
        <v>0.79930000000000001</v>
      </c>
      <c r="G161" s="1630">
        <v>0.79930000000000001</v>
      </c>
      <c r="H161" s="1630">
        <v>0.79930000000000001</v>
      </c>
      <c r="I161" s="1630">
        <v>0.71189999999999998</v>
      </c>
      <c r="J161" s="1630">
        <v>0.71189999999999998</v>
      </c>
      <c r="K161" s="1630">
        <v>0.71189999999999998</v>
      </c>
      <c r="L161" s="1630">
        <v>0.71189999999999998</v>
      </c>
      <c r="M161" s="1630">
        <v>0.71189999999999998</v>
      </c>
    </row>
    <row r="162" spans="1:13">
      <c r="A162" s="1621">
        <v>5.8</v>
      </c>
      <c r="B162" s="1630">
        <v>0.89500000000000002</v>
      </c>
      <c r="C162" s="1630">
        <v>0.89500000000000002</v>
      </c>
      <c r="D162" s="1630">
        <v>0.79679999999999995</v>
      </c>
      <c r="E162" s="1630">
        <v>0.79679999999999995</v>
      </c>
      <c r="F162" s="1630">
        <v>0.79679999999999995</v>
      </c>
      <c r="G162" s="1630">
        <v>0.79679999999999995</v>
      </c>
      <c r="H162" s="1630">
        <v>0.79679999999999995</v>
      </c>
      <c r="I162" s="1630">
        <v>0.70879999999999999</v>
      </c>
      <c r="J162" s="1630">
        <v>0.70879999999999999</v>
      </c>
      <c r="K162" s="1630">
        <v>0.70879999999999999</v>
      </c>
      <c r="L162" s="1630">
        <v>0.70879999999999999</v>
      </c>
      <c r="M162" s="1630">
        <v>0.70879999999999999</v>
      </c>
    </row>
    <row r="163" spans="1:13">
      <c r="A163" s="1621">
        <v>5.9</v>
      </c>
      <c r="B163" s="1630">
        <v>0.89259999999999995</v>
      </c>
      <c r="C163" s="1630">
        <v>0.89259999999999995</v>
      </c>
      <c r="D163" s="1630">
        <v>0.7944</v>
      </c>
      <c r="E163" s="1630">
        <v>0.7944</v>
      </c>
      <c r="F163" s="1630">
        <v>0.7944</v>
      </c>
      <c r="G163" s="1630">
        <v>0.7944</v>
      </c>
      <c r="H163" s="1630">
        <v>0.7944</v>
      </c>
      <c r="I163" s="1630">
        <v>0.70579999999999998</v>
      </c>
      <c r="J163" s="1630">
        <v>0.70579999999999998</v>
      </c>
      <c r="K163" s="1630">
        <v>0.70579999999999998</v>
      </c>
      <c r="L163" s="1630">
        <v>0.70579999999999998</v>
      </c>
      <c r="M163" s="1630">
        <v>0.70579999999999998</v>
      </c>
    </row>
    <row r="164" spans="1:13">
      <c r="A164" s="1621">
        <v>6</v>
      </c>
      <c r="B164" s="1630">
        <v>0.89029999999999998</v>
      </c>
      <c r="C164" s="1630">
        <v>0.89029999999999998</v>
      </c>
      <c r="D164" s="1630">
        <v>0.79200000000000004</v>
      </c>
      <c r="E164" s="1630">
        <v>0.79200000000000004</v>
      </c>
      <c r="F164" s="1630">
        <v>0.79200000000000004</v>
      </c>
      <c r="G164" s="1630">
        <v>0.79200000000000004</v>
      </c>
      <c r="H164" s="1630">
        <v>0.79200000000000004</v>
      </c>
      <c r="I164" s="1630">
        <v>0.70289999999999997</v>
      </c>
      <c r="J164" s="1630">
        <v>0.70289999999999997</v>
      </c>
      <c r="K164" s="1630">
        <v>0.70289999999999997</v>
      </c>
      <c r="L164" s="1630">
        <v>0.70289999999999997</v>
      </c>
      <c r="M164" s="1630">
        <v>0.70289999999999997</v>
      </c>
    </row>
    <row r="165" spans="1:13">
      <c r="A165" s="1621">
        <v>6.1</v>
      </c>
      <c r="B165" s="1630">
        <v>0.8881</v>
      </c>
      <c r="C165" s="1630">
        <v>0.8881</v>
      </c>
      <c r="D165" s="1630">
        <v>0.78979999999999995</v>
      </c>
      <c r="E165" s="1630">
        <v>0.78979999999999995</v>
      </c>
      <c r="F165" s="1630">
        <v>0.78979999999999995</v>
      </c>
      <c r="G165" s="1630">
        <v>0.78979999999999995</v>
      </c>
      <c r="H165" s="1630">
        <v>0.78979999999999995</v>
      </c>
      <c r="I165" s="1630">
        <v>0.70009999999999994</v>
      </c>
      <c r="J165" s="1630">
        <v>0.70009999999999994</v>
      </c>
      <c r="K165" s="1630">
        <v>0.70009999999999994</v>
      </c>
      <c r="L165" s="1630">
        <v>0.70009999999999994</v>
      </c>
      <c r="M165" s="1630">
        <v>0.70009999999999994</v>
      </c>
    </row>
    <row r="166" spans="1:13">
      <c r="A166" s="1621">
        <v>6.2</v>
      </c>
      <c r="B166" s="1630">
        <v>0.88600000000000001</v>
      </c>
      <c r="C166" s="1630">
        <v>0.88600000000000001</v>
      </c>
      <c r="D166" s="1630">
        <v>0.78759999999999997</v>
      </c>
      <c r="E166" s="1630">
        <v>0.78759999999999997</v>
      </c>
      <c r="F166" s="1630">
        <v>0.78759999999999997</v>
      </c>
      <c r="G166" s="1630">
        <v>0.78759999999999997</v>
      </c>
      <c r="H166" s="1630">
        <v>0.78759999999999997</v>
      </c>
      <c r="I166" s="1630">
        <v>0.69740000000000002</v>
      </c>
      <c r="J166" s="1630">
        <v>0.69740000000000002</v>
      </c>
      <c r="K166" s="1630">
        <v>0.69740000000000002</v>
      </c>
      <c r="L166" s="1630">
        <v>0.69740000000000002</v>
      </c>
      <c r="M166" s="1630">
        <v>0.69740000000000002</v>
      </c>
    </row>
    <row r="167" spans="1:13">
      <c r="A167" s="1621">
        <v>6.3</v>
      </c>
      <c r="B167" s="1630">
        <v>0.88390000000000002</v>
      </c>
      <c r="C167" s="1630">
        <v>0.88390000000000002</v>
      </c>
      <c r="D167" s="1630">
        <v>0.78549999999999998</v>
      </c>
      <c r="E167" s="1630">
        <v>0.78549999999999998</v>
      </c>
      <c r="F167" s="1630">
        <v>0.78549999999999998</v>
      </c>
      <c r="G167" s="1630">
        <v>0.78549999999999998</v>
      </c>
      <c r="H167" s="1630">
        <v>0.78549999999999998</v>
      </c>
      <c r="I167" s="1630">
        <v>0.69479999999999997</v>
      </c>
      <c r="J167" s="1630">
        <v>0.69479999999999997</v>
      </c>
      <c r="K167" s="1630">
        <v>0.69479999999999997</v>
      </c>
      <c r="L167" s="1630">
        <v>0.69479999999999997</v>
      </c>
      <c r="M167" s="1630">
        <v>0.69479999999999997</v>
      </c>
    </row>
    <row r="168" spans="1:13">
      <c r="A168" s="1621">
        <v>6.4</v>
      </c>
      <c r="B168" s="1630">
        <v>0.88190000000000002</v>
      </c>
      <c r="C168" s="1630">
        <v>0.88190000000000002</v>
      </c>
      <c r="D168" s="1630">
        <v>0.78339999999999999</v>
      </c>
      <c r="E168" s="1630">
        <v>0.78339999999999999</v>
      </c>
      <c r="F168" s="1630">
        <v>0.78339999999999999</v>
      </c>
      <c r="G168" s="1630">
        <v>0.78339999999999999</v>
      </c>
      <c r="H168" s="1630">
        <v>0.78339999999999999</v>
      </c>
      <c r="I168" s="1630">
        <v>0.69230000000000003</v>
      </c>
      <c r="J168" s="1630">
        <v>0.69230000000000003</v>
      </c>
      <c r="K168" s="1630">
        <v>0.69230000000000003</v>
      </c>
      <c r="L168" s="1630">
        <v>0.69230000000000003</v>
      </c>
      <c r="M168" s="1630">
        <v>0.69230000000000003</v>
      </c>
    </row>
    <row r="169" spans="1:13">
      <c r="A169" s="1621">
        <v>6.5</v>
      </c>
      <c r="B169" s="1630">
        <v>0.88</v>
      </c>
      <c r="C169" s="1630">
        <v>0.88</v>
      </c>
      <c r="D169" s="1630">
        <v>0.78139999999999998</v>
      </c>
      <c r="E169" s="1630">
        <v>0.78139999999999998</v>
      </c>
      <c r="F169" s="1630">
        <v>0.78139999999999998</v>
      </c>
      <c r="G169" s="1630">
        <v>0.78139999999999998</v>
      </c>
      <c r="H169" s="1630">
        <v>0.78139999999999998</v>
      </c>
      <c r="I169" s="1630">
        <v>0.68989999999999996</v>
      </c>
      <c r="J169" s="1630">
        <v>0.68989999999999996</v>
      </c>
      <c r="K169" s="1630">
        <v>0.68989999999999996</v>
      </c>
      <c r="L169" s="1630">
        <v>0.68989999999999996</v>
      </c>
      <c r="M169" s="1630">
        <v>0.68989999999999996</v>
      </c>
    </row>
    <row r="170" spans="1:13">
      <c r="A170" s="1621">
        <v>6.6</v>
      </c>
      <c r="B170" s="1630">
        <v>0.87809999999999999</v>
      </c>
      <c r="C170" s="1630">
        <v>0.87809999999999999</v>
      </c>
      <c r="D170" s="1630">
        <v>0.77949999999999997</v>
      </c>
      <c r="E170" s="1630">
        <v>0.77949999999999997</v>
      </c>
      <c r="F170" s="1630">
        <v>0.77949999999999997</v>
      </c>
      <c r="G170" s="1630">
        <v>0.77949999999999997</v>
      </c>
      <c r="H170" s="1630">
        <v>0.77949999999999997</v>
      </c>
      <c r="I170" s="1630">
        <v>0.68759999999999999</v>
      </c>
      <c r="J170" s="1630">
        <v>0.68759999999999999</v>
      </c>
      <c r="K170" s="1630">
        <v>0.68759999999999999</v>
      </c>
      <c r="L170" s="1630">
        <v>0.68759999999999999</v>
      </c>
      <c r="M170" s="1630">
        <v>0.68759999999999999</v>
      </c>
    </row>
    <row r="171" spans="1:13">
      <c r="A171" s="1621">
        <v>6.7</v>
      </c>
      <c r="B171" s="1630">
        <v>0.87629999999999997</v>
      </c>
      <c r="C171" s="1630">
        <v>0.87629999999999997</v>
      </c>
      <c r="D171" s="1630">
        <v>0.77759999999999996</v>
      </c>
      <c r="E171" s="1630">
        <v>0.77759999999999996</v>
      </c>
      <c r="F171" s="1630">
        <v>0.77759999999999996</v>
      </c>
      <c r="G171" s="1630">
        <v>0.77759999999999996</v>
      </c>
      <c r="H171" s="1630">
        <v>0.77759999999999996</v>
      </c>
      <c r="I171" s="1630">
        <v>0.68530000000000002</v>
      </c>
      <c r="J171" s="1630">
        <v>0.68530000000000002</v>
      </c>
      <c r="K171" s="1630">
        <v>0.68530000000000002</v>
      </c>
      <c r="L171" s="1630">
        <v>0.68530000000000002</v>
      </c>
      <c r="M171" s="1630">
        <v>0.68530000000000002</v>
      </c>
    </row>
    <row r="172" spans="1:13">
      <c r="A172" s="1621">
        <v>6.8</v>
      </c>
      <c r="B172" s="1630">
        <v>0.87450000000000006</v>
      </c>
      <c r="C172" s="1630">
        <v>0.87450000000000006</v>
      </c>
      <c r="D172" s="1630">
        <v>0.77569999999999995</v>
      </c>
      <c r="E172" s="1630">
        <v>0.77569999999999995</v>
      </c>
      <c r="F172" s="1630">
        <v>0.77569999999999995</v>
      </c>
      <c r="G172" s="1630">
        <v>0.77569999999999995</v>
      </c>
      <c r="H172" s="1630">
        <v>0.77569999999999995</v>
      </c>
      <c r="I172" s="1630">
        <v>0.68310000000000004</v>
      </c>
      <c r="J172" s="1630">
        <v>0.68310000000000004</v>
      </c>
      <c r="K172" s="1630">
        <v>0.68310000000000004</v>
      </c>
      <c r="L172" s="1630">
        <v>0.68310000000000004</v>
      </c>
      <c r="M172" s="1630">
        <v>0.68310000000000004</v>
      </c>
    </row>
    <row r="173" spans="1:13">
      <c r="A173" s="1621">
        <v>6.9</v>
      </c>
      <c r="B173" s="1630">
        <v>0.87280000000000002</v>
      </c>
      <c r="C173" s="1630">
        <v>0.87280000000000002</v>
      </c>
      <c r="D173" s="1630">
        <v>0.77390000000000003</v>
      </c>
      <c r="E173" s="1630">
        <v>0.77390000000000003</v>
      </c>
      <c r="F173" s="1630">
        <v>0.77390000000000003</v>
      </c>
      <c r="G173" s="1630">
        <v>0.77390000000000003</v>
      </c>
      <c r="H173" s="1630">
        <v>0.77390000000000003</v>
      </c>
      <c r="I173" s="1630">
        <v>0.68089999999999995</v>
      </c>
      <c r="J173" s="1630">
        <v>0.68089999999999995</v>
      </c>
      <c r="K173" s="1630">
        <v>0.68089999999999995</v>
      </c>
      <c r="L173" s="1630">
        <v>0.68089999999999995</v>
      </c>
      <c r="M173" s="1630">
        <v>0.68089999999999995</v>
      </c>
    </row>
    <row r="174" spans="1:13">
      <c r="A174" s="1621">
        <v>7</v>
      </c>
      <c r="B174" s="1630">
        <v>0.87109999999999999</v>
      </c>
      <c r="C174" s="1630">
        <v>0.87109999999999999</v>
      </c>
      <c r="D174" s="1630">
        <v>0.77210000000000001</v>
      </c>
      <c r="E174" s="1630">
        <v>0.77210000000000001</v>
      </c>
      <c r="F174" s="1630">
        <v>0.77210000000000001</v>
      </c>
      <c r="G174" s="1630">
        <v>0.77210000000000001</v>
      </c>
      <c r="H174" s="1630">
        <v>0.77210000000000001</v>
      </c>
      <c r="I174" s="1630">
        <v>0.67879999999999996</v>
      </c>
      <c r="J174" s="1630">
        <v>0.67879999999999996</v>
      </c>
      <c r="K174" s="1630">
        <v>0.67879999999999996</v>
      </c>
      <c r="L174" s="1630">
        <v>0.67879999999999996</v>
      </c>
      <c r="M174" s="1630">
        <v>0.67879999999999996</v>
      </c>
    </row>
    <row r="175" spans="1:13">
      <c r="A175" s="1621">
        <v>7.1</v>
      </c>
      <c r="B175" s="1630">
        <v>0.86939999999999995</v>
      </c>
      <c r="C175" s="1630">
        <v>0.86939999999999995</v>
      </c>
      <c r="D175" s="1630">
        <v>0.77039999999999997</v>
      </c>
      <c r="E175" s="1630">
        <v>0.77039999999999997</v>
      </c>
      <c r="F175" s="1630">
        <v>0.77039999999999997</v>
      </c>
      <c r="G175" s="1630">
        <v>0.77039999999999997</v>
      </c>
      <c r="H175" s="1630">
        <v>0.77039999999999997</v>
      </c>
      <c r="I175" s="1630">
        <v>0.67669999999999997</v>
      </c>
      <c r="J175" s="1630">
        <v>0.67669999999999997</v>
      </c>
      <c r="K175" s="1630">
        <v>0.67669999999999997</v>
      </c>
      <c r="L175" s="1630">
        <v>0.67669999999999997</v>
      </c>
      <c r="M175" s="1630">
        <v>0.67669999999999997</v>
      </c>
    </row>
    <row r="176" spans="1:13">
      <c r="A176" s="1621">
        <v>7.2</v>
      </c>
      <c r="B176" s="1630">
        <v>0.86770000000000003</v>
      </c>
      <c r="C176" s="1630">
        <v>0.86770000000000003</v>
      </c>
      <c r="D176" s="1630">
        <v>0.76870000000000005</v>
      </c>
      <c r="E176" s="1630">
        <v>0.76870000000000005</v>
      </c>
      <c r="F176" s="1630">
        <v>0.76870000000000005</v>
      </c>
      <c r="G176" s="1630">
        <v>0.76870000000000005</v>
      </c>
      <c r="H176" s="1630">
        <v>0.76870000000000005</v>
      </c>
      <c r="I176" s="1630">
        <v>0.67469999999999997</v>
      </c>
      <c r="J176" s="1630">
        <v>0.67469999999999997</v>
      </c>
      <c r="K176" s="1630">
        <v>0.67469999999999997</v>
      </c>
      <c r="L176" s="1630">
        <v>0.67469999999999997</v>
      </c>
      <c r="M176" s="1630">
        <v>0.67469999999999997</v>
      </c>
    </row>
    <row r="177" spans="1:13">
      <c r="A177" s="1621">
        <v>7.3</v>
      </c>
      <c r="B177" s="1630">
        <v>0.86609999999999998</v>
      </c>
      <c r="C177" s="1630">
        <v>0.86609999999999998</v>
      </c>
      <c r="D177" s="1630">
        <v>0.76700000000000002</v>
      </c>
      <c r="E177" s="1630">
        <v>0.76700000000000002</v>
      </c>
      <c r="F177" s="1630">
        <v>0.76700000000000002</v>
      </c>
      <c r="G177" s="1630">
        <v>0.76700000000000002</v>
      </c>
      <c r="H177" s="1630">
        <v>0.76700000000000002</v>
      </c>
      <c r="I177" s="1630">
        <v>0.67269999999999996</v>
      </c>
      <c r="J177" s="1630">
        <v>0.67269999999999996</v>
      </c>
      <c r="K177" s="1630">
        <v>0.67269999999999996</v>
      </c>
      <c r="L177" s="1630">
        <v>0.67269999999999996</v>
      </c>
      <c r="M177" s="1630">
        <v>0.67269999999999996</v>
      </c>
    </row>
    <row r="178" spans="1:13">
      <c r="A178" s="1621">
        <v>7.4</v>
      </c>
      <c r="B178" s="1630">
        <v>0.86450000000000005</v>
      </c>
      <c r="C178" s="1630">
        <v>0.86450000000000005</v>
      </c>
      <c r="D178" s="1630">
        <v>0.76529999999999998</v>
      </c>
      <c r="E178" s="1630">
        <v>0.76529999999999998</v>
      </c>
      <c r="F178" s="1630">
        <v>0.76529999999999998</v>
      </c>
      <c r="G178" s="1630">
        <v>0.76529999999999998</v>
      </c>
      <c r="H178" s="1630">
        <v>0.76529999999999998</v>
      </c>
      <c r="I178" s="1630">
        <v>0.67079999999999995</v>
      </c>
      <c r="J178" s="1630">
        <v>0.67079999999999995</v>
      </c>
      <c r="K178" s="1630">
        <v>0.67079999999999995</v>
      </c>
      <c r="L178" s="1630">
        <v>0.67079999999999995</v>
      </c>
      <c r="M178" s="1630">
        <v>0.67079999999999995</v>
      </c>
    </row>
    <row r="179" spans="1:13">
      <c r="A179" s="1621">
        <v>7.5</v>
      </c>
      <c r="B179" s="1630">
        <v>0.86299999999999999</v>
      </c>
      <c r="C179" s="1630">
        <v>0.86299999999999999</v>
      </c>
      <c r="D179" s="1630">
        <v>0.76359999999999995</v>
      </c>
      <c r="E179" s="1630">
        <v>0.76359999999999995</v>
      </c>
      <c r="F179" s="1630">
        <v>0.76359999999999995</v>
      </c>
      <c r="G179" s="1630">
        <v>0.76359999999999995</v>
      </c>
      <c r="H179" s="1630">
        <v>0.76359999999999995</v>
      </c>
      <c r="I179" s="1630">
        <v>0.66890000000000005</v>
      </c>
      <c r="J179" s="1630">
        <v>0.66890000000000005</v>
      </c>
      <c r="K179" s="1630">
        <v>0.66890000000000005</v>
      </c>
      <c r="L179" s="1630">
        <v>0.66890000000000005</v>
      </c>
      <c r="M179" s="1630">
        <v>0.66890000000000005</v>
      </c>
    </row>
    <row r="180" spans="1:13">
      <c r="A180" s="1621">
        <v>7.6</v>
      </c>
      <c r="B180" s="1630">
        <v>0.86150000000000004</v>
      </c>
      <c r="C180" s="1630">
        <v>0.86150000000000004</v>
      </c>
      <c r="D180" s="1630">
        <v>0.76200000000000001</v>
      </c>
      <c r="E180" s="1630">
        <v>0.76200000000000001</v>
      </c>
      <c r="F180" s="1630">
        <v>0.76200000000000001</v>
      </c>
      <c r="G180" s="1630">
        <v>0.76200000000000001</v>
      </c>
      <c r="H180" s="1630">
        <v>0.76200000000000001</v>
      </c>
      <c r="I180" s="1630">
        <v>0.66700000000000004</v>
      </c>
      <c r="J180" s="1630">
        <v>0.66700000000000004</v>
      </c>
      <c r="K180" s="1630">
        <v>0.66700000000000004</v>
      </c>
      <c r="L180" s="1630">
        <v>0.66700000000000004</v>
      </c>
      <c r="M180" s="1630">
        <v>0.66700000000000004</v>
      </c>
    </row>
    <row r="181" spans="1:13">
      <c r="A181" s="1621">
        <v>7.7</v>
      </c>
      <c r="B181" s="1630">
        <v>0.86</v>
      </c>
      <c r="C181" s="1630">
        <v>0.86</v>
      </c>
      <c r="D181" s="1630">
        <v>0.76039999999999996</v>
      </c>
      <c r="E181" s="1630">
        <v>0.76039999999999996</v>
      </c>
      <c r="F181" s="1630">
        <v>0.76039999999999996</v>
      </c>
      <c r="G181" s="1630">
        <v>0.76039999999999996</v>
      </c>
      <c r="H181" s="1630">
        <v>0.76039999999999996</v>
      </c>
      <c r="I181" s="1630">
        <v>0.66510000000000002</v>
      </c>
      <c r="J181" s="1630">
        <v>0.66510000000000002</v>
      </c>
      <c r="K181" s="1630">
        <v>0.66510000000000002</v>
      </c>
      <c r="L181" s="1630">
        <v>0.66510000000000002</v>
      </c>
      <c r="M181" s="1630">
        <v>0.66510000000000002</v>
      </c>
    </row>
    <row r="182" spans="1:13">
      <c r="A182" s="1621">
        <v>7.8</v>
      </c>
      <c r="B182" s="1630">
        <v>0.85850000000000004</v>
      </c>
      <c r="C182" s="1630">
        <v>0.85850000000000004</v>
      </c>
      <c r="D182" s="1630">
        <v>0.75880000000000003</v>
      </c>
      <c r="E182" s="1630">
        <v>0.75880000000000003</v>
      </c>
      <c r="F182" s="1630">
        <v>0.75880000000000003</v>
      </c>
      <c r="G182" s="1630">
        <v>0.75880000000000003</v>
      </c>
      <c r="H182" s="1630">
        <v>0.75880000000000003</v>
      </c>
      <c r="I182" s="1630">
        <v>0.6633</v>
      </c>
      <c r="J182" s="1630">
        <v>0.6633</v>
      </c>
      <c r="K182" s="1630">
        <v>0.6633</v>
      </c>
      <c r="L182" s="1630">
        <v>0.6633</v>
      </c>
      <c r="M182" s="1630">
        <v>0.6633</v>
      </c>
    </row>
    <row r="183" spans="1:13">
      <c r="A183" s="1621">
        <v>7.9</v>
      </c>
      <c r="B183" s="1630">
        <v>0.85699999999999998</v>
      </c>
      <c r="C183" s="1630">
        <v>0.85699999999999998</v>
      </c>
      <c r="D183" s="1630">
        <v>0.75719999999999998</v>
      </c>
      <c r="E183" s="1630">
        <v>0.75719999999999998</v>
      </c>
      <c r="F183" s="1630">
        <v>0.75719999999999998</v>
      </c>
      <c r="G183" s="1630">
        <v>0.75719999999999998</v>
      </c>
      <c r="H183" s="1630">
        <v>0.75719999999999998</v>
      </c>
      <c r="I183" s="1630">
        <v>0.66149999999999998</v>
      </c>
      <c r="J183" s="1630">
        <v>0.66149999999999998</v>
      </c>
      <c r="K183" s="1630">
        <v>0.66149999999999998</v>
      </c>
      <c r="L183" s="1630">
        <v>0.66149999999999998</v>
      </c>
      <c r="M183" s="1630">
        <v>0.66149999999999998</v>
      </c>
    </row>
    <row r="184" spans="1:13">
      <c r="A184" s="1621">
        <v>8</v>
      </c>
      <c r="B184" s="1630">
        <v>0.85550000000000004</v>
      </c>
      <c r="C184" s="1630">
        <v>0.85550000000000004</v>
      </c>
      <c r="D184" s="1630">
        <v>0.75570000000000004</v>
      </c>
      <c r="E184" s="1630">
        <v>0.75570000000000004</v>
      </c>
      <c r="F184" s="1630">
        <v>0.75570000000000004</v>
      </c>
      <c r="G184" s="1630">
        <v>0.75570000000000004</v>
      </c>
      <c r="H184" s="1630">
        <v>0.75570000000000004</v>
      </c>
      <c r="I184" s="1630">
        <v>0.65969999999999995</v>
      </c>
      <c r="J184" s="1630">
        <v>0.65969999999999995</v>
      </c>
      <c r="K184" s="1630">
        <v>0.65969999999999995</v>
      </c>
      <c r="L184" s="1630">
        <v>0.65969999999999995</v>
      </c>
      <c r="M184" s="1630">
        <v>0.65969999999999995</v>
      </c>
    </row>
    <row r="185" spans="1:13">
      <c r="A185" s="1621">
        <v>8.1</v>
      </c>
      <c r="B185" s="1630">
        <v>0.85399999999999998</v>
      </c>
      <c r="C185" s="1630">
        <v>0.85399999999999998</v>
      </c>
      <c r="D185" s="1630">
        <v>0.75419999999999998</v>
      </c>
      <c r="E185" s="1630">
        <v>0.75419999999999998</v>
      </c>
      <c r="F185" s="1630">
        <v>0.75419999999999998</v>
      </c>
      <c r="G185" s="1630">
        <v>0.75419999999999998</v>
      </c>
      <c r="H185" s="1630">
        <v>0.75419999999999998</v>
      </c>
      <c r="I185" s="1630">
        <v>0.65800000000000003</v>
      </c>
      <c r="J185" s="1630">
        <v>0.65800000000000003</v>
      </c>
      <c r="K185" s="1630">
        <v>0.65800000000000003</v>
      </c>
      <c r="L185" s="1630">
        <v>0.65800000000000003</v>
      </c>
      <c r="M185" s="1630">
        <v>0.65800000000000003</v>
      </c>
    </row>
    <row r="186" spans="1:13">
      <c r="A186" s="1621">
        <v>8.1999999999999993</v>
      </c>
      <c r="B186" s="1630">
        <v>0.85250000000000004</v>
      </c>
      <c r="C186" s="1630">
        <v>0.85250000000000004</v>
      </c>
      <c r="D186" s="1630">
        <v>0.75270000000000004</v>
      </c>
      <c r="E186" s="1630">
        <v>0.75270000000000004</v>
      </c>
      <c r="F186" s="1630">
        <v>0.75270000000000004</v>
      </c>
      <c r="G186" s="1630">
        <v>0.75270000000000004</v>
      </c>
      <c r="H186" s="1630">
        <v>0.75270000000000004</v>
      </c>
      <c r="I186" s="1630">
        <v>0.65629999999999999</v>
      </c>
      <c r="J186" s="1630">
        <v>0.65629999999999999</v>
      </c>
      <c r="K186" s="1630">
        <v>0.65629999999999999</v>
      </c>
      <c r="L186" s="1630">
        <v>0.65629999999999999</v>
      </c>
      <c r="M186" s="1630">
        <v>0.65629999999999999</v>
      </c>
    </row>
    <row r="187" spans="1:13">
      <c r="A187" s="1621">
        <v>8.3000000000000007</v>
      </c>
      <c r="B187" s="1630">
        <v>0.85109999999999997</v>
      </c>
      <c r="C187" s="1630">
        <v>0.85109999999999997</v>
      </c>
      <c r="D187" s="1630">
        <v>0.75119999999999998</v>
      </c>
      <c r="E187" s="1630">
        <v>0.75119999999999998</v>
      </c>
      <c r="F187" s="1630">
        <v>0.75119999999999998</v>
      </c>
      <c r="G187" s="1630">
        <v>0.75119999999999998</v>
      </c>
      <c r="H187" s="1630">
        <v>0.75119999999999998</v>
      </c>
      <c r="I187" s="1630">
        <v>0.65459999999999996</v>
      </c>
      <c r="J187" s="1630">
        <v>0.65459999999999996</v>
      </c>
      <c r="K187" s="1630">
        <v>0.65459999999999996</v>
      </c>
      <c r="L187" s="1630">
        <v>0.65459999999999996</v>
      </c>
      <c r="M187" s="1630">
        <v>0.65459999999999996</v>
      </c>
    </row>
    <row r="188" spans="1:13">
      <c r="A188" s="1621">
        <v>8.4</v>
      </c>
      <c r="B188" s="1630">
        <v>0.84970000000000001</v>
      </c>
      <c r="C188" s="1630">
        <v>0.84970000000000001</v>
      </c>
      <c r="D188" s="1630">
        <v>0.74970000000000003</v>
      </c>
      <c r="E188" s="1630">
        <v>0.74970000000000003</v>
      </c>
      <c r="F188" s="1630">
        <v>0.74970000000000003</v>
      </c>
      <c r="G188" s="1630">
        <v>0.74970000000000003</v>
      </c>
      <c r="H188" s="1630">
        <v>0.74970000000000003</v>
      </c>
      <c r="I188" s="1630">
        <v>0.65300000000000002</v>
      </c>
      <c r="J188" s="1630">
        <v>0.65300000000000002</v>
      </c>
      <c r="K188" s="1630">
        <v>0.65300000000000002</v>
      </c>
      <c r="L188" s="1630">
        <v>0.65300000000000002</v>
      </c>
      <c r="M188" s="1630">
        <v>0.65300000000000002</v>
      </c>
    </row>
    <row r="189" spans="1:13">
      <c r="A189" s="1621">
        <v>8.5</v>
      </c>
      <c r="B189" s="1630">
        <v>0.84830000000000005</v>
      </c>
      <c r="C189" s="1630">
        <v>0.84830000000000005</v>
      </c>
      <c r="D189" s="1630">
        <v>0.74819999999999998</v>
      </c>
      <c r="E189" s="1630">
        <v>0.74819999999999998</v>
      </c>
      <c r="F189" s="1630">
        <v>0.74819999999999998</v>
      </c>
      <c r="G189" s="1630">
        <v>0.74819999999999998</v>
      </c>
      <c r="H189" s="1630">
        <v>0.74819999999999998</v>
      </c>
      <c r="I189" s="1630">
        <v>0.65139999999999998</v>
      </c>
      <c r="J189" s="1630">
        <v>0.65139999999999998</v>
      </c>
      <c r="K189" s="1630">
        <v>0.65139999999999998</v>
      </c>
      <c r="L189" s="1630">
        <v>0.65139999999999998</v>
      </c>
      <c r="M189" s="1630">
        <v>0.65139999999999998</v>
      </c>
    </row>
    <row r="190" spans="1:13">
      <c r="A190" s="1621">
        <v>8.6</v>
      </c>
      <c r="B190" s="1630">
        <v>0.84689999999999999</v>
      </c>
      <c r="C190" s="1630">
        <v>0.84689999999999999</v>
      </c>
      <c r="D190" s="1630">
        <v>0.74670000000000003</v>
      </c>
      <c r="E190" s="1630">
        <v>0.74670000000000003</v>
      </c>
      <c r="F190" s="1630">
        <v>0.74670000000000003</v>
      </c>
      <c r="G190" s="1630">
        <v>0.74670000000000003</v>
      </c>
      <c r="H190" s="1630">
        <v>0.74670000000000003</v>
      </c>
      <c r="I190" s="1630">
        <v>0.64980000000000004</v>
      </c>
      <c r="J190" s="1630">
        <v>0.64980000000000004</v>
      </c>
      <c r="K190" s="1630">
        <v>0.64980000000000004</v>
      </c>
      <c r="L190" s="1630">
        <v>0.64980000000000004</v>
      </c>
      <c r="M190" s="1630">
        <v>0.64980000000000004</v>
      </c>
    </row>
    <row r="191" spans="1:13">
      <c r="A191" s="1621">
        <v>8.6999999999999993</v>
      </c>
      <c r="B191" s="1630">
        <v>0.84550000000000003</v>
      </c>
      <c r="C191" s="1630">
        <v>0.84550000000000003</v>
      </c>
      <c r="D191" s="1630">
        <v>0.74519999999999997</v>
      </c>
      <c r="E191" s="1630">
        <v>0.74519999999999997</v>
      </c>
      <c r="F191" s="1630">
        <v>0.74519999999999997</v>
      </c>
      <c r="G191" s="1630">
        <v>0.74519999999999997</v>
      </c>
      <c r="H191" s="1630">
        <v>0.74519999999999997</v>
      </c>
      <c r="I191" s="1630">
        <v>0.6482</v>
      </c>
      <c r="J191" s="1630">
        <v>0.6482</v>
      </c>
      <c r="K191" s="1630">
        <v>0.6482</v>
      </c>
      <c r="L191" s="1630">
        <v>0.6482</v>
      </c>
      <c r="M191" s="1630">
        <v>0.6482</v>
      </c>
    </row>
    <row r="192" spans="1:13">
      <c r="A192" s="1621">
        <v>8.8000000000000007</v>
      </c>
      <c r="B192" s="1630">
        <v>0.84409999999999996</v>
      </c>
      <c r="C192" s="1630">
        <v>0.84409999999999996</v>
      </c>
      <c r="D192" s="1630">
        <v>0.74370000000000003</v>
      </c>
      <c r="E192" s="1630">
        <v>0.74370000000000003</v>
      </c>
      <c r="F192" s="1630">
        <v>0.74370000000000003</v>
      </c>
      <c r="G192" s="1630">
        <v>0.74370000000000003</v>
      </c>
      <c r="H192" s="1630">
        <v>0.74370000000000003</v>
      </c>
      <c r="I192" s="1630">
        <v>0.64659999999999995</v>
      </c>
      <c r="J192" s="1630">
        <v>0.64659999999999995</v>
      </c>
      <c r="K192" s="1630">
        <v>0.64659999999999995</v>
      </c>
      <c r="L192" s="1630">
        <v>0.64659999999999995</v>
      </c>
      <c r="M192" s="1630">
        <v>0.64659999999999995</v>
      </c>
    </row>
    <row r="193" spans="1:13">
      <c r="A193" s="1621">
        <v>8.9</v>
      </c>
      <c r="B193" s="1630">
        <v>0.84279999999999999</v>
      </c>
      <c r="C193" s="1630">
        <v>0.84279999999999999</v>
      </c>
      <c r="D193" s="1630">
        <v>0.74219999999999997</v>
      </c>
      <c r="E193" s="1630">
        <v>0.74219999999999997</v>
      </c>
      <c r="F193" s="1630">
        <v>0.74219999999999997</v>
      </c>
      <c r="G193" s="1630">
        <v>0.74219999999999997</v>
      </c>
      <c r="H193" s="1630">
        <v>0.74219999999999997</v>
      </c>
      <c r="I193" s="1630">
        <v>0.64500000000000002</v>
      </c>
      <c r="J193" s="1630">
        <v>0.64500000000000002</v>
      </c>
      <c r="K193" s="1630">
        <v>0.64500000000000002</v>
      </c>
      <c r="L193" s="1630">
        <v>0.64500000000000002</v>
      </c>
      <c r="M193" s="1630">
        <v>0.64500000000000002</v>
      </c>
    </row>
    <row r="194" spans="1:13">
      <c r="A194" s="1644">
        <v>9</v>
      </c>
      <c r="B194" s="1630">
        <v>0.84150000000000003</v>
      </c>
      <c r="C194" s="1630">
        <v>0.84150000000000003</v>
      </c>
      <c r="D194" s="1630">
        <v>0.74070000000000003</v>
      </c>
      <c r="E194" s="1630">
        <v>0.74070000000000003</v>
      </c>
      <c r="F194" s="1630">
        <v>0.74070000000000003</v>
      </c>
      <c r="G194" s="1630">
        <v>0.74070000000000003</v>
      </c>
      <c r="H194" s="1630">
        <v>0.74070000000000003</v>
      </c>
      <c r="I194" s="1630">
        <v>0.64349999999999996</v>
      </c>
      <c r="J194" s="1630">
        <v>0.64349999999999996</v>
      </c>
      <c r="K194" s="1630">
        <v>0.64349999999999996</v>
      </c>
      <c r="L194" s="1630">
        <v>0.64349999999999996</v>
      </c>
      <c r="M194" s="1630">
        <v>0.64349999999999996</v>
      </c>
    </row>
    <row r="195" spans="1:13">
      <c r="A195" s="1644">
        <v>9.1</v>
      </c>
      <c r="B195" s="1630">
        <v>0.84019999999999995</v>
      </c>
      <c r="C195" s="1630">
        <v>0.84019999999999995</v>
      </c>
      <c r="D195" s="1630">
        <v>0.73919999999999997</v>
      </c>
      <c r="E195" s="1630">
        <v>0.73919999999999997</v>
      </c>
      <c r="F195" s="1630">
        <v>0.73919999999999997</v>
      </c>
      <c r="G195" s="1630">
        <v>0.73919999999999997</v>
      </c>
      <c r="H195" s="1630">
        <v>0.73919999999999997</v>
      </c>
      <c r="I195" s="1630">
        <v>0.64200000000000002</v>
      </c>
      <c r="J195" s="1630">
        <v>0.64200000000000002</v>
      </c>
      <c r="K195" s="1630">
        <v>0.64200000000000002</v>
      </c>
      <c r="L195" s="1630">
        <v>0.64200000000000002</v>
      </c>
      <c r="M195" s="1630">
        <v>0.64200000000000002</v>
      </c>
    </row>
    <row r="196" spans="1:13">
      <c r="A196" s="1644">
        <v>9.1999999999999993</v>
      </c>
      <c r="B196" s="1630">
        <v>0.83889999999999998</v>
      </c>
      <c r="C196" s="1630">
        <v>0.83889999999999998</v>
      </c>
      <c r="D196" s="1630">
        <v>0.73770000000000002</v>
      </c>
      <c r="E196" s="1630">
        <v>0.73770000000000002</v>
      </c>
      <c r="F196" s="1630">
        <v>0.73770000000000002</v>
      </c>
      <c r="G196" s="1630">
        <v>0.73770000000000002</v>
      </c>
      <c r="H196" s="1630">
        <v>0.73770000000000002</v>
      </c>
      <c r="I196" s="1630">
        <v>0.64059999999999995</v>
      </c>
      <c r="J196" s="1630">
        <v>0.64059999999999995</v>
      </c>
      <c r="K196" s="1630">
        <v>0.64059999999999995</v>
      </c>
      <c r="L196" s="1630">
        <v>0.64059999999999995</v>
      </c>
      <c r="M196" s="1630">
        <v>0.64059999999999995</v>
      </c>
    </row>
    <row r="197" spans="1:13">
      <c r="A197" s="1644">
        <v>9.3000000000000007</v>
      </c>
      <c r="B197" s="1630">
        <v>0.83760000000000001</v>
      </c>
      <c r="C197" s="1630">
        <v>0.83760000000000001</v>
      </c>
      <c r="D197" s="1630">
        <v>0.73629999999999995</v>
      </c>
      <c r="E197" s="1630">
        <v>0.73629999999999995</v>
      </c>
      <c r="F197" s="1630">
        <v>0.73629999999999995</v>
      </c>
      <c r="G197" s="1630">
        <v>0.73629999999999995</v>
      </c>
      <c r="H197" s="1630">
        <v>0.73629999999999995</v>
      </c>
      <c r="I197" s="1630">
        <v>0.63919999999999999</v>
      </c>
      <c r="J197" s="1630">
        <v>0.63919999999999999</v>
      </c>
      <c r="K197" s="1630">
        <v>0.63919999999999999</v>
      </c>
      <c r="L197" s="1630">
        <v>0.63919999999999999</v>
      </c>
      <c r="M197" s="1630">
        <v>0.63919999999999999</v>
      </c>
    </row>
    <row r="198" spans="1:13">
      <c r="A198" s="1644">
        <v>9.4</v>
      </c>
      <c r="B198" s="1630">
        <v>0.83630000000000004</v>
      </c>
      <c r="C198" s="1630">
        <v>0.83630000000000004</v>
      </c>
      <c r="D198" s="1630">
        <v>0.7349</v>
      </c>
      <c r="E198" s="1630">
        <v>0.7349</v>
      </c>
      <c r="F198" s="1630">
        <v>0.7349</v>
      </c>
      <c r="G198" s="1630">
        <v>0.7349</v>
      </c>
      <c r="H198" s="1630">
        <v>0.7349</v>
      </c>
      <c r="I198" s="1630">
        <v>0.63780000000000003</v>
      </c>
      <c r="J198" s="1630">
        <v>0.63780000000000003</v>
      </c>
      <c r="K198" s="1630">
        <v>0.63780000000000003</v>
      </c>
      <c r="L198" s="1630">
        <v>0.63780000000000003</v>
      </c>
      <c r="M198" s="1630">
        <v>0.63780000000000003</v>
      </c>
    </row>
    <row r="199" spans="1:13">
      <c r="A199" s="1644">
        <v>9.5</v>
      </c>
      <c r="B199" s="1630">
        <v>0.83499999999999996</v>
      </c>
      <c r="C199" s="1630">
        <v>0.83499999999999996</v>
      </c>
      <c r="D199" s="1630">
        <v>0.73350000000000004</v>
      </c>
      <c r="E199" s="1630">
        <v>0.73350000000000004</v>
      </c>
      <c r="F199" s="1630">
        <v>0.73350000000000004</v>
      </c>
      <c r="G199" s="1630">
        <v>0.73350000000000004</v>
      </c>
      <c r="H199" s="1630">
        <v>0.73350000000000004</v>
      </c>
      <c r="I199" s="1630">
        <v>0.63639999999999997</v>
      </c>
      <c r="J199" s="1630">
        <v>0.63639999999999997</v>
      </c>
      <c r="K199" s="1630">
        <v>0.63639999999999997</v>
      </c>
      <c r="L199" s="1630">
        <v>0.63639999999999997</v>
      </c>
      <c r="M199" s="1630">
        <v>0.63639999999999997</v>
      </c>
    </row>
    <row r="200" spans="1:13">
      <c r="A200" s="1644">
        <v>9.6</v>
      </c>
      <c r="B200" s="1630">
        <v>0.83379999999999999</v>
      </c>
      <c r="C200" s="1630">
        <v>0.83379999999999999</v>
      </c>
      <c r="D200" s="1630">
        <v>0.73209999999999997</v>
      </c>
      <c r="E200" s="1630">
        <v>0.73209999999999997</v>
      </c>
      <c r="F200" s="1630">
        <v>0.73209999999999997</v>
      </c>
      <c r="G200" s="1630">
        <v>0.73209999999999997</v>
      </c>
      <c r="H200" s="1630">
        <v>0.73209999999999997</v>
      </c>
      <c r="I200" s="1630">
        <v>0.63500000000000001</v>
      </c>
      <c r="J200" s="1630">
        <v>0.63500000000000001</v>
      </c>
      <c r="K200" s="1630">
        <v>0.63500000000000001</v>
      </c>
      <c r="L200" s="1630">
        <v>0.63500000000000001</v>
      </c>
      <c r="M200" s="1630">
        <v>0.63500000000000001</v>
      </c>
    </row>
    <row r="201" spans="1:13">
      <c r="A201" s="1644">
        <v>9.6999999999999993</v>
      </c>
      <c r="B201" s="1630">
        <v>0.83260000000000001</v>
      </c>
      <c r="C201" s="1630">
        <v>0.83260000000000001</v>
      </c>
      <c r="D201" s="1630">
        <v>0.73070000000000002</v>
      </c>
      <c r="E201" s="1630">
        <v>0.73070000000000002</v>
      </c>
      <c r="F201" s="1630">
        <v>0.73070000000000002</v>
      </c>
      <c r="G201" s="1630">
        <v>0.73070000000000002</v>
      </c>
      <c r="H201" s="1630">
        <v>0.73070000000000002</v>
      </c>
      <c r="I201" s="1630">
        <v>0.63360000000000005</v>
      </c>
      <c r="J201" s="1630">
        <v>0.63360000000000005</v>
      </c>
      <c r="K201" s="1630">
        <v>0.63360000000000005</v>
      </c>
      <c r="L201" s="1630">
        <v>0.63360000000000005</v>
      </c>
      <c r="M201" s="1630">
        <v>0.63360000000000005</v>
      </c>
    </row>
    <row r="202" spans="1:13">
      <c r="A202" s="1644">
        <v>9.8000000000000007</v>
      </c>
      <c r="B202" s="1630">
        <v>0.83140000000000003</v>
      </c>
      <c r="C202" s="1630">
        <v>0.83140000000000003</v>
      </c>
      <c r="D202" s="1630">
        <v>0.72929999999999995</v>
      </c>
      <c r="E202" s="1630">
        <v>0.72929999999999995</v>
      </c>
      <c r="F202" s="1630">
        <v>0.72929999999999995</v>
      </c>
      <c r="G202" s="1630">
        <v>0.72929999999999995</v>
      </c>
      <c r="H202" s="1630">
        <v>0.72929999999999995</v>
      </c>
      <c r="I202" s="1630">
        <v>0.63219999999999998</v>
      </c>
      <c r="J202" s="1630">
        <v>0.63219999999999998</v>
      </c>
      <c r="K202" s="1630">
        <v>0.63219999999999998</v>
      </c>
      <c r="L202" s="1630">
        <v>0.63219999999999998</v>
      </c>
      <c r="M202" s="1630">
        <v>0.63219999999999998</v>
      </c>
    </row>
    <row r="203" spans="1:13">
      <c r="A203" s="1644">
        <v>9.9</v>
      </c>
      <c r="B203" s="1630">
        <v>0.83020000000000005</v>
      </c>
      <c r="C203" s="1630">
        <v>0.83020000000000005</v>
      </c>
      <c r="D203" s="1630">
        <v>0.72799999999999998</v>
      </c>
      <c r="E203" s="1630">
        <v>0.72799999999999998</v>
      </c>
      <c r="F203" s="1630">
        <v>0.72799999999999998</v>
      </c>
      <c r="G203" s="1630">
        <v>0.72799999999999998</v>
      </c>
      <c r="H203" s="1630">
        <v>0.72799999999999998</v>
      </c>
      <c r="I203" s="1630">
        <v>0.63080000000000003</v>
      </c>
      <c r="J203" s="1630">
        <v>0.63080000000000003</v>
      </c>
      <c r="K203" s="1630">
        <v>0.63080000000000003</v>
      </c>
      <c r="L203" s="1630">
        <v>0.63080000000000003</v>
      </c>
      <c r="M203" s="1630">
        <v>0.63080000000000003</v>
      </c>
    </row>
    <row r="204" spans="1:13">
      <c r="A204" s="1644">
        <v>10</v>
      </c>
      <c r="B204" s="1630">
        <v>0.82899999999999996</v>
      </c>
      <c r="C204" s="1630">
        <v>0.82899999999999996</v>
      </c>
      <c r="D204" s="1630">
        <v>0.72670000000000001</v>
      </c>
      <c r="E204" s="1630">
        <v>0.72670000000000001</v>
      </c>
      <c r="F204" s="1630">
        <v>0.72670000000000001</v>
      </c>
      <c r="G204" s="1630">
        <v>0.72670000000000001</v>
      </c>
      <c r="H204" s="1630">
        <v>0.72670000000000001</v>
      </c>
      <c r="I204" s="1630">
        <v>0.62939999999999996</v>
      </c>
      <c r="J204" s="1630">
        <v>0.62939999999999996</v>
      </c>
      <c r="K204" s="1630">
        <v>0.62939999999999996</v>
      </c>
      <c r="L204" s="1630">
        <v>0.62939999999999996</v>
      </c>
      <c r="M204" s="1630">
        <v>0.62939999999999996</v>
      </c>
    </row>
    <row r="205" spans="1:13" ht="14.25">
      <c r="A205" s="1618" t="s">
        <v>2132</v>
      </c>
      <c r="B205" s="1619"/>
      <c r="C205" s="1619"/>
      <c r="D205" s="1619"/>
      <c r="E205" s="1619"/>
      <c r="F205" s="1619"/>
      <c r="G205" s="1619"/>
      <c r="H205" s="1619"/>
      <c r="I205" s="1619"/>
      <c r="J205" s="1619"/>
      <c r="K205" s="1619"/>
      <c r="L205" s="1619"/>
      <c r="M205" s="1619"/>
    </row>
    <row r="206" spans="1:13">
      <c r="A206" s="1621" t="s">
        <v>2122</v>
      </c>
      <c r="B206" s="1622" t="s">
        <v>1527</v>
      </c>
      <c r="C206" s="1622" t="s">
        <v>1528</v>
      </c>
      <c r="D206" s="1622" t="s">
        <v>1529</v>
      </c>
      <c r="E206" s="1622" t="s">
        <v>1530</v>
      </c>
      <c r="F206" s="1622" t="s">
        <v>1531</v>
      </c>
      <c r="G206" s="1622" t="s">
        <v>1532</v>
      </c>
      <c r="H206" s="1623" t="s">
        <v>1533</v>
      </c>
      <c r="I206" s="1623" t="s">
        <v>1534</v>
      </c>
      <c r="J206" s="1624" t="s">
        <v>1535</v>
      </c>
      <c r="K206" s="1624" t="s">
        <v>1536</v>
      </c>
      <c r="L206" s="1624" t="s">
        <v>1537</v>
      </c>
      <c r="M206" s="1624" t="s">
        <v>1538</v>
      </c>
    </row>
    <row r="207" spans="1:13">
      <c r="A207" s="1621">
        <v>0.1</v>
      </c>
      <c r="B207" s="1630">
        <v>12.172000000000001</v>
      </c>
      <c r="C207" s="1630">
        <v>12.172000000000001</v>
      </c>
      <c r="D207" s="1630">
        <v>12.375999999999999</v>
      </c>
      <c r="E207" s="1630">
        <v>12.375999999999999</v>
      </c>
      <c r="F207" s="1630">
        <v>12.375999999999999</v>
      </c>
      <c r="G207" s="1630">
        <v>12.375999999999999</v>
      </c>
      <c r="H207" s="1630">
        <v>12.375999999999999</v>
      </c>
      <c r="I207" s="1630">
        <v>11.071999999999999</v>
      </c>
      <c r="J207" s="1630">
        <v>11.071999999999999</v>
      </c>
      <c r="K207" s="1630">
        <v>11.071999999999999</v>
      </c>
      <c r="L207" s="1630">
        <v>11.071999999999999</v>
      </c>
      <c r="M207" s="1630">
        <v>11.071999999999999</v>
      </c>
    </row>
    <row r="208" spans="1:13">
      <c r="A208" s="1621">
        <v>0.2</v>
      </c>
      <c r="B208" s="1630">
        <v>6.0860000000000003</v>
      </c>
      <c r="C208" s="1630">
        <v>6.0860000000000003</v>
      </c>
      <c r="D208" s="1630">
        <v>6.1879999999999997</v>
      </c>
      <c r="E208" s="1630">
        <v>6.1879999999999997</v>
      </c>
      <c r="F208" s="1630">
        <v>6.1879999999999997</v>
      </c>
      <c r="G208" s="1630">
        <v>6.1879999999999997</v>
      </c>
      <c r="H208" s="1630">
        <v>6.1879999999999997</v>
      </c>
      <c r="I208" s="1630">
        <v>5.5359999999999996</v>
      </c>
      <c r="J208" s="1630">
        <v>5.5359999999999996</v>
      </c>
      <c r="K208" s="1630">
        <v>5.5359999999999996</v>
      </c>
      <c r="L208" s="1630">
        <v>5.5359999999999996</v>
      </c>
      <c r="M208" s="1630">
        <v>5.5359999999999996</v>
      </c>
    </row>
    <row r="209" spans="1:13">
      <c r="A209" s="1621">
        <v>0.3</v>
      </c>
      <c r="B209" s="1630">
        <v>4.0572999999999997</v>
      </c>
      <c r="C209" s="1630">
        <v>4.0572999999999997</v>
      </c>
      <c r="D209" s="1630">
        <v>4.1253000000000002</v>
      </c>
      <c r="E209" s="1630">
        <v>4.1253000000000002</v>
      </c>
      <c r="F209" s="1630">
        <v>4.1253000000000002</v>
      </c>
      <c r="G209" s="1630">
        <v>4.1253000000000002</v>
      </c>
      <c r="H209" s="1630">
        <v>4.1253000000000002</v>
      </c>
      <c r="I209" s="1630">
        <v>3.6907000000000001</v>
      </c>
      <c r="J209" s="1630">
        <v>3.6907000000000001</v>
      </c>
      <c r="K209" s="1630">
        <v>3.6907000000000001</v>
      </c>
      <c r="L209" s="1630">
        <v>3.6907000000000001</v>
      </c>
      <c r="M209" s="1630">
        <v>3.6907000000000001</v>
      </c>
    </row>
    <row r="210" spans="1:13">
      <c r="A210" s="1621">
        <v>0.4</v>
      </c>
      <c r="B210" s="1630">
        <v>3.0430000000000001</v>
      </c>
      <c r="C210" s="1630">
        <v>3.0430000000000001</v>
      </c>
      <c r="D210" s="1630">
        <v>3.0939999999999999</v>
      </c>
      <c r="E210" s="1630">
        <v>3.0939999999999999</v>
      </c>
      <c r="F210" s="1630">
        <v>3.0939999999999999</v>
      </c>
      <c r="G210" s="1630">
        <v>3.0939999999999999</v>
      </c>
      <c r="H210" s="1630">
        <v>3.0939999999999999</v>
      </c>
      <c r="I210" s="1630">
        <v>2.7679999999999998</v>
      </c>
      <c r="J210" s="1630">
        <v>2.7679999999999998</v>
      </c>
      <c r="K210" s="1630">
        <v>2.7679999999999998</v>
      </c>
      <c r="L210" s="1630">
        <v>2.7679999999999998</v>
      </c>
      <c r="M210" s="1630">
        <v>2.7679999999999998</v>
      </c>
    </row>
    <row r="211" spans="1:13">
      <c r="A211" s="1621">
        <v>0.5</v>
      </c>
      <c r="B211" s="1630">
        <v>2.4344000000000001</v>
      </c>
      <c r="C211" s="1630">
        <v>2.4344000000000001</v>
      </c>
      <c r="D211" s="1630">
        <v>2.4752000000000001</v>
      </c>
      <c r="E211" s="1630">
        <v>2.4752000000000001</v>
      </c>
      <c r="F211" s="1630">
        <v>2.4752000000000001</v>
      </c>
      <c r="G211" s="1630">
        <v>2.4752000000000001</v>
      </c>
      <c r="H211" s="1630">
        <v>2.4752000000000001</v>
      </c>
      <c r="I211" s="1630">
        <v>2.2143999999999999</v>
      </c>
      <c r="J211" s="1630">
        <v>2.2143999999999999</v>
      </c>
      <c r="K211" s="1630">
        <v>2.2143999999999999</v>
      </c>
      <c r="L211" s="1630">
        <v>2.2143999999999999</v>
      </c>
      <c r="M211" s="1630">
        <v>2.2143999999999999</v>
      </c>
    </row>
    <row r="212" spans="1:13">
      <c r="A212" s="1621">
        <v>0.6</v>
      </c>
      <c r="B212" s="1630">
        <v>2.0287000000000002</v>
      </c>
      <c r="C212" s="1630">
        <v>2.0287000000000002</v>
      </c>
      <c r="D212" s="1630">
        <v>2.0627</v>
      </c>
      <c r="E212" s="1630">
        <v>2.0627</v>
      </c>
      <c r="F212" s="1630">
        <v>2.0627</v>
      </c>
      <c r="G212" s="1630">
        <v>2.0627</v>
      </c>
      <c r="H212" s="1630">
        <v>2.0627</v>
      </c>
      <c r="I212" s="1630">
        <v>1.8452999999999999</v>
      </c>
      <c r="J212" s="1630">
        <v>1.8452999999999999</v>
      </c>
      <c r="K212" s="1630">
        <v>1.8452999999999999</v>
      </c>
      <c r="L212" s="1630">
        <v>1.8452999999999999</v>
      </c>
      <c r="M212" s="1630">
        <v>1.8452999999999999</v>
      </c>
    </row>
    <row r="213" spans="1:13">
      <c r="A213" s="1621">
        <v>0.7</v>
      </c>
      <c r="B213" s="1630">
        <v>1.7388999999999999</v>
      </c>
      <c r="C213" s="1630">
        <v>1.7388999999999999</v>
      </c>
      <c r="D213" s="1630">
        <v>1.768</v>
      </c>
      <c r="E213" s="1630">
        <v>1.768</v>
      </c>
      <c r="F213" s="1630">
        <v>1.768</v>
      </c>
      <c r="G213" s="1630">
        <v>1.768</v>
      </c>
      <c r="H213" s="1630">
        <v>1.768</v>
      </c>
      <c r="I213" s="1630">
        <v>1.5817000000000001</v>
      </c>
      <c r="J213" s="1630">
        <v>1.5817000000000001</v>
      </c>
      <c r="K213" s="1630">
        <v>1.5817000000000001</v>
      </c>
      <c r="L213" s="1630">
        <v>1.5817000000000001</v>
      </c>
      <c r="M213" s="1630">
        <v>1.5817000000000001</v>
      </c>
    </row>
    <row r="214" spans="1:13">
      <c r="A214" s="1621">
        <v>0.8</v>
      </c>
      <c r="B214" s="1630">
        <v>1.5215000000000001</v>
      </c>
      <c r="C214" s="1630">
        <v>1.5215000000000001</v>
      </c>
      <c r="D214" s="1630">
        <v>1.5469999999999999</v>
      </c>
      <c r="E214" s="1630">
        <v>1.5469999999999999</v>
      </c>
      <c r="F214" s="1630">
        <v>1.5469999999999999</v>
      </c>
      <c r="G214" s="1630">
        <v>1.5469999999999999</v>
      </c>
      <c r="H214" s="1630">
        <v>1.5469999999999999</v>
      </c>
      <c r="I214" s="1630">
        <v>1.3839999999999999</v>
      </c>
      <c r="J214" s="1630">
        <v>1.3839999999999999</v>
      </c>
      <c r="K214" s="1630">
        <v>1.3839999999999999</v>
      </c>
      <c r="L214" s="1630">
        <v>1.3839999999999999</v>
      </c>
      <c r="M214" s="1630">
        <v>1.3839999999999999</v>
      </c>
    </row>
    <row r="215" spans="1:13">
      <c r="A215" s="1621">
        <v>0.9</v>
      </c>
      <c r="B215" s="1630">
        <v>1.3524</v>
      </c>
      <c r="C215" s="1630">
        <v>1.3524</v>
      </c>
      <c r="D215" s="1630">
        <v>1.3751</v>
      </c>
      <c r="E215" s="1630">
        <v>1.3751</v>
      </c>
      <c r="F215" s="1630">
        <v>1.3751</v>
      </c>
      <c r="G215" s="1630">
        <v>1.3751</v>
      </c>
      <c r="H215" s="1630">
        <v>1.3751</v>
      </c>
      <c r="I215" s="1630">
        <v>1.2302</v>
      </c>
      <c r="J215" s="1630">
        <v>1.2302</v>
      </c>
      <c r="K215" s="1630">
        <v>1.2302</v>
      </c>
      <c r="L215" s="1630">
        <v>1.2302</v>
      </c>
      <c r="M215" s="1630">
        <v>1.2302</v>
      </c>
    </row>
    <row r="216" spans="1:13">
      <c r="A216" s="1621">
        <v>1</v>
      </c>
      <c r="B216" s="1630">
        <v>1.2172000000000001</v>
      </c>
      <c r="C216" s="1630">
        <v>1.2172000000000001</v>
      </c>
      <c r="D216" s="1630">
        <v>1.2376</v>
      </c>
      <c r="E216" s="1630">
        <v>1.2376</v>
      </c>
      <c r="F216" s="1630">
        <v>1.2376</v>
      </c>
      <c r="G216" s="1630">
        <v>1.2376</v>
      </c>
      <c r="H216" s="1630">
        <v>1.2376</v>
      </c>
      <c r="I216" s="1630">
        <v>1.1072</v>
      </c>
      <c r="J216" s="1630">
        <v>1.1072</v>
      </c>
      <c r="K216" s="1630">
        <v>1.1072</v>
      </c>
      <c r="L216" s="1630">
        <v>1.1072</v>
      </c>
      <c r="M216" s="1630">
        <v>1.1072</v>
      </c>
    </row>
    <row r="217" spans="1:13">
      <c r="A217" s="1621">
        <v>1.1000000000000001</v>
      </c>
      <c r="B217" s="1630">
        <v>1.198</v>
      </c>
      <c r="C217" s="1630">
        <v>1.198</v>
      </c>
      <c r="D217" s="1630">
        <v>1.2156</v>
      </c>
      <c r="E217" s="1630">
        <v>1.2156</v>
      </c>
      <c r="F217" s="1630">
        <v>1.2156</v>
      </c>
      <c r="G217" s="1630">
        <v>1.2156</v>
      </c>
      <c r="H217" s="1630">
        <v>1.2156</v>
      </c>
      <c r="I217" s="1630">
        <v>1.0829</v>
      </c>
      <c r="J217" s="1630">
        <v>1.0829</v>
      </c>
      <c r="K217" s="1630">
        <v>1.0829</v>
      </c>
      <c r="L217" s="1630">
        <v>1.0829</v>
      </c>
      <c r="M217" s="1630">
        <v>1.0829</v>
      </c>
    </row>
    <row r="218" spans="1:13">
      <c r="A218" s="1621">
        <v>1.2</v>
      </c>
      <c r="B218" s="1630">
        <v>1.1795</v>
      </c>
      <c r="C218" s="1630">
        <v>1.1795</v>
      </c>
      <c r="D218" s="1630">
        <v>1.1947000000000001</v>
      </c>
      <c r="E218" s="1630">
        <v>1.1947000000000001</v>
      </c>
      <c r="F218" s="1630">
        <v>1.1947000000000001</v>
      </c>
      <c r="G218" s="1630">
        <v>1.1947000000000001</v>
      </c>
      <c r="H218" s="1630">
        <v>1.1947000000000001</v>
      </c>
      <c r="I218" s="1630">
        <v>1.0601</v>
      </c>
      <c r="J218" s="1630">
        <v>1.0601</v>
      </c>
      <c r="K218" s="1630">
        <v>1.0601</v>
      </c>
      <c r="L218" s="1630">
        <v>1.0601</v>
      </c>
      <c r="M218" s="1630">
        <v>1.0601</v>
      </c>
    </row>
    <row r="219" spans="1:13">
      <c r="A219" s="1621">
        <v>1.3</v>
      </c>
      <c r="B219" s="1630">
        <v>1.1617999999999999</v>
      </c>
      <c r="C219" s="1630">
        <v>1.1617999999999999</v>
      </c>
      <c r="D219" s="1630">
        <v>1.1748000000000001</v>
      </c>
      <c r="E219" s="1630">
        <v>1.1748000000000001</v>
      </c>
      <c r="F219" s="1630">
        <v>1.1748000000000001</v>
      </c>
      <c r="G219" s="1630">
        <v>1.1748000000000001</v>
      </c>
      <c r="H219" s="1630">
        <v>1.1748000000000001</v>
      </c>
      <c r="I219" s="1630">
        <v>1.0387999999999999</v>
      </c>
      <c r="J219" s="1630">
        <v>1.0387999999999999</v>
      </c>
      <c r="K219" s="1630">
        <v>1.0387999999999999</v>
      </c>
      <c r="L219" s="1630">
        <v>1.0387999999999999</v>
      </c>
      <c r="M219" s="1630">
        <v>1.0387999999999999</v>
      </c>
    </row>
    <row r="220" spans="1:13">
      <c r="A220" s="1621">
        <v>1.4</v>
      </c>
      <c r="B220" s="1630">
        <v>1.1448</v>
      </c>
      <c r="C220" s="1630">
        <v>1.1448</v>
      </c>
      <c r="D220" s="1630">
        <v>1.1557999999999999</v>
      </c>
      <c r="E220" s="1630">
        <v>1.1557999999999999</v>
      </c>
      <c r="F220" s="1630">
        <v>1.1557999999999999</v>
      </c>
      <c r="G220" s="1630">
        <v>1.1557999999999999</v>
      </c>
      <c r="H220" s="1630">
        <v>1.1557999999999999</v>
      </c>
      <c r="I220" s="1630">
        <v>1.0187999999999999</v>
      </c>
      <c r="J220" s="1630">
        <v>1.0187999999999999</v>
      </c>
      <c r="K220" s="1630">
        <v>1.0187999999999999</v>
      </c>
      <c r="L220" s="1630">
        <v>1.0187999999999999</v>
      </c>
      <c r="M220" s="1630">
        <v>1.0187999999999999</v>
      </c>
    </row>
    <row r="221" spans="1:13">
      <c r="A221" s="1621">
        <v>1.5</v>
      </c>
      <c r="B221" s="1630">
        <v>1.1285000000000001</v>
      </c>
      <c r="C221" s="1630">
        <v>1.1285000000000001</v>
      </c>
      <c r="D221" s="1630">
        <v>1.1377999999999999</v>
      </c>
      <c r="E221" s="1630">
        <v>1.1377999999999999</v>
      </c>
      <c r="F221" s="1630">
        <v>1.1377999999999999</v>
      </c>
      <c r="G221" s="1630">
        <v>1.1377999999999999</v>
      </c>
      <c r="H221" s="1630">
        <v>1.1377999999999999</v>
      </c>
      <c r="I221" s="1630">
        <v>1</v>
      </c>
      <c r="J221" s="1630">
        <v>1</v>
      </c>
      <c r="K221" s="1630">
        <v>1</v>
      </c>
      <c r="L221" s="1630">
        <v>1</v>
      </c>
      <c r="M221" s="1630">
        <v>1</v>
      </c>
    </row>
    <row r="222" spans="1:13">
      <c r="A222" s="1621">
        <v>1.6</v>
      </c>
      <c r="B222" s="1630">
        <v>1.1129</v>
      </c>
      <c r="C222" s="1630">
        <v>1.1129</v>
      </c>
      <c r="D222" s="1630">
        <v>1.1206</v>
      </c>
      <c r="E222" s="1630">
        <v>1.1206</v>
      </c>
      <c r="F222" s="1630">
        <v>1.1206</v>
      </c>
      <c r="G222" s="1630">
        <v>1.1206</v>
      </c>
      <c r="H222" s="1630">
        <v>1.1206</v>
      </c>
      <c r="I222" s="1630">
        <v>0.98240000000000005</v>
      </c>
      <c r="J222" s="1630">
        <v>0.98240000000000005</v>
      </c>
      <c r="K222" s="1630">
        <v>0.98240000000000005</v>
      </c>
      <c r="L222" s="1630">
        <v>0.98240000000000005</v>
      </c>
      <c r="M222" s="1630">
        <v>0.98240000000000005</v>
      </c>
    </row>
    <row r="223" spans="1:13">
      <c r="A223" s="1621">
        <v>1.7</v>
      </c>
      <c r="B223" s="1630">
        <v>1.0980000000000001</v>
      </c>
      <c r="C223" s="1630">
        <v>1.0980000000000001</v>
      </c>
      <c r="D223" s="1630">
        <v>1.1043000000000001</v>
      </c>
      <c r="E223" s="1630">
        <v>1.1043000000000001</v>
      </c>
      <c r="F223" s="1630">
        <v>1.1043000000000001</v>
      </c>
      <c r="G223" s="1630">
        <v>1.1043000000000001</v>
      </c>
      <c r="H223" s="1630">
        <v>1.1043000000000001</v>
      </c>
      <c r="I223" s="1630">
        <v>0.96579999999999999</v>
      </c>
      <c r="J223" s="1630">
        <v>0.96579999999999999</v>
      </c>
      <c r="K223" s="1630">
        <v>0.96579999999999999</v>
      </c>
      <c r="L223" s="1630">
        <v>0.96579999999999999</v>
      </c>
      <c r="M223" s="1630">
        <v>0.96579999999999999</v>
      </c>
    </row>
    <row r="224" spans="1:13">
      <c r="A224" s="1621">
        <v>1.8</v>
      </c>
      <c r="B224" s="1630">
        <v>1.0835999999999999</v>
      </c>
      <c r="C224" s="1630">
        <v>1.0835999999999999</v>
      </c>
      <c r="D224" s="1630">
        <v>1.0888</v>
      </c>
      <c r="E224" s="1630">
        <v>1.0888</v>
      </c>
      <c r="F224" s="1630">
        <v>1.0888</v>
      </c>
      <c r="G224" s="1630">
        <v>1.0888</v>
      </c>
      <c r="H224" s="1630">
        <v>1.0888</v>
      </c>
      <c r="I224" s="1630">
        <v>0.95030000000000003</v>
      </c>
      <c r="J224" s="1630">
        <v>0.95030000000000003</v>
      </c>
      <c r="K224" s="1630">
        <v>0.95030000000000003</v>
      </c>
      <c r="L224" s="1630">
        <v>0.95030000000000003</v>
      </c>
      <c r="M224" s="1630">
        <v>0.95030000000000003</v>
      </c>
    </row>
    <row r="225" spans="1:13">
      <c r="A225" s="1621">
        <v>1.9</v>
      </c>
      <c r="B225" s="1630">
        <v>1.0698000000000001</v>
      </c>
      <c r="C225" s="1630">
        <v>1.0698000000000001</v>
      </c>
      <c r="D225" s="1630">
        <v>1.0741000000000001</v>
      </c>
      <c r="E225" s="1630">
        <v>1.0741000000000001</v>
      </c>
      <c r="F225" s="1630">
        <v>1.0741000000000001</v>
      </c>
      <c r="G225" s="1630">
        <v>1.0741000000000001</v>
      </c>
      <c r="H225" s="1630">
        <v>1.0741000000000001</v>
      </c>
      <c r="I225" s="1630">
        <v>0.93610000000000004</v>
      </c>
      <c r="J225" s="1630">
        <v>0.93610000000000004</v>
      </c>
      <c r="K225" s="1630">
        <v>0.93610000000000004</v>
      </c>
      <c r="L225" s="1630">
        <v>0.93610000000000004</v>
      </c>
      <c r="M225" s="1630">
        <v>0.93610000000000004</v>
      </c>
    </row>
    <row r="226" spans="1:13">
      <c r="A226" s="1621">
        <v>2</v>
      </c>
      <c r="B226" s="1630">
        <v>1.0568</v>
      </c>
      <c r="C226" s="1630">
        <v>1.0568</v>
      </c>
      <c r="D226" s="1630">
        <v>1.0601</v>
      </c>
      <c r="E226" s="1630">
        <v>1.0601</v>
      </c>
      <c r="F226" s="1630">
        <v>1.0601</v>
      </c>
      <c r="G226" s="1630">
        <v>1.0601</v>
      </c>
      <c r="H226" s="1630">
        <v>1.0601</v>
      </c>
      <c r="I226" s="1630">
        <v>0.9224</v>
      </c>
      <c r="J226" s="1630">
        <v>0.9224</v>
      </c>
      <c r="K226" s="1630">
        <v>0.9224</v>
      </c>
      <c r="L226" s="1630">
        <v>0.9224</v>
      </c>
      <c r="M226" s="1630">
        <v>0.9224</v>
      </c>
    </row>
    <row r="227" spans="1:13">
      <c r="A227" s="1644">
        <v>2.1</v>
      </c>
      <c r="B227" s="1630">
        <v>1.0443</v>
      </c>
      <c r="C227" s="1630">
        <v>1.0443</v>
      </c>
      <c r="D227" s="1630">
        <v>1.0468</v>
      </c>
      <c r="E227" s="1630">
        <v>1.0468</v>
      </c>
      <c r="F227" s="1630">
        <v>1.0468</v>
      </c>
      <c r="G227" s="1630">
        <v>1.0468</v>
      </c>
      <c r="H227" s="1630">
        <v>1.0468</v>
      </c>
      <c r="I227" s="1630">
        <v>0.90959999999999996</v>
      </c>
      <c r="J227" s="1630">
        <v>0.90959999999999996</v>
      </c>
      <c r="K227" s="1630">
        <v>0.90959999999999996</v>
      </c>
      <c r="L227" s="1630">
        <v>0.90959999999999996</v>
      </c>
      <c r="M227" s="1630">
        <v>0.90959999999999996</v>
      </c>
    </row>
    <row r="228" spans="1:13">
      <c r="A228" s="1644">
        <v>2.2000000000000002</v>
      </c>
      <c r="B228" s="1630">
        <v>1.0325</v>
      </c>
      <c r="C228" s="1630">
        <v>1.0325</v>
      </c>
      <c r="D228" s="1630">
        <v>1.0342</v>
      </c>
      <c r="E228" s="1630">
        <v>1.0342</v>
      </c>
      <c r="F228" s="1630">
        <v>1.0342</v>
      </c>
      <c r="G228" s="1630">
        <v>1.0342</v>
      </c>
      <c r="H228" s="1630">
        <v>1.0342</v>
      </c>
      <c r="I228" s="1630">
        <v>0.89749999999999996</v>
      </c>
      <c r="J228" s="1630">
        <v>0.89749999999999996</v>
      </c>
      <c r="K228" s="1630">
        <v>0.89749999999999996</v>
      </c>
      <c r="L228" s="1630">
        <v>0.89749999999999996</v>
      </c>
      <c r="M228" s="1630">
        <v>0.89749999999999996</v>
      </c>
    </row>
    <row r="229" spans="1:13">
      <c r="A229" s="1644">
        <v>2.2999999999999998</v>
      </c>
      <c r="B229" s="1630">
        <v>1.0209999999999999</v>
      </c>
      <c r="C229" s="1630">
        <v>1.0209999999999999</v>
      </c>
      <c r="D229" s="1630">
        <v>1.0222</v>
      </c>
      <c r="E229" s="1630">
        <v>1.0222</v>
      </c>
      <c r="F229" s="1630">
        <v>1.0222</v>
      </c>
      <c r="G229" s="1630">
        <v>1.0222</v>
      </c>
      <c r="H229" s="1630">
        <v>1.0222</v>
      </c>
      <c r="I229" s="1630">
        <v>0.88619999999999999</v>
      </c>
      <c r="J229" s="1630">
        <v>0.88619999999999999</v>
      </c>
      <c r="K229" s="1630">
        <v>0.88619999999999999</v>
      </c>
      <c r="L229" s="1630">
        <v>0.88619999999999999</v>
      </c>
      <c r="M229" s="1630">
        <v>0.88619999999999999</v>
      </c>
    </row>
    <row r="230" spans="1:13">
      <c r="A230" s="1644">
        <v>2.4</v>
      </c>
      <c r="B230" s="1630">
        <v>1.0102</v>
      </c>
      <c r="C230" s="1630">
        <v>1.0102</v>
      </c>
      <c r="D230" s="1630">
        <v>1.0107999999999999</v>
      </c>
      <c r="E230" s="1630">
        <v>1.0107999999999999</v>
      </c>
      <c r="F230" s="1630">
        <v>1.0107999999999999</v>
      </c>
      <c r="G230" s="1630">
        <v>1.0107999999999999</v>
      </c>
      <c r="H230" s="1630">
        <v>1.0107999999999999</v>
      </c>
      <c r="I230" s="1630">
        <v>0.87529999999999997</v>
      </c>
      <c r="J230" s="1630">
        <v>0.87529999999999997</v>
      </c>
      <c r="K230" s="1630">
        <v>0.87529999999999997</v>
      </c>
      <c r="L230" s="1630">
        <v>0.87529999999999997</v>
      </c>
      <c r="M230" s="1630">
        <v>0.87529999999999997</v>
      </c>
    </row>
    <row r="231" spans="1:13">
      <c r="A231" s="1644">
        <v>2.5</v>
      </c>
      <c r="B231" s="1630">
        <v>1</v>
      </c>
      <c r="C231" s="1630">
        <v>1</v>
      </c>
      <c r="D231" s="1630">
        <v>1</v>
      </c>
      <c r="E231" s="1630">
        <v>1</v>
      </c>
      <c r="F231" s="1630">
        <v>1</v>
      </c>
      <c r="G231" s="1630">
        <v>1</v>
      </c>
      <c r="H231" s="1630">
        <v>1</v>
      </c>
      <c r="I231" s="1630">
        <v>0.86509999999999998</v>
      </c>
      <c r="J231" s="1630">
        <v>0.86509999999999998</v>
      </c>
      <c r="K231" s="1630">
        <v>0.86509999999999998</v>
      </c>
      <c r="L231" s="1630">
        <v>0.86509999999999998</v>
      </c>
      <c r="M231" s="1630">
        <v>0.86509999999999998</v>
      </c>
    </row>
    <row r="232" spans="1:13">
      <c r="A232" s="1644">
        <v>2.6</v>
      </c>
      <c r="B232" s="1630">
        <v>0.99029999999999996</v>
      </c>
      <c r="C232" s="1630">
        <v>0.99029999999999996</v>
      </c>
      <c r="D232" s="1630">
        <v>0.98970000000000002</v>
      </c>
      <c r="E232" s="1630">
        <v>0.98970000000000002</v>
      </c>
      <c r="F232" s="1630">
        <v>0.98970000000000002</v>
      </c>
      <c r="G232" s="1630">
        <v>0.98970000000000002</v>
      </c>
      <c r="H232" s="1630">
        <v>0.98970000000000002</v>
      </c>
      <c r="I232" s="1630">
        <v>0.85529999999999995</v>
      </c>
      <c r="J232" s="1630">
        <v>0.85529999999999995</v>
      </c>
      <c r="K232" s="1630">
        <v>0.85529999999999995</v>
      </c>
      <c r="L232" s="1630">
        <v>0.85529999999999995</v>
      </c>
      <c r="M232" s="1630">
        <v>0.85529999999999995</v>
      </c>
    </row>
    <row r="233" spans="1:13">
      <c r="A233" s="1644">
        <v>2.7</v>
      </c>
      <c r="B233" s="1630">
        <v>0.98109999999999997</v>
      </c>
      <c r="C233" s="1630">
        <v>0.98109999999999997</v>
      </c>
      <c r="D233" s="1630">
        <v>0.97989999999999999</v>
      </c>
      <c r="E233" s="1630">
        <v>0.97989999999999999</v>
      </c>
      <c r="F233" s="1630">
        <v>0.97989999999999999</v>
      </c>
      <c r="G233" s="1630">
        <v>0.97989999999999999</v>
      </c>
      <c r="H233" s="1630">
        <v>0.97989999999999999</v>
      </c>
      <c r="I233" s="1630">
        <v>0.84599999999999997</v>
      </c>
      <c r="J233" s="1630">
        <v>0.84599999999999997</v>
      </c>
      <c r="K233" s="1630">
        <v>0.84599999999999997</v>
      </c>
      <c r="L233" s="1630">
        <v>0.84599999999999997</v>
      </c>
      <c r="M233" s="1630">
        <v>0.84599999999999997</v>
      </c>
    </row>
    <row r="234" spans="1:13">
      <c r="A234" s="1644">
        <v>2.8</v>
      </c>
      <c r="B234" s="1630">
        <v>0.97240000000000004</v>
      </c>
      <c r="C234" s="1630">
        <v>0.97240000000000004</v>
      </c>
      <c r="D234" s="1630">
        <v>0.97060000000000002</v>
      </c>
      <c r="E234" s="1630">
        <v>0.97060000000000002</v>
      </c>
      <c r="F234" s="1630">
        <v>0.97060000000000002</v>
      </c>
      <c r="G234" s="1630">
        <v>0.97060000000000002</v>
      </c>
      <c r="H234" s="1630">
        <v>0.97060000000000002</v>
      </c>
      <c r="I234" s="1630">
        <v>0.83709999999999996</v>
      </c>
      <c r="J234" s="1630">
        <v>0.83709999999999996</v>
      </c>
      <c r="K234" s="1630">
        <v>0.83709999999999996</v>
      </c>
      <c r="L234" s="1630">
        <v>0.83709999999999996</v>
      </c>
      <c r="M234" s="1630">
        <v>0.83709999999999996</v>
      </c>
    </row>
    <row r="235" spans="1:13">
      <c r="A235" s="1644">
        <v>2.9</v>
      </c>
      <c r="B235" s="1630">
        <v>0.96419999999999995</v>
      </c>
      <c r="C235" s="1630">
        <v>0.96419999999999995</v>
      </c>
      <c r="D235" s="1630">
        <v>0.96179999999999999</v>
      </c>
      <c r="E235" s="1630">
        <v>0.96179999999999999</v>
      </c>
      <c r="F235" s="1630">
        <v>0.96179999999999999</v>
      </c>
      <c r="G235" s="1630">
        <v>0.96179999999999999</v>
      </c>
      <c r="H235" s="1630">
        <v>0.96179999999999999</v>
      </c>
      <c r="I235" s="1630">
        <v>0.82850000000000001</v>
      </c>
      <c r="J235" s="1630">
        <v>0.82850000000000001</v>
      </c>
      <c r="K235" s="1630">
        <v>0.82850000000000001</v>
      </c>
      <c r="L235" s="1630">
        <v>0.82850000000000001</v>
      </c>
      <c r="M235" s="1630">
        <v>0.82850000000000001</v>
      </c>
    </row>
    <row r="236" spans="1:13">
      <c r="A236" s="1644">
        <v>3</v>
      </c>
      <c r="B236" s="1630">
        <v>0.95640000000000003</v>
      </c>
      <c r="C236" s="1630">
        <v>0.95640000000000003</v>
      </c>
      <c r="D236" s="1630">
        <v>0.95340000000000003</v>
      </c>
      <c r="E236" s="1630">
        <v>0.95340000000000003</v>
      </c>
      <c r="F236" s="1630">
        <v>0.95340000000000003</v>
      </c>
      <c r="G236" s="1630">
        <v>0.95340000000000003</v>
      </c>
      <c r="H236" s="1630">
        <v>0.95340000000000003</v>
      </c>
      <c r="I236" s="1630">
        <v>0.82040000000000002</v>
      </c>
      <c r="J236" s="1630">
        <v>0.82040000000000002</v>
      </c>
      <c r="K236" s="1630">
        <v>0.82040000000000002</v>
      </c>
      <c r="L236" s="1630">
        <v>0.82040000000000002</v>
      </c>
      <c r="M236" s="1630">
        <v>0.82040000000000002</v>
      </c>
    </row>
    <row r="237" spans="1:13">
      <c r="A237" s="1644">
        <v>3.1</v>
      </c>
      <c r="B237" s="1630">
        <v>0.94899999999999995</v>
      </c>
      <c r="C237" s="1630">
        <v>0.94899999999999995</v>
      </c>
      <c r="D237" s="1630">
        <v>0.94550000000000001</v>
      </c>
      <c r="E237" s="1630">
        <v>0.94550000000000001</v>
      </c>
      <c r="F237" s="1630">
        <v>0.94550000000000001</v>
      </c>
      <c r="G237" s="1630">
        <v>0.94550000000000001</v>
      </c>
      <c r="H237" s="1630">
        <v>0.94550000000000001</v>
      </c>
      <c r="I237" s="1630">
        <v>0.81259999999999999</v>
      </c>
      <c r="J237" s="1630">
        <v>0.81259999999999999</v>
      </c>
      <c r="K237" s="1630">
        <v>0.81259999999999999</v>
      </c>
      <c r="L237" s="1630">
        <v>0.81259999999999999</v>
      </c>
      <c r="M237" s="1630">
        <v>0.81259999999999999</v>
      </c>
    </row>
    <row r="238" spans="1:13">
      <c r="A238" s="1644">
        <v>3.2</v>
      </c>
      <c r="B238" s="1630">
        <v>0.94199999999999995</v>
      </c>
      <c r="C238" s="1630">
        <v>0.94199999999999995</v>
      </c>
      <c r="D238" s="1630">
        <v>0.93789999999999996</v>
      </c>
      <c r="E238" s="1630">
        <v>0.93789999999999996</v>
      </c>
      <c r="F238" s="1630">
        <v>0.93789999999999996</v>
      </c>
      <c r="G238" s="1630">
        <v>0.93789999999999996</v>
      </c>
      <c r="H238" s="1630">
        <v>0.93789999999999996</v>
      </c>
      <c r="I238" s="1630">
        <v>0.80530000000000002</v>
      </c>
      <c r="J238" s="1630">
        <v>0.80530000000000002</v>
      </c>
      <c r="K238" s="1630">
        <v>0.80530000000000002</v>
      </c>
      <c r="L238" s="1630">
        <v>0.80530000000000002</v>
      </c>
      <c r="M238" s="1630">
        <v>0.80530000000000002</v>
      </c>
    </row>
    <row r="239" spans="1:13">
      <c r="A239" s="1644">
        <v>3.3</v>
      </c>
      <c r="B239" s="1630">
        <v>0.93540000000000001</v>
      </c>
      <c r="C239" s="1630">
        <v>0.93540000000000001</v>
      </c>
      <c r="D239" s="1630">
        <v>0.93069999999999997</v>
      </c>
      <c r="E239" s="1630">
        <v>0.93069999999999997</v>
      </c>
      <c r="F239" s="1630">
        <v>0.93069999999999997</v>
      </c>
      <c r="G239" s="1630">
        <v>0.93069999999999997</v>
      </c>
      <c r="H239" s="1630">
        <v>0.93069999999999997</v>
      </c>
      <c r="I239" s="1630">
        <v>0.79820000000000002</v>
      </c>
      <c r="J239" s="1630">
        <v>0.79820000000000002</v>
      </c>
      <c r="K239" s="1630">
        <v>0.79820000000000002</v>
      </c>
      <c r="L239" s="1630">
        <v>0.79820000000000002</v>
      </c>
      <c r="M239" s="1630">
        <v>0.79820000000000002</v>
      </c>
    </row>
    <row r="240" spans="1:13">
      <c r="A240" s="1644">
        <v>3.4</v>
      </c>
      <c r="B240" s="1630">
        <v>0.92920000000000003</v>
      </c>
      <c r="C240" s="1630">
        <v>0.92920000000000003</v>
      </c>
      <c r="D240" s="1630">
        <v>0.92390000000000005</v>
      </c>
      <c r="E240" s="1630">
        <v>0.92390000000000005</v>
      </c>
      <c r="F240" s="1630">
        <v>0.92390000000000005</v>
      </c>
      <c r="G240" s="1630">
        <v>0.92390000000000005</v>
      </c>
      <c r="H240" s="1630">
        <v>0.92390000000000005</v>
      </c>
      <c r="I240" s="1630">
        <v>0.79139999999999999</v>
      </c>
      <c r="J240" s="1630">
        <v>0.79139999999999999</v>
      </c>
      <c r="K240" s="1630">
        <v>0.79139999999999999</v>
      </c>
      <c r="L240" s="1630">
        <v>0.79139999999999999</v>
      </c>
      <c r="M240" s="1630">
        <v>0.79139999999999999</v>
      </c>
    </row>
    <row r="241" spans="1:13">
      <c r="A241" s="1644">
        <v>3.5</v>
      </c>
      <c r="B241" s="1630">
        <v>0.9234</v>
      </c>
      <c r="C241" s="1630">
        <v>0.9234</v>
      </c>
      <c r="D241" s="1630">
        <v>0.91749999999999998</v>
      </c>
      <c r="E241" s="1630">
        <v>0.91749999999999998</v>
      </c>
      <c r="F241" s="1630">
        <v>0.91749999999999998</v>
      </c>
      <c r="G241" s="1630">
        <v>0.91749999999999998</v>
      </c>
      <c r="H241" s="1630">
        <v>0.91749999999999998</v>
      </c>
      <c r="I241" s="1630">
        <v>0.78490000000000004</v>
      </c>
      <c r="J241" s="1630">
        <v>0.78490000000000004</v>
      </c>
      <c r="K241" s="1630">
        <v>0.78490000000000004</v>
      </c>
      <c r="L241" s="1630">
        <v>0.78490000000000004</v>
      </c>
      <c r="M241" s="1630">
        <v>0.78490000000000004</v>
      </c>
    </row>
    <row r="242" spans="1:13">
      <c r="A242" s="1644">
        <v>3.6</v>
      </c>
      <c r="B242" s="1630">
        <v>0.91790000000000005</v>
      </c>
      <c r="C242" s="1630">
        <v>0.91790000000000005</v>
      </c>
      <c r="D242" s="1630">
        <v>0.91139999999999999</v>
      </c>
      <c r="E242" s="1630">
        <v>0.91139999999999999</v>
      </c>
      <c r="F242" s="1630">
        <v>0.91139999999999999</v>
      </c>
      <c r="G242" s="1630">
        <v>0.91139999999999999</v>
      </c>
      <c r="H242" s="1630">
        <v>0.91139999999999999</v>
      </c>
      <c r="I242" s="1630">
        <v>0.77880000000000005</v>
      </c>
      <c r="J242" s="1630">
        <v>0.77880000000000005</v>
      </c>
      <c r="K242" s="1630">
        <v>0.77880000000000005</v>
      </c>
      <c r="L242" s="1630">
        <v>0.77880000000000005</v>
      </c>
      <c r="M242" s="1630">
        <v>0.77880000000000005</v>
      </c>
    </row>
    <row r="243" spans="1:13">
      <c r="A243" s="1644">
        <v>3.7</v>
      </c>
      <c r="B243" s="1630">
        <v>0.91269999999999996</v>
      </c>
      <c r="C243" s="1630">
        <v>0.91269999999999996</v>
      </c>
      <c r="D243" s="1630">
        <v>0.90559999999999996</v>
      </c>
      <c r="E243" s="1630">
        <v>0.90559999999999996</v>
      </c>
      <c r="F243" s="1630">
        <v>0.90559999999999996</v>
      </c>
      <c r="G243" s="1630">
        <v>0.90559999999999996</v>
      </c>
      <c r="H243" s="1630">
        <v>0.90559999999999996</v>
      </c>
      <c r="I243" s="1630">
        <v>0.77300000000000002</v>
      </c>
      <c r="J243" s="1630">
        <v>0.77300000000000002</v>
      </c>
      <c r="K243" s="1630">
        <v>0.77300000000000002</v>
      </c>
      <c r="L243" s="1630">
        <v>0.77300000000000002</v>
      </c>
      <c r="M243" s="1630">
        <v>0.77300000000000002</v>
      </c>
    </row>
    <row r="244" spans="1:13">
      <c r="A244" s="1644">
        <v>3.8</v>
      </c>
      <c r="B244" s="1630">
        <v>0.90780000000000005</v>
      </c>
      <c r="C244" s="1630">
        <v>0.90780000000000005</v>
      </c>
      <c r="D244" s="1630">
        <v>0.90010000000000001</v>
      </c>
      <c r="E244" s="1630">
        <v>0.90010000000000001</v>
      </c>
      <c r="F244" s="1630">
        <v>0.90010000000000001</v>
      </c>
      <c r="G244" s="1630">
        <v>0.90010000000000001</v>
      </c>
      <c r="H244" s="1630">
        <v>0.90010000000000001</v>
      </c>
      <c r="I244" s="1630">
        <v>0.76739999999999997</v>
      </c>
      <c r="J244" s="1630">
        <v>0.76739999999999997</v>
      </c>
      <c r="K244" s="1630">
        <v>0.76739999999999997</v>
      </c>
      <c r="L244" s="1630">
        <v>0.76739999999999997</v>
      </c>
      <c r="M244" s="1630">
        <v>0.76739999999999997</v>
      </c>
    </row>
    <row r="245" spans="1:13">
      <c r="A245" s="1644">
        <v>3.9</v>
      </c>
      <c r="B245" s="1630">
        <v>0.9032</v>
      </c>
      <c r="C245" s="1630">
        <v>0.9032</v>
      </c>
      <c r="D245" s="1630">
        <v>0.89490000000000003</v>
      </c>
      <c r="E245" s="1630">
        <v>0.89490000000000003</v>
      </c>
      <c r="F245" s="1630">
        <v>0.89490000000000003</v>
      </c>
      <c r="G245" s="1630">
        <v>0.89490000000000003</v>
      </c>
      <c r="H245" s="1630">
        <v>0.89490000000000003</v>
      </c>
      <c r="I245" s="1630">
        <v>0.7621</v>
      </c>
      <c r="J245" s="1630">
        <v>0.7621</v>
      </c>
      <c r="K245" s="1630">
        <v>0.7621</v>
      </c>
      <c r="L245" s="1630">
        <v>0.7621</v>
      </c>
      <c r="M245" s="1630">
        <v>0.7621</v>
      </c>
    </row>
    <row r="246" spans="1:13">
      <c r="A246" s="1644">
        <v>4</v>
      </c>
      <c r="B246" s="1630">
        <v>0.89890000000000003</v>
      </c>
      <c r="C246" s="1630">
        <v>0.89890000000000003</v>
      </c>
      <c r="D246" s="1630">
        <v>0.89</v>
      </c>
      <c r="E246" s="1630">
        <v>0.89</v>
      </c>
      <c r="F246" s="1630">
        <v>0.89</v>
      </c>
      <c r="G246" s="1630">
        <v>0.89</v>
      </c>
      <c r="H246" s="1630">
        <v>0.89</v>
      </c>
      <c r="I246" s="1630">
        <v>0.7571</v>
      </c>
      <c r="J246" s="1630">
        <v>0.7571</v>
      </c>
      <c r="K246" s="1630">
        <v>0.7571</v>
      </c>
      <c r="L246" s="1630">
        <v>0.7571</v>
      </c>
      <c r="M246" s="1630">
        <v>0.7571</v>
      </c>
    </row>
    <row r="247" spans="1:13">
      <c r="A247" s="1644">
        <v>4.0999999999999996</v>
      </c>
      <c r="B247" s="1630">
        <v>0.89480000000000004</v>
      </c>
      <c r="C247" s="1630">
        <v>0.89480000000000004</v>
      </c>
      <c r="D247" s="1630">
        <v>0.88539999999999996</v>
      </c>
      <c r="E247" s="1630">
        <v>0.88539999999999996</v>
      </c>
      <c r="F247" s="1630">
        <v>0.88539999999999996</v>
      </c>
      <c r="G247" s="1630">
        <v>0.88539999999999996</v>
      </c>
      <c r="H247" s="1630">
        <v>0.88539999999999996</v>
      </c>
      <c r="I247" s="1630">
        <v>0.75229999999999997</v>
      </c>
      <c r="J247" s="1630">
        <v>0.75229999999999997</v>
      </c>
      <c r="K247" s="1630">
        <v>0.75229999999999997</v>
      </c>
      <c r="L247" s="1630">
        <v>0.75229999999999997</v>
      </c>
      <c r="M247" s="1630">
        <v>0.75229999999999997</v>
      </c>
    </row>
    <row r="248" spans="1:13">
      <c r="A248" s="1644">
        <v>4.2</v>
      </c>
      <c r="B248" s="1630">
        <v>0.89100000000000001</v>
      </c>
      <c r="C248" s="1630">
        <v>0.89100000000000001</v>
      </c>
      <c r="D248" s="1630">
        <v>0.88109999999999999</v>
      </c>
      <c r="E248" s="1630">
        <v>0.88109999999999999</v>
      </c>
      <c r="F248" s="1630">
        <v>0.88109999999999999</v>
      </c>
      <c r="G248" s="1630">
        <v>0.88109999999999999</v>
      </c>
      <c r="H248" s="1630">
        <v>0.88109999999999999</v>
      </c>
      <c r="I248" s="1630">
        <v>0.74780000000000002</v>
      </c>
      <c r="J248" s="1630">
        <v>0.74780000000000002</v>
      </c>
      <c r="K248" s="1630">
        <v>0.74780000000000002</v>
      </c>
      <c r="L248" s="1630">
        <v>0.74780000000000002</v>
      </c>
      <c r="M248" s="1630">
        <v>0.74780000000000002</v>
      </c>
    </row>
    <row r="249" spans="1:13">
      <c r="A249" s="1644">
        <v>4.3</v>
      </c>
      <c r="B249" s="1630">
        <v>0.88739999999999997</v>
      </c>
      <c r="C249" s="1630">
        <v>0.88739999999999997</v>
      </c>
      <c r="D249" s="1630">
        <v>0.877</v>
      </c>
      <c r="E249" s="1630">
        <v>0.877</v>
      </c>
      <c r="F249" s="1630">
        <v>0.877</v>
      </c>
      <c r="G249" s="1630">
        <v>0.877</v>
      </c>
      <c r="H249" s="1630">
        <v>0.877</v>
      </c>
      <c r="I249" s="1630">
        <v>0.74329999999999996</v>
      </c>
      <c r="J249" s="1630">
        <v>0.74329999999999996</v>
      </c>
      <c r="K249" s="1630">
        <v>0.74329999999999996</v>
      </c>
      <c r="L249" s="1630">
        <v>0.74329999999999996</v>
      </c>
      <c r="M249" s="1630">
        <v>0.74329999999999996</v>
      </c>
    </row>
    <row r="250" spans="1:13">
      <c r="A250" s="1644">
        <v>4.4000000000000004</v>
      </c>
      <c r="B250" s="1630">
        <v>0.88400000000000001</v>
      </c>
      <c r="C250" s="1630">
        <v>0.88400000000000001</v>
      </c>
      <c r="D250" s="1630">
        <v>0.87309999999999999</v>
      </c>
      <c r="E250" s="1630">
        <v>0.87309999999999999</v>
      </c>
      <c r="F250" s="1630">
        <v>0.87309999999999999</v>
      </c>
      <c r="G250" s="1630">
        <v>0.87309999999999999</v>
      </c>
      <c r="H250" s="1630">
        <v>0.87309999999999999</v>
      </c>
      <c r="I250" s="1630">
        <v>0.73909999999999998</v>
      </c>
      <c r="J250" s="1630">
        <v>0.73909999999999998</v>
      </c>
      <c r="K250" s="1630">
        <v>0.73909999999999998</v>
      </c>
      <c r="L250" s="1630">
        <v>0.73909999999999998</v>
      </c>
      <c r="M250" s="1630">
        <v>0.73909999999999998</v>
      </c>
    </row>
    <row r="251" spans="1:13">
      <c r="A251" s="1644">
        <v>4.5</v>
      </c>
      <c r="B251" s="1630">
        <v>0.88080000000000003</v>
      </c>
      <c r="C251" s="1630">
        <v>0.88080000000000003</v>
      </c>
      <c r="D251" s="1630">
        <v>0.86939999999999995</v>
      </c>
      <c r="E251" s="1630">
        <v>0.86939999999999995</v>
      </c>
      <c r="F251" s="1630">
        <v>0.86939999999999995</v>
      </c>
      <c r="G251" s="1630">
        <v>0.86939999999999995</v>
      </c>
      <c r="H251" s="1630">
        <v>0.86939999999999995</v>
      </c>
      <c r="I251" s="1630">
        <v>0.73499999999999999</v>
      </c>
      <c r="J251" s="1630">
        <v>0.73499999999999999</v>
      </c>
      <c r="K251" s="1630">
        <v>0.73499999999999999</v>
      </c>
      <c r="L251" s="1630">
        <v>0.73499999999999999</v>
      </c>
      <c r="M251" s="1630">
        <v>0.73499999999999999</v>
      </c>
    </row>
    <row r="252" spans="1:13">
      <c r="A252" s="1644">
        <v>4.5999999999999996</v>
      </c>
      <c r="B252" s="1630">
        <v>0.87780000000000002</v>
      </c>
      <c r="C252" s="1630">
        <v>0.87780000000000002</v>
      </c>
      <c r="D252" s="1630">
        <v>0.8659</v>
      </c>
      <c r="E252" s="1630">
        <v>0.8659</v>
      </c>
      <c r="F252" s="1630">
        <v>0.8659</v>
      </c>
      <c r="G252" s="1630">
        <v>0.8659</v>
      </c>
      <c r="H252" s="1630">
        <v>0.8659</v>
      </c>
      <c r="I252" s="1630">
        <v>0.73109999999999997</v>
      </c>
      <c r="J252" s="1630">
        <v>0.73109999999999997</v>
      </c>
      <c r="K252" s="1630">
        <v>0.73109999999999997</v>
      </c>
      <c r="L252" s="1630">
        <v>0.73109999999999997</v>
      </c>
      <c r="M252" s="1630">
        <v>0.73109999999999997</v>
      </c>
    </row>
    <row r="253" spans="1:13">
      <c r="A253" s="1644">
        <v>4.7</v>
      </c>
      <c r="B253" s="1630">
        <v>0.875</v>
      </c>
      <c r="C253" s="1630">
        <v>0.875</v>
      </c>
      <c r="D253" s="1630">
        <v>0.86260000000000003</v>
      </c>
      <c r="E253" s="1630">
        <v>0.86260000000000003</v>
      </c>
      <c r="F253" s="1630">
        <v>0.86260000000000003</v>
      </c>
      <c r="G253" s="1630">
        <v>0.86260000000000003</v>
      </c>
      <c r="H253" s="1630">
        <v>0.86260000000000003</v>
      </c>
      <c r="I253" s="1630">
        <v>0.72750000000000004</v>
      </c>
      <c r="J253" s="1630">
        <v>0.72750000000000004</v>
      </c>
      <c r="K253" s="1630">
        <v>0.72750000000000004</v>
      </c>
      <c r="L253" s="1630">
        <v>0.72750000000000004</v>
      </c>
      <c r="M253" s="1630">
        <v>0.72750000000000004</v>
      </c>
    </row>
    <row r="254" spans="1:13">
      <c r="A254" s="1644">
        <v>4.8</v>
      </c>
      <c r="B254" s="1630">
        <v>0.87229999999999996</v>
      </c>
      <c r="C254" s="1630">
        <v>0.87229999999999996</v>
      </c>
      <c r="D254" s="1630">
        <v>0.85950000000000004</v>
      </c>
      <c r="E254" s="1630">
        <v>0.85950000000000004</v>
      </c>
      <c r="F254" s="1630">
        <v>0.85950000000000004</v>
      </c>
      <c r="G254" s="1630">
        <v>0.85950000000000004</v>
      </c>
      <c r="H254" s="1630">
        <v>0.85950000000000004</v>
      </c>
      <c r="I254" s="1630">
        <v>0.72399999999999998</v>
      </c>
      <c r="J254" s="1630">
        <v>0.72399999999999998</v>
      </c>
      <c r="K254" s="1630">
        <v>0.72399999999999998</v>
      </c>
      <c r="L254" s="1630">
        <v>0.72399999999999998</v>
      </c>
      <c r="M254" s="1630">
        <v>0.72399999999999998</v>
      </c>
    </row>
    <row r="255" spans="1:13">
      <c r="A255" s="1644">
        <v>4.9000000000000004</v>
      </c>
      <c r="B255" s="1630">
        <v>0.86980000000000002</v>
      </c>
      <c r="C255" s="1630">
        <v>0.86980000000000002</v>
      </c>
      <c r="D255" s="1630">
        <v>0.85660000000000003</v>
      </c>
      <c r="E255" s="1630">
        <v>0.85660000000000003</v>
      </c>
      <c r="F255" s="1630">
        <v>0.85660000000000003</v>
      </c>
      <c r="G255" s="1630">
        <v>0.85660000000000003</v>
      </c>
      <c r="H255" s="1630">
        <v>0.85660000000000003</v>
      </c>
      <c r="I255" s="1630">
        <v>0.7208</v>
      </c>
      <c r="J255" s="1630">
        <v>0.7208</v>
      </c>
      <c r="K255" s="1630">
        <v>0.7208</v>
      </c>
      <c r="L255" s="1630">
        <v>0.7208</v>
      </c>
      <c r="M255" s="1630">
        <v>0.7208</v>
      </c>
    </row>
    <row r="256" spans="1:13">
      <c r="A256" s="1644">
        <v>5</v>
      </c>
      <c r="B256" s="1630">
        <v>0.86739999999999995</v>
      </c>
      <c r="C256" s="1630">
        <v>0.86739999999999995</v>
      </c>
      <c r="D256" s="1630">
        <v>0.8538</v>
      </c>
      <c r="E256" s="1630">
        <v>0.8538</v>
      </c>
      <c r="F256" s="1630">
        <v>0.8538</v>
      </c>
      <c r="G256" s="1630">
        <v>0.8538</v>
      </c>
      <c r="H256" s="1630">
        <v>0.8538</v>
      </c>
      <c r="I256" s="1630">
        <v>0.71760000000000002</v>
      </c>
      <c r="J256" s="1630">
        <v>0.71760000000000002</v>
      </c>
      <c r="K256" s="1630">
        <v>0.71760000000000002</v>
      </c>
      <c r="L256" s="1630">
        <v>0.71760000000000002</v>
      </c>
      <c r="M256" s="1630">
        <v>0.71760000000000002</v>
      </c>
    </row>
    <row r="257" spans="1:13">
      <c r="A257" s="1621">
        <v>5.0999999999999996</v>
      </c>
      <c r="B257" s="1630">
        <v>0.86519999999999997</v>
      </c>
      <c r="C257" s="1630">
        <v>0.86519999999999997</v>
      </c>
      <c r="D257" s="1630">
        <v>0.85109999999999997</v>
      </c>
      <c r="E257" s="1630">
        <v>0.85109999999999997</v>
      </c>
      <c r="F257" s="1630">
        <v>0.85109999999999997</v>
      </c>
      <c r="G257" s="1630">
        <v>0.85109999999999997</v>
      </c>
      <c r="H257" s="1630">
        <v>0.85109999999999997</v>
      </c>
      <c r="I257" s="1630">
        <v>0.7147</v>
      </c>
      <c r="J257" s="1630">
        <v>0.7147</v>
      </c>
      <c r="K257" s="1630">
        <v>0.7147</v>
      </c>
      <c r="L257" s="1630">
        <v>0.7147</v>
      </c>
      <c r="M257" s="1630">
        <v>0.7147</v>
      </c>
    </row>
    <row r="258" spans="1:13">
      <c r="A258" s="1621">
        <v>5.2</v>
      </c>
      <c r="B258" s="1630">
        <v>0.86309999999999998</v>
      </c>
      <c r="C258" s="1630">
        <v>0.86309999999999998</v>
      </c>
      <c r="D258" s="1630">
        <v>0.84860000000000002</v>
      </c>
      <c r="E258" s="1630">
        <v>0.84860000000000002</v>
      </c>
      <c r="F258" s="1630">
        <v>0.84860000000000002</v>
      </c>
      <c r="G258" s="1630">
        <v>0.84860000000000002</v>
      </c>
      <c r="H258" s="1630">
        <v>0.84860000000000002</v>
      </c>
      <c r="I258" s="1630">
        <v>0.71189999999999998</v>
      </c>
      <c r="J258" s="1630">
        <v>0.71189999999999998</v>
      </c>
      <c r="K258" s="1630">
        <v>0.71189999999999998</v>
      </c>
      <c r="L258" s="1630">
        <v>0.71189999999999998</v>
      </c>
      <c r="M258" s="1630">
        <v>0.71189999999999998</v>
      </c>
    </row>
    <row r="259" spans="1:13">
      <c r="A259" s="1621">
        <v>5.3</v>
      </c>
      <c r="B259" s="1630">
        <v>0.86119999999999997</v>
      </c>
      <c r="C259" s="1630">
        <v>0.86119999999999997</v>
      </c>
      <c r="D259" s="1630">
        <v>0.84619999999999995</v>
      </c>
      <c r="E259" s="1630">
        <v>0.84619999999999995</v>
      </c>
      <c r="F259" s="1630">
        <v>0.84619999999999995</v>
      </c>
      <c r="G259" s="1630">
        <v>0.84619999999999995</v>
      </c>
      <c r="H259" s="1630">
        <v>0.84619999999999995</v>
      </c>
      <c r="I259" s="1630">
        <v>0.70909999999999995</v>
      </c>
      <c r="J259" s="1630">
        <v>0.70909999999999995</v>
      </c>
      <c r="K259" s="1630">
        <v>0.70909999999999995</v>
      </c>
      <c r="L259" s="1630">
        <v>0.70909999999999995</v>
      </c>
      <c r="M259" s="1630">
        <v>0.70909999999999995</v>
      </c>
    </row>
    <row r="260" spans="1:13">
      <c r="A260" s="1621">
        <v>5.4</v>
      </c>
      <c r="B260" s="1630">
        <v>0.85940000000000005</v>
      </c>
      <c r="C260" s="1630">
        <v>0.85940000000000005</v>
      </c>
      <c r="D260" s="1630">
        <v>0.84389999999999998</v>
      </c>
      <c r="E260" s="1630">
        <v>0.84389999999999998</v>
      </c>
      <c r="F260" s="1630">
        <v>0.84389999999999998</v>
      </c>
      <c r="G260" s="1630">
        <v>0.84389999999999998</v>
      </c>
      <c r="H260" s="1630">
        <v>0.84389999999999998</v>
      </c>
      <c r="I260" s="1630">
        <v>0.70650000000000002</v>
      </c>
      <c r="J260" s="1630">
        <v>0.70650000000000002</v>
      </c>
      <c r="K260" s="1630">
        <v>0.70650000000000002</v>
      </c>
      <c r="L260" s="1630">
        <v>0.70650000000000002</v>
      </c>
      <c r="M260" s="1630">
        <v>0.70650000000000002</v>
      </c>
    </row>
    <row r="261" spans="1:13">
      <c r="A261" s="1621">
        <v>5.5</v>
      </c>
      <c r="B261" s="1630">
        <v>0.85770000000000002</v>
      </c>
      <c r="C261" s="1630">
        <v>0.85770000000000002</v>
      </c>
      <c r="D261" s="1630">
        <v>0.84179999999999999</v>
      </c>
      <c r="E261" s="1630">
        <v>0.84179999999999999</v>
      </c>
      <c r="F261" s="1630">
        <v>0.84179999999999999</v>
      </c>
      <c r="G261" s="1630">
        <v>0.84179999999999999</v>
      </c>
      <c r="H261" s="1630">
        <v>0.84179999999999999</v>
      </c>
      <c r="I261" s="1630">
        <v>0.70399999999999996</v>
      </c>
      <c r="J261" s="1630">
        <v>0.70399999999999996</v>
      </c>
      <c r="K261" s="1630">
        <v>0.70399999999999996</v>
      </c>
      <c r="L261" s="1630">
        <v>0.70399999999999996</v>
      </c>
      <c r="M261" s="1630">
        <v>0.70399999999999996</v>
      </c>
    </row>
    <row r="262" spans="1:13">
      <c r="A262" s="1621">
        <v>5.6</v>
      </c>
      <c r="B262" s="1630">
        <v>0.85599999999999998</v>
      </c>
      <c r="C262" s="1630">
        <v>0.85599999999999998</v>
      </c>
      <c r="D262" s="1630">
        <v>0.83979999999999999</v>
      </c>
      <c r="E262" s="1630">
        <v>0.83979999999999999</v>
      </c>
      <c r="F262" s="1630">
        <v>0.83979999999999999</v>
      </c>
      <c r="G262" s="1630">
        <v>0.83979999999999999</v>
      </c>
      <c r="H262" s="1630">
        <v>0.83979999999999999</v>
      </c>
      <c r="I262" s="1630">
        <v>0.7016</v>
      </c>
      <c r="J262" s="1630">
        <v>0.7016</v>
      </c>
      <c r="K262" s="1630">
        <v>0.7016</v>
      </c>
      <c r="L262" s="1630">
        <v>0.7016</v>
      </c>
      <c r="M262" s="1630">
        <v>0.7016</v>
      </c>
    </row>
    <row r="263" spans="1:13">
      <c r="A263" s="1644">
        <v>5.7</v>
      </c>
      <c r="B263" s="1630">
        <v>0.85440000000000005</v>
      </c>
      <c r="C263" s="1630">
        <v>0.85440000000000005</v>
      </c>
      <c r="D263" s="1630">
        <v>0.83789999999999998</v>
      </c>
      <c r="E263" s="1630">
        <v>0.83789999999999998</v>
      </c>
      <c r="F263" s="1630">
        <v>0.83789999999999998</v>
      </c>
      <c r="G263" s="1630">
        <v>0.83789999999999998</v>
      </c>
      <c r="H263" s="1630">
        <v>0.83789999999999998</v>
      </c>
      <c r="I263" s="1630">
        <v>0.69940000000000002</v>
      </c>
      <c r="J263" s="1630">
        <v>0.69940000000000002</v>
      </c>
      <c r="K263" s="1630">
        <v>0.69940000000000002</v>
      </c>
      <c r="L263" s="1630">
        <v>0.69940000000000002</v>
      </c>
      <c r="M263" s="1630">
        <v>0.69940000000000002</v>
      </c>
    </row>
    <row r="264" spans="1:13">
      <c r="A264" s="1621">
        <v>5.8</v>
      </c>
      <c r="B264" s="1630">
        <v>0.85289999999999999</v>
      </c>
      <c r="C264" s="1630">
        <v>0.85289999999999999</v>
      </c>
      <c r="D264" s="1630">
        <v>0.83599999999999997</v>
      </c>
      <c r="E264" s="1630">
        <v>0.83599999999999997</v>
      </c>
      <c r="F264" s="1630">
        <v>0.83599999999999997</v>
      </c>
      <c r="G264" s="1630">
        <v>0.83599999999999997</v>
      </c>
      <c r="H264" s="1630">
        <v>0.83599999999999997</v>
      </c>
      <c r="I264" s="1630">
        <v>0.69720000000000004</v>
      </c>
      <c r="J264" s="1630">
        <v>0.69720000000000004</v>
      </c>
      <c r="K264" s="1630">
        <v>0.69720000000000004</v>
      </c>
      <c r="L264" s="1630">
        <v>0.69720000000000004</v>
      </c>
      <c r="M264" s="1630">
        <v>0.69720000000000004</v>
      </c>
    </row>
    <row r="265" spans="1:13">
      <c r="A265" s="1621">
        <v>5.9</v>
      </c>
      <c r="B265" s="1630">
        <v>0.85150000000000003</v>
      </c>
      <c r="C265" s="1630">
        <v>0.85150000000000003</v>
      </c>
      <c r="D265" s="1630">
        <v>0.83430000000000004</v>
      </c>
      <c r="E265" s="1630">
        <v>0.83430000000000004</v>
      </c>
      <c r="F265" s="1630">
        <v>0.83430000000000004</v>
      </c>
      <c r="G265" s="1630">
        <v>0.83430000000000004</v>
      </c>
      <c r="H265" s="1630">
        <v>0.83430000000000004</v>
      </c>
      <c r="I265" s="1630">
        <v>0.69520000000000004</v>
      </c>
      <c r="J265" s="1630">
        <v>0.69520000000000004</v>
      </c>
      <c r="K265" s="1630">
        <v>0.69520000000000004</v>
      </c>
      <c r="L265" s="1630">
        <v>0.69520000000000004</v>
      </c>
      <c r="M265" s="1630">
        <v>0.69520000000000004</v>
      </c>
    </row>
    <row r="266" spans="1:13">
      <c r="A266" s="1621">
        <v>6</v>
      </c>
      <c r="B266" s="1630">
        <v>0.85019999999999996</v>
      </c>
      <c r="C266" s="1630">
        <v>0.85019999999999996</v>
      </c>
      <c r="D266" s="1630">
        <v>0.8327</v>
      </c>
      <c r="E266" s="1630">
        <v>0.8327</v>
      </c>
      <c r="F266" s="1630">
        <v>0.8327</v>
      </c>
      <c r="G266" s="1630">
        <v>0.8327</v>
      </c>
      <c r="H266" s="1630">
        <v>0.8327</v>
      </c>
      <c r="I266" s="1630">
        <v>0.69320000000000004</v>
      </c>
      <c r="J266" s="1630">
        <v>0.69320000000000004</v>
      </c>
      <c r="K266" s="1630">
        <v>0.69320000000000004</v>
      </c>
      <c r="L266" s="1630">
        <v>0.69320000000000004</v>
      </c>
      <c r="M266" s="1630">
        <v>0.69320000000000004</v>
      </c>
    </row>
    <row r="267" spans="1:13">
      <c r="A267" s="1621">
        <v>6.1</v>
      </c>
      <c r="B267" s="1630">
        <v>0.84899999999999998</v>
      </c>
      <c r="C267" s="1630">
        <v>0.84899999999999998</v>
      </c>
      <c r="D267" s="1630">
        <v>0.83109999999999995</v>
      </c>
      <c r="E267" s="1630">
        <v>0.83109999999999995</v>
      </c>
      <c r="F267" s="1630">
        <v>0.83109999999999995</v>
      </c>
      <c r="G267" s="1630">
        <v>0.83109999999999995</v>
      </c>
      <c r="H267" s="1630">
        <v>0.83109999999999995</v>
      </c>
      <c r="I267" s="1630">
        <v>0.69130000000000003</v>
      </c>
      <c r="J267" s="1630">
        <v>0.69130000000000003</v>
      </c>
      <c r="K267" s="1630">
        <v>0.69130000000000003</v>
      </c>
      <c r="L267" s="1630">
        <v>0.69130000000000003</v>
      </c>
      <c r="M267" s="1630">
        <v>0.69130000000000003</v>
      </c>
    </row>
    <row r="268" spans="1:13">
      <c r="A268" s="1621">
        <v>6.2</v>
      </c>
      <c r="B268" s="1630">
        <v>0.8478</v>
      </c>
      <c r="C268" s="1630">
        <v>0.8478</v>
      </c>
      <c r="D268" s="1630">
        <v>0.8296</v>
      </c>
      <c r="E268" s="1630">
        <v>0.8296</v>
      </c>
      <c r="F268" s="1630">
        <v>0.8296</v>
      </c>
      <c r="G268" s="1630">
        <v>0.8296</v>
      </c>
      <c r="H268" s="1630">
        <v>0.8296</v>
      </c>
      <c r="I268" s="1630">
        <v>0.68940000000000001</v>
      </c>
      <c r="J268" s="1630">
        <v>0.68940000000000001</v>
      </c>
      <c r="K268" s="1630">
        <v>0.68940000000000001</v>
      </c>
      <c r="L268" s="1630">
        <v>0.68940000000000001</v>
      </c>
      <c r="M268" s="1630">
        <v>0.68940000000000001</v>
      </c>
    </row>
    <row r="269" spans="1:13">
      <c r="A269" s="1621">
        <v>6.3</v>
      </c>
      <c r="B269" s="1630">
        <v>0.84670000000000001</v>
      </c>
      <c r="C269" s="1630">
        <v>0.84670000000000001</v>
      </c>
      <c r="D269" s="1630">
        <v>0.82820000000000005</v>
      </c>
      <c r="E269" s="1630">
        <v>0.82820000000000005</v>
      </c>
      <c r="F269" s="1630">
        <v>0.82820000000000005</v>
      </c>
      <c r="G269" s="1630">
        <v>0.82820000000000005</v>
      </c>
      <c r="H269" s="1630">
        <v>0.82820000000000005</v>
      </c>
      <c r="I269" s="1630">
        <v>0.68769999999999998</v>
      </c>
      <c r="J269" s="1630">
        <v>0.68769999999999998</v>
      </c>
      <c r="K269" s="1630">
        <v>0.68769999999999998</v>
      </c>
      <c r="L269" s="1630">
        <v>0.68769999999999998</v>
      </c>
      <c r="M269" s="1630">
        <v>0.68769999999999998</v>
      </c>
    </row>
    <row r="270" spans="1:13">
      <c r="A270" s="1621">
        <v>6.4</v>
      </c>
      <c r="B270" s="1630">
        <v>0.84570000000000001</v>
      </c>
      <c r="C270" s="1630">
        <v>0.84570000000000001</v>
      </c>
      <c r="D270" s="1630">
        <v>0.82689999999999997</v>
      </c>
      <c r="E270" s="1630">
        <v>0.82689999999999997</v>
      </c>
      <c r="F270" s="1630">
        <v>0.82689999999999997</v>
      </c>
      <c r="G270" s="1630">
        <v>0.82689999999999997</v>
      </c>
      <c r="H270" s="1630">
        <v>0.82689999999999997</v>
      </c>
      <c r="I270" s="1630">
        <v>0.68610000000000004</v>
      </c>
      <c r="J270" s="1630">
        <v>0.68610000000000004</v>
      </c>
      <c r="K270" s="1630">
        <v>0.68610000000000004</v>
      </c>
      <c r="L270" s="1630">
        <v>0.68610000000000004</v>
      </c>
      <c r="M270" s="1630">
        <v>0.68610000000000004</v>
      </c>
    </row>
    <row r="271" spans="1:13">
      <c r="A271" s="1621">
        <v>6.5</v>
      </c>
      <c r="B271" s="1630">
        <v>0.84470000000000001</v>
      </c>
      <c r="C271" s="1630">
        <v>0.84470000000000001</v>
      </c>
      <c r="D271" s="1630">
        <v>0.82569999999999999</v>
      </c>
      <c r="E271" s="1630">
        <v>0.82569999999999999</v>
      </c>
      <c r="F271" s="1630">
        <v>0.82569999999999999</v>
      </c>
      <c r="G271" s="1630">
        <v>0.82569999999999999</v>
      </c>
      <c r="H271" s="1630">
        <v>0.82569999999999999</v>
      </c>
      <c r="I271" s="1630">
        <v>0.68440000000000001</v>
      </c>
      <c r="J271" s="1630">
        <v>0.68440000000000001</v>
      </c>
      <c r="K271" s="1630">
        <v>0.68440000000000001</v>
      </c>
      <c r="L271" s="1630">
        <v>0.68440000000000001</v>
      </c>
      <c r="M271" s="1630">
        <v>0.68440000000000001</v>
      </c>
    </row>
    <row r="272" spans="1:13">
      <c r="A272" s="1621">
        <v>6.6</v>
      </c>
      <c r="B272" s="1630">
        <v>0.84370000000000001</v>
      </c>
      <c r="C272" s="1630">
        <v>0.84370000000000001</v>
      </c>
      <c r="D272" s="1630">
        <v>0.82450000000000001</v>
      </c>
      <c r="E272" s="1630">
        <v>0.82450000000000001</v>
      </c>
      <c r="F272" s="1630">
        <v>0.82450000000000001</v>
      </c>
      <c r="G272" s="1630">
        <v>0.82450000000000001</v>
      </c>
      <c r="H272" s="1630">
        <v>0.82450000000000001</v>
      </c>
      <c r="I272" s="1630">
        <v>0.68289999999999995</v>
      </c>
      <c r="J272" s="1630">
        <v>0.68289999999999995</v>
      </c>
      <c r="K272" s="1630">
        <v>0.68289999999999995</v>
      </c>
      <c r="L272" s="1630">
        <v>0.68289999999999995</v>
      </c>
      <c r="M272" s="1630">
        <v>0.68289999999999995</v>
      </c>
    </row>
    <row r="273" spans="1:13">
      <c r="A273" s="1621">
        <v>6.7</v>
      </c>
      <c r="B273" s="1630">
        <v>0.8427</v>
      </c>
      <c r="C273" s="1630">
        <v>0.8427</v>
      </c>
      <c r="D273" s="1630">
        <v>0.82330000000000003</v>
      </c>
      <c r="E273" s="1630">
        <v>0.82330000000000003</v>
      </c>
      <c r="F273" s="1630">
        <v>0.82330000000000003</v>
      </c>
      <c r="G273" s="1630">
        <v>0.82330000000000003</v>
      </c>
      <c r="H273" s="1630">
        <v>0.82330000000000003</v>
      </c>
      <c r="I273" s="1630">
        <v>0.68130000000000002</v>
      </c>
      <c r="J273" s="1630">
        <v>0.68130000000000002</v>
      </c>
      <c r="K273" s="1630">
        <v>0.68130000000000002</v>
      </c>
      <c r="L273" s="1630">
        <v>0.68130000000000002</v>
      </c>
      <c r="M273" s="1630">
        <v>0.68130000000000002</v>
      </c>
    </row>
    <row r="274" spans="1:13">
      <c r="A274" s="1621">
        <v>6.8</v>
      </c>
      <c r="B274" s="1630">
        <v>0.84179999999999999</v>
      </c>
      <c r="C274" s="1630">
        <v>0.84179999999999999</v>
      </c>
      <c r="D274" s="1630">
        <v>0.82210000000000005</v>
      </c>
      <c r="E274" s="1630">
        <v>0.82210000000000005</v>
      </c>
      <c r="F274" s="1630">
        <v>0.82210000000000005</v>
      </c>
      <c r="G274" s="1630">
        <v>0.82210000000000005</v>
      </c>
      <c r="H274" s="1630">
        <v>0.82210000000000005</v>
      </c>
      <c r="I274" s="1630">
        <v>0.67979999999999996</v>
      </c>
      <c r="J274" s="1630">
        <v>0.67979999999999996</v>
      </c>
      <c r="K274" s="1630">
        <v>0.67979999999999996</v>
      </c>
      <c r="L274" s="1630">
        <v>0.67979999999999996</v>
      </c>
      <c r="M274" s="1630">
        <v>0.67979999999999996</v>
      </c>
    </row>
    <row r="275" spans="1:13">
      <c r="A275" s="1621">
        <v>6.9</v>
      </c>
      <c r="B275" s="1630">
        <v>0.84089999999999998</v>
      </c>
      <c r="C275" s="1630">
        <v>0.84089999999999998</v>
      </c>
      <c r="D275" s="1630">
        <v>0.82099999999999995</v>
      </c>
      <c r="E275" s="1630">
        <v>0.82099999999999995</v>
      </c>
      <c r="F275" s="1630">
        <v>0.82099999999999995</v>
      </c>
      <c r="G275" s="1630">
        <v>0.82099999999999995</v>
      </c>
      <c r="H275" s="1630">
        <v>0.82099999999999995</v>
      </c>
      <c r="I275" s="1630">
        <v>0.67849999999999999</v>
      </c>
      <c r="J275" s="1630">
        <v>0.67849999999999999</v>
      </c>
      <c r="K275" s="1630">
        <v>0.67849999999999999</v>
      </c>
      <c r="L275" s="1630">
        <v>0.67849999999999999</v>
      </c>
      <c r="M275" s="1630">
        <v>0.67849999999999999</v>
      </c>
    </row>
    <row r="276" spans="1:13">
      <c r="A276" s="1621">
        <v>7</v>
      </c>
      <c r="B276" s="1630">
        <v>0.84009999999999996</v>
      </c>
      <c r="C276" s="1630">
        <v>0.84009999999999996</v>
      </c>
      <c r="D276" s="1630">
        <v>0.81989999999999996</v>
      </c>
      <c r="E276" s="1630">
        <v>0.81989999999999996</v>
      </c>
      <c r="F276" s="1630">
        <v>0.81989999999999996</v>
      </c>
      <c r="G276" s="1630">
        <v>0.81989999999999996</v>
      </c>
      <c r="H276" s="1630">
        <v>0.81989999999999996</v>
      </c>
      <c r="I276" s="1630">
        <v>0.67720000000000002</v>
      </c>
      <c r="J276" s="1630">
        <v>0.67720000000000002</v>
      </c>
      <c r="K276" s="1630">
        <v>0.67720000000000002</v>
      </c>
      <c r="L276" s="1630">
        <v>0.67720000000000002</v>
      </c>
      <c r="M276" s="1630">
        <v>0.67720000000000002</v>
      </c>
    </row>
    <row r="277" spans="1:13">
      <c r="A277" s="1621">
        <v>7.1</v>
      </c>
      <c r="B277" s="1630">
        <v>0.83930000000000005</v>
      </c>
      <c r="C277" s="1630">
        <v>0.83930000000000005</v>
      </c>
      <c r="D277" s="1630">
        <v>0.81889999999999996</v>
      </c>
      <c r="E277" s="1630">
        <v>0.81889999999999996</v>
      </c>
      <c r="F277" s="1630">
        <v>0.81889999999999996</v>
      </c>
      <c r="G277" s="1630">
        <v>0.81889999999999996</v>
      </c>
      <c r="H277" s="1630">
        <v>0.81889999999999996</v>
      </c>
      <c r="I277" s="1630">
        <v>0.67589999999999995</v>
      </c>
      <c r="J277" s="1630">
        <v>0.67589999999999995</v>
      </c>
      <c r="K277" s="1630">
        <v>0.67589999999999995</v>
      </c>
      <c r="L277" s="1630">
        <v>0.67589999999999995</v>
      </c>
      <c r="M277" s="1630">
        <v>0.67589999999999995</v>
      </c>
    </row>
    <row r="278" spans="1:13">
      <c r="A278" s="1621">
        <v>7.2</v>
      </c>
      <c r="B278" s="1630">
        <v>0.83850000000000002</v>
      </c>
      <c r="C278" s="1630">
        <v>0.83850000000000002</v>
      </c>
      <c r="D278" s="1630">
        <v>0.81789999999999996</v>
      </c>
      <c r="E278" s="1630">
        <v>0.81789999999999996</v>
      </c>
      <c r="F278" s="1630">
        <v>0.81789999999999996</v>
      </c>
      <c r="G278" s="1630">
        <v>0.81789999999999996</v>
      </c>
      <c r="H278" s="1630">
        <v>0.81789999999999996</v>
      </c>
      <c r="I278" s="1630">
        <v>0.67459999999999998</v>
      </c>
      <c r="J278" s="1630">
        <v>0.67459999999999998</v>
      </c>
      <c r="K278" s="1630">
        <v>0.67459999999999998</v>
      </c>
      <c r="L278" s="1630">
        <v>0.67459999999999998</v>
      </c>
      <c r="M278" s="1630">
        <v>0.67459999999999998</v>
      </c>
    </row>
    <row r="279" spans="1:13">
      <c r="A279" s="1621">
        <v>7.3</v>
      </c>
      <c r="B279" s="1630">
        <v>0.8377</v>
      </c>
      <c r="C279" s="1630">
        <v>0.8377</v>
      </c>
      <c r="D279" s="1630">
        <v>0.81689999999999996</v>
      </c>
      <c r="E279" s="1630">
        <v>0.81689999999999996</v>
      </c>
      <c r="F279" s="1630">
        <v>0.81689999999999996</v>
      </c>
      <c r="G279" s="1630">
        <v>0.81689999999999996</v>
      </c>
      <c r="H279" s="1630">
        <v>0.81689999999999996</v>
      </c>
      <c r="I279" s="1630">
        <v>0.6734</v>
      </c>
      <c r="J279" s="1630">
        <v>0.6734</v>
      </c>
      <c r="K279" s="1630">
        <v>0.6734</v>
      </c>
      <c r="L279" s="1630">
        <v>0.6734</v>
      </c>
      <c r="M279" s="1630">
        <v>0.6734</v>
      </c>
    </row>
    <row r="280" spans="1:13">
      <c r="A280" s="1621">
        <v>7.4</v>
      </c>
      <c r="B280" s="1630">
        <v>0.83699999999999997</v>
      </c>
      <c r="C280" s="1630">
        <v>0.83699999999999997</v>
      </c>
      <c r="D280" s="1630">
        <v>0.81599999999999995</v>
      </c>
      <c r="E280" s="1630">
        <v>0.81599999999999995</v>
      </c>
      <c r="F280" s="1630">
        <v>0.81599999999999995</v>
      </c>
      <c r="G280" s="1630">
        <v>0.81599999999999995</v>
      </c>
      <c r="H280" s="1630">
        <v>0.81599999999999995</v>
      </c>
      <c r="I280" s="1630">
        <v>0.67210000000000003</v>
      </c>
      <c r="J280" s="1630">
        <v>0.67210000000000003</v>
      </c>
      <c r="K280" s="1630">
        <v>0.67210000000000003</v>
      </c>
      <c r="L280" s="1630">
        <v>0.67210000000000003</v>
      </c>
      <c r="M280" s="1630">
        <v>0.67210000000000003</v>
      </c>
    </row>
    <row r="281" spans="1:13">
      <c r="A281" s="1621">
        <v>7.5</v>
      </c>
      <c r="B281" s="1630">
        <v>0.83630000000000004</v>
      </c>
      <c r="C281" s="1630">
        <v>0.83630000000000004</v>
      </c>
      <c r="D281" s="1630">
        <v>0.81510000000000005</v>
      </c>
      <c r="E281" s="1630">
        <v>0.81510000000000005</v>
      </c>
      <c r="F281" s="1630">
        <v>0.81510000000000005</v>
      </c>
      <c r="G281" s="1630">
        <v>0.81510000000000005</v>
      </c>
      <c r="H281" s="1630">
        <v>0.81510000000000005</v>
      </c>
      <c r="I281" s="1630">
        <v>0.67090000000000005</v>
      </c>
      <c r="J281" s="1630">
        <v>0.67090000000000005</v>
      </c>
      <c r="K281" s="1630">
        <v>0.67090000000000005</v>
      </c>
      <c r="L281" s="1630">
        <v>0.67090000000000005</v>
      </c>
      <c r="M281" s="1630">
        <v>0.67090000000000005</v>
      </c>
    </row>
    <row r="282" spans="1:13">
      <c r="A282" s="1621">
        <v>7.6</v>
      </c>
      <c r="B282" s="1630">
        <v>0.83560000000000001</v>
      </c>
      <c r="C282" s="1630">
        <v>0.83560000000000001</v>
      </c>
      <c r="D282" s="1630">
        <v>0.81420000000000003</v>
      </c>
      <c r="E282" s="1630">
        <v>0.81420000000000003</v>
      </c>
      <c r="F282" s="1630">
        <v>0.81420000000000003</v>
      </c>
      <c r="G282" s="1630">
        <v>0.81420000000000003</v>
      </c>
      <c r="H282" s="1630">
        <v>0.81420000000000003</v>
      </c>
      <c r="I282" s="1630">
        <v>0.66979999999999995</v>
      </c>
      <c r="J282" s="1630">
        <v>0.66979999999999995</v>
      </c>
      <c r="K282" s="1630">
        <v>0.66979999999999995</v>
      </c>
      <c r="L282" s="1630">
        <v>0.66979999999999995</v>
      </c>
      <c r="M282" s="1630">
        <v>0.66979999999999995</v>
      </c>
    </row>
    <row r="283" spans="1:13">
      <c r="A283" s="1621">
        <v>7.7</v>
      </c>
      <c r="B283" s="1630">
        <v>0.83489999999999998</v>
      </c>
      <c r="C283" s="1630">
        <v>0.83489999999999998</v>
      </c>
      <c r="D283" s="1630">
        <v>0.81330000000000002</v>
      </c>
      <c r="E283" s="1630">
        <v>0.81330000000000002</v>
      </c>
      <c r="F283" s="1630">
        <v>0.81330000000000002</v>
      </c>
      <c r="G283" s="1630">
        <v>0.81330000000000002</v>
      </c>
      <c r="H283" s="1630">
        <v>0.81330000000000002</v>
      </c>
      <c r="I283" s="1630">
        <v>0.66869999999999996</v>
      </c>
      <c r="J283" s="1630">
        <v>0.66869999999999996</v>
      </c>
      <c r="K283" s="1630">
        <v>0.66869999999999996</v>
      </c>
      <c r="L283" s="1630">
        <v>0.66869999999999996</v>
      </c>
      <c r="M283" s="1630">
        <v>0.66869999999999996</v>
      </c>
    </row>
    <row r="284" spans="1:13">
      <c r="A284" s="1621">
        <v>7.8</v>
      </c>
      <c r="B284" s="1630">
        <v>0.83420000000000005</v>
      </c>
      <c r="C284" s="1630">
        <v>0.83420000000000005</v>
      </c>
      <c r="D284" s="1630">
        <v>0.81240000000000001</v>
      </c>
      <c r="E284" s="1630">
        <v>0.81240000000000001</v>
      </c>
      <c r="F284" s="1630">
        <v>0.81240000000000001</v>
      </c>
      <c r="G284" s="1630">
        <v>0.81240000000000001</v>
      </c>
      <c r="H284" s="1630">
        <v>0.81240000000000001</v>
      </c>
      <c r="I284" s="1630">
        <v>0.66759999999999997</v>
      </c>
      <c r="J284" s="1630">
        <v>0.66759999999999997</v>
      </c>
      <c r="K284" s="1630">
        <v>0.66759999999999997</v>
      </c>
      <c r="L284" s="1630">
        <v>0.66759999999999997</v>
      </c>
      <c r="M284" s="1630">
        <v>0.66759999999999997</v>
      </c>
    </row>
    <row r="285" spans="1:13">
      <c r="A285" s="1621">
        <v>7.9</v>
      </c>
      <c r="B285" s="1630">
        <v>0.83350000000000002</v>
      </c>
      <c r="C285" s="1630">
        <v>0.83350000000000002</v>
      </c>
      <c r="D285" s="1630">
        <v>0.81159999999999999</v>
      </c>
      <c r="E285" s="1630">
        <v>0.81159999999999999</v>
      </c>
      <c r="F285" s="1630">
        <v>0.81159999999999999</v>
      </c>
      <c r="G285" s="1630">
        <v>0.81159999999999999</v>
      </c>
      <c r="H285" s="1630">
        <v>0.81159999999999999</v>
      </c>
      <c r="I285" s="1630">
        <v>0.66649999999999998</v>
      </c>
      <c r="J285" s="1630">
        <v>0.66649999999999998</v>
      </c>
      <c r="K285" s="1630">
        <v>0.66649999999999998</v>
      </c>
      <c r="L285" s="1630">
        <v>0.66649999999999998</v>
      </c>
      <c r="M285" s="1630">
        <v>0.66649999999999998</v>
      </c>
    </row>
    <row r="286" spans="1:13">
      <c r="A286" s="1621">
        <v>8</v>
      </c>
      <c r="B286" s="1630">
        <v>0.83279999999999998</v>
      </c>
      <c r="C286" s="1630">
        <v>0.83279999999999998</v>
      </c>
      <c r="D286" s="1630">
        <v>0.81079999999999997</v>
      </c>
      <c r="E286" s="1630">
        <v>0.81079999999999997</v>
      </c>
      <c r="F286" s="1630">
        <v>0.81079999999999997</v>
      </c>
      <c r="G286" s="1630">
        <v>0.81079999999999997</v>
      </c>
      <c r="H286" s="1630">
        <v>0.81079999999999997</v>
      </c>
      <c r="I286" s="1630">
        <v>0.66549999999999998</v>
      </c>
      <c r="J286" s="1630">
        <v>0.66549999999999998</v>
      </c>
      <c r="K286" s="1630">
        <v>0.66549999999999998</v>
      </c>
      <c r="L286" s="1630">
        <v>0.66549999999999998</v>
      </c>
      <c r="M286" s="1630">
        <v>0.66549999999999998</v>
      </c>
    </row>
    <row r="287" spans="1:13">
      <c r="A287" s="1621">
        <v>8.1</v>
      </c>
      <c r="B287" s="1630">
        <v>0.83220000000000005</v>
      </c>
      <c r="C287" s="1630">
        <v>0.83220000000000005</v>
      </c>
      <c r="D287" s="1630">
        <v>0.81</v>
      </c>
      <c r="E287" s="1630">
        <v>0.81</v>
      </c>
      <c r="F287" s="1630">
        <v>0.81</v>
      </c>
      <c r="G287" s="1630">
        <v>0.81</v>
      </c>
      <c r="H287" s="1630">
        <v>0.81</v>
      </c>
      <c r="I287" s="1630">
        <v>0.66439999999999999</v>
      </c>
      <c r="J287" s="1630">
        <v>0.66439999999999999</v>
      </c>
      <c r="K287" s="1630">
        <v>0.66439999999999999</v>
      </c>
      <c r="L287" s="1630">
        <v>0.66439999999999999</v>
      </c>
      <c r="M287" s="1630">
        <v>0.66439999999999999</v>
      </c>
    </row>
    <row r="288" spans="1:13">
      <c r="A288" s="1621">
        <v>8.1999999999999993</v>
      </c>
      <c r="B288" s="1630">
        <v>0.83160000000000001</v>
      </c>
      <c r="C288" s="1630">
        <v>0.83160000000000001</v>
      </c>
      <c r="D288" s="1630">
        <v>0.80920000000000003</v>
      </c>
      <c r="E288" s="1630">
        <v>0.80920000000000003</v>
      </c>
      <c r="F288" s="1630">
        <v>0.80920000000000003</v>
      </c>
      <c r="G288" s="1630">
        <v>0.80920000000000003</v>
      </c>
      <c r="H288" s="1630">
        <v>0.80920000000000003</v>
      </c>
      <c r="I288" s="1630">
        <v>0.66339999999999999</v>
      </c>
      <c r="J288" s="1630">
        <v>0.66339999999999999</v>
      </c>
      <c r="K288" s="1630">
        <v>0.66339999999999999</v>
      </c>
      <c r="L288" s="1630">
        <v>0.66339999999999999</v>
      </c>
      <c r="M288" s="1630">
        <v>0.66339999999999999</v>
      </c>
    </row>
    <row r="289" spans="1:13">
      <c r="A289" s="1621">
        <v>8.3000000000000007</v>
      </c>
      <c r="B289" s="1630">
        <v>0.83099999999999996</v>
      </c>
      <c r="C289" s="1630">
        <v>0.83099999999999996</v>
      </c>
      <c r="D289" s="1630">
        <v>0.80840000000000001</v>
      </c>
      <c r="E289" s="1630">
        <v>0.80840000000000001</v>
      </c>
      <c r="F289" s="1630">
        <v>0.80840000000000001</v>
      </c>
      <c r="G289" s="1630">
        <v>0.80840000000000001</v>
      </c>
      <c r="H289" s="1630">
        <v>0.80840000000000001</v>
      </c>
      <c r="I289" s="1630">
        <v>0.66239999999999999</v>
      </c>
      <c r="J289" s="1630">
        <v>0.66239999999999999</v>
      </c>
      <c r="K289" s="1630">
        <v>0.66239999999999999</v>
      </c>
      <c r="L289" s="1630">
        <v>0.66239999999999999</v>
      </c>
      <c r="M289" s="1630">
        <v>0.66239999999999999</v>
      </c>
    </row>
    <row r="290" spans="1:13">
      <c r="A290" s="1621">
        <v>8.4</v>
      </c>
      <c r="B290" s="1630">
        <v>0.83040000000000003</v>
      </c>
      <c r="C290" s="1630">
        <v>0.83040000000000003</v>
      </c>
      <c r="D290" s="1630">
        <v>0.80759999999999998</v>
      </c>
      <c r="E290" s="1630">
        <v>0.80759999999999998</v>
      </c>
      <c r="F290" s="1630">
        <v>0.80759999999999998</v>
      </c>
      <c r="G290" s="1630">
        <v>0.80759999999999998</v>
      </c>
      <c r="H290" s="1630">
        <v>0.80759999999999998</v>
      </c>
      <c r="I290" s="1630">
        <v>0.66139999999999999</v>
      </c>
      <c r="J290" s="1630">
        <v>0.66139999999999999</v>
      </c>
      <c r="K290" s="1630">
        <v>0.66139999999999999</v>
      </c>
      <c r="L290" s="1630">
        <v>0.66139999999999999</v>
      </c>
      <c r="M290" s="1630">
        <v>0.66139999999999999</v>
      </c>
    </row>
    <row r="291" spans="1:13">
      <c r="A291" s="1621">
        <v>8.5</v>
      </c>
      <c r="B291" s="1630">
        <v>0.82979999999999998</v>
      </c>
      <c r="C291" s="1630">
        <v>0.82979999999999998</v>
      </c>
      <c r="D291" s="1630">
        <v>0.80679999999999996</v>
      </c>
      <c r="E291" s="1630">
        <v>0.80679999999999996</v>
      </c>
      <c r="F291" s="1630">
        <v>0.80679999999999996</v>
      </c>
      <c r="G291" s="1630">
        <v>0.80679999999999996</v>
      </c>
      <c r="H291" s="1630">
        <v>0.80679999999999996</v>
      </c>
      <c r="I291" s="1630">
        <v>0.66049999999999998</v>
      </c>
      <c r="J291" s="1630">
        <v>0.66049999999999998</v>
      </c>
      <c r="K291" s="1630">
        <v>0.66049999999999998</v>
      </c>
      <c r="L291" s="1630">
        <v>0.66049999999999998</v>
      </c>
      <c r="M291" s="1630">
        <v>0.66049999999999998</v>
      </c>
    </row>
    <row r="292" spans="1:13">
      <c r="A292" s="1621">
        <v>8.6</v>
      </c>
      <c r="B292" s="1630">
        <v>0.82920000000000005</v>
      </c>
      <c r="C292" s="1630">
        <v>0.82920000000000005</v>
      </c>
      <c r="D292" s="1630">
        <v>0.80600000000000005</v>
      </c>
      <c r="E292" s="1630">
        <v>0.80600000000000005</v>
      </c>
      <c r="F292" s="1630">
        <v>0.80600000000000005</v>
      </c>
      <c r="G292" s="1630">
        <v>0.80600000000000005</v>
      </c>
      <c r="H292" s="1630">
        <v>0.80600000000000005</v>
      </c>
      <c r="I292" s="1630">
        <v>0.65949999999999998</v>
      </c>
      <c r="J292" s="1630">
        <v>0.65949999999999998</v>
      </c>
      <c r="K292" s="1630">
        <v>0.65949999999999998</v>
      </c>
      <c r="L292" s="1630">
        <v>0.65949999999999998</v>
      </c>
      <c r="M292" s="1630">
        <v>0.65949999999999998</v>
      </c>
    </row>
    <row r="293" spans="1:13">
      <c r="A293" s="1621">
        <v>8.6999999999999993</v>
      </c>
      <c r="B293" s="1630">
        <v>0.8286</v>
      </c>
      <c r="C293" s="1630">
        <v>0.8286</v>
      </c>
      <c r="D293" s="1630">
        <v>0.80520000000000003</v>
      </c>
      <c r="E293" s="1630">
        <v>0.80520000000000003</v>
      </c>
      <c r="F293" s="1630">
        <v>0.80520000000000003</v>
      </c>
      <c r="G293" s="1630">
        <v>0.80520000000000003</v>
      </c>
      <c r="H293" s="1630">
        <v>0.80520000000000003</v>
      </c>
      <c r="I293" s="1630">
        <v>0.65859999999999996</v>
      </c>
      <c r="J293" s="1630">
        <v>0.65859999999999996</v>
      </c>
      <c r="K293" s="1630">
        <v>0.65859999999999996</v>
      </c>
      <c r="L293" s="1630">
        <v>0.65859999999999996</v>
      </c>
      <c r="M293" s="1630">
        <v>0.65859999999999996</v>
      </c>
    </row>
    <row r="294" spans="1:13">
      <c r="A294" s="1621">
        <v>8.8000000000000007</v>
      </c>
      <c r="B294" s="1630">
        <v>0.82799999999999996</v>
      </c>
      <c r="C294" s="1630">
        <v>0.82799999999999996</v>
      </c>
      <c r="D294" s="1630">
        <v>0.8044</v>
      </c>
      <c r="E294" s="1630">
        <v>0.8044</v>
      </c>
      <c r="F294" s="1630">
        <v>0.8044</v>
      </c>
      <c r="G294" s="1630">
        <v>0.8044</v>
      </c>
      <c r="H294" s="1630">
        <v>0.8044</v>
      </c>
      <c r="I294" s="1630">
        <v>0.65759999999999996</v>
      </c>
      <c r="J294" s="1630">
        <v>0.65759999999999996</v>
      </c>
      <c r="K294" s="1630">
        <v>0.65759999999999996</v>
      </c>
      <c r="L294" s="1630">
        <v>0.65759999999999996</v>
      </c>
      <c r="M294" s="1630">
        <v>0.65759999999999996</v>
      </c>
    </row>
    <row r="295" spans="1:13">
      <c r="A295" s="1621">
        <v>8.9</v>
      </c>
      <c r="B295" s="1630">
        <v>0.82740000000000002</v>
      </c>
      <c r="C295" s="1630">
        <v>0.82740000000000002</v>
      </c>
      <c r="D295" s="1630">
        <v>0.80359999999999998</v>
      </c>
      <c r="E295" s="1630">
        <v>0.80359999999999998</v>
      </c>
      <c r="F295" s="1630">
        <v>0.80359999999999998</v>
      </c>
      <c r="G295" s="1630">
        <v>0.80359999999999998</v>
      </c>
      <c r="H295" s="1630">
        <v>0.80359999999999998</v>
      </c>
      <c r="I295" s="1630">
        <v>0.65669999999999995</v>
      </c>
      <c r="J295" s="1630">
        <v>0.65669999999999995</v>
      </c>
      <c r="K295" s="1630">
        <v>0.65669999999999995</v>
      </c>
      <c r="L295" s="1630">
        <v>0.65669999999999995</v>
      </c>
      <c r="M295" s="1630">
        <v>0.65669999999999995</v>
      </c>
    </row>
    <row r="296" spans="1:13">
      <c r="A296" s="1644">
        <v>9</v>
      </c>
      <c r="B296" s="1630">
        <v>0.82679999999999998</v>
      </c>
      <c r="C296" s="1630">
        <v>0.82679999999999998</v>
      </c>
      <c r="D296" s="1630">
        <v>0.80279999999999996</v>
      </c>
      <c r="E296" s="1630">
        <v>0.80279999999999996</v>
      </c>
      <c r="F296" s="1630">
        <v>0.80279999999999996</v>
      </c>
      <c r="G296" s="1630">
        <v>0.80279999999999996</v>
      </c>
      <c r="H296" s="1630">
        <v>0.80279999999999996</v>
      </c>
      <c r="I296" s="1630">
        <v>0.65569999999999995</v>
      </c>
      <c r="J296" s="1630">
        <v>0.65569999999999995</v>
      </c>
      <c r="K296" s="1630">
        <v>0.65569999999999995</v>
      </c>
      <c r="L296" s="1630">
        <v>0.65569999999999995</v>
      </c>
      <c r="M296" s="1630">
        <v>0.65569999999999995</v>
      </c>
    </row>
    <row r="297" spans="1:13">
      <c r="A297" s="1644">
        <v>9.1</v>
      </c>
      <c r="B297" s="1630">
        <v>0.82620000000000005</v>
      </c>
      <c r="C297" s="1630">
        <v>0.82620000000000005</v>
      </c>
      <c r="D297" s="1630">
        <v>0.80200000000000005</v>
      </c>
      <c r="E297" s="1630">
        <v>0.80200000000000005</v>
      </c>
      <c r="F297" s="1630">
        <v>0.80200000000000005</v>
      </c>
      <c r="G297" s="1630">
        <v>0.80200000000000005</v>
      </c>
      <c r="H297" s="1630">
        <v>0.80200000000000005</v>
      </c>
      <c r="I297" s="1630">
        <v>0.65480000000000005</v>
      </c>
      <c r="J297" s="1630">
        <v>0.65480000000000005</v>
      </c>
      <c r="K297" s="1630">
        <v>0.65480000000000005</v>
      </c>
      <c r="L297" s="1630">
        <v>0.65480000000000005</v>
      </c>
      <c r="M297" s="1630">
        <v>0.65480000000000005</v>
      </c>
    </row>
    <row r="298" spans="1:13">
      <c r="A298" s="1644">
        <v>9.1999999999999993</v>
      </c>
      <c r="B298" s="1630">
        <v>0.8256</v>
      </c>
      <c r="C298" s="1630">
        <v>0.8256</v>
      </c>
      <c r="D298" s="1630">
        <v>0.80120000000000002</v>
      </c>
      <c r="E298" s="1630">
        <v>0.80120000000000002</v>
      </c>
      <c r="F298" s="1630">
        <v>0.80120000000000002</v>
      </c>
      <c r="G298" s="1630">
        <v>0.80120000000000002</v>
      </c>
      <c r="H298" s="1630">
        <v>0.80120000000000002</v>
      </c>
      <c r="I298" s="1630">
        <v>0.65380000000000005</v>
      </c>
      <c r="J298" s="1630">
        <v>0.65380000000000005</v>
      </c>
      <c r="K298" s="1630">
        <v>0.65380000000000005</v>
      </c>
      <c r="L298" s="1630">
        <v>0.65380000000000005</v>
      </c>
      <c r="M298" s="1630">
        <v>0.65380000000000005</v>
      </c>
    </row>
    <row r="299" spans="1:13">
      <c r="A299" s="1644">
        <v>9.3000000000000007</v>
      </c>
      <c r="B299" s="1630">
        <v>0.82499999999999996</v>
      </c>
      <c r="C299" s="1630">
        <v>0.82499999999999996</v>
      </c>
      <c r="D299" s="1630">
        <v>0.8004</v>
      </c>
      <c r="E299" s="1630">
        <v>0.8004</v>
      </c>
      <c r="F299" s="1630">
        <v>0.8004</v>
      </c>
      <c r="G299" s="1630">
        <v>0.8004</v>
      </c>
      <c r="H299" s="1630">
        <v>0.8004</v>
      </c>
      <c r="I299" s="1630">
        <v>0.65290000000000004</v>
      </c>
      <c r="J299" s="1630">
        <v>0.65290000000000004</v>
      </c>
      <c r="K299" s="1630">
        <v>0.65290000000000004</v>
      </c>
      <c r="L299" s="1630">
        <v>0.65290000000000004</v>
      </c>
      <c r="M299" s="1630">
        <v>0.65290000000000004</v>
      </c>
    </row>
    <row r="300" spans="1:13">
      <c r="A300" s="1644">
        <v>9.4</v>
      </c>
      <c r="B300" s="1630">
        <v>0.82440000000000002</v>
      </c>
      <c r="C300" s="1630">
        <v>0.82440000000000002</v>
      </c>
      <c r="D300" s="1630">
        <v>0.79959999999999998</v>
      </c>
      <c r="E300" s="1630">
        <v>0.79959999999999998</v>
      </c>
      <c r="F300" s="1630">
        <v>0.79959999999999998</v>
      </c>
      <c r="G300" s="1630">
        <v>0.79959999999999998</v>
      </c>
      <c r="H300" s="1630">
        <v>0.79959999999999998</v>
      </c>
      <c r="I300" s="1630">
        <v>0.65190000000000003</v>
      </c>
      <c r="J300" s="1630">
        <v>0.65190000000000003</v>
      </c>
      <c r="K300" s="1630">
        <v>0.65190000000000003</v>
      </c>
      <c r="L300" s="1630">
        <v>0.65190000000000003</v>
      </c>
      <c r="M300" s="1630">
        <v>0.65190000000000003</v>
      </c>
    </row>
    <row r="301" spans="1:13">
      <c r="A301" s="1644">
        <v>9.5</v>
      </c>
      <c r="B301" s="1630">
        <v>0.82379999999999998</v>
      </c>
      <c r="C301" s="1630">
        <v>0.82379999999999998</v>
      </c>
      <c r="D301" s="1630">
        <v>0.79879999999999995</v>
      </c>
      <c r="E301" s="1630">
        <v>0.79879999999999995</v>
      </c>
      <c r="F301" s="1630">
        <v>0.79879999999999995</v>
      </c>
      <c r="G301" s="1630">
        <v>0.79879999999999995</v>
      </c>
      <c r="H301" s="1630">
        <v>0.79879999999999995</v>
      </c>
      <c r="I301" s="1630">
        <v>0.65100000000000002</v>
      </c>
      <c r="J301" s="1630">
        <v>0.65100000000000002</v>
      </c>
      <c r="K301" s="1630">
        <v>0.65100000000000002</v>
      </c>
      <c r="L301" s="1630">
        <v>0.65100000000000002</v>
      </c>
      <c r="M301" s="1630">
        <v>0.65100000000000002</v>
      </c>
    </row>
    <row r="302" spans="1:13">
      <c r="A302" s="1644">
        <v>9.6</v>
      </c>
      <c r="B302" s="1630">
        <v>0.82320000000000004</v>
      </c>
      <c r="C302" s="1630">
        <v>0.82320000000000004</v>
      </c>
      <c r="D302" s="1630">
        <v>0.79800000000000004</v>
      </c>
      <c r="E302" s="1630">
        <v>0.79800000000000004</v>
      </c>
      <c r="F302" s="1630">
        <v>0.79800000000000004</v>
      </c>
      <c r="G302" s="1630">
        <v>0.79800000000000004</v>
      </c>
      <c r="H302" s="1630">
        <v>0.79800000000000004</v>
      </c>
      <c r="I302" s="1630">
        <v>0.65</v>
      </c>
      <c r="J302" s="1630">
        <v>0.65</v>
      </c>
      <c r="K302" s="1630">
        <v>0.65</v>
      </c>
      <c r="L302" s="1630">
        <v>0.65</v>
      </c>
      <c r="M302" s="1630">
        <v>0.65</v>
      </c>
    </row>
    <row r="303" spans="1:13">
      <c r="A303" s="1644">
        <v>9.6999999999999993</v>
      </c>
      <c r="B303" s="1630">
        <v>0.8226</v>
      </c>
      <c r="C303" s="1630">
        <v>0.8226</v>
      </c>
      <c r="D303" s="1630">
        <v>0.79720000000000002</v>
      </c>
      <c r="E303" s="1630">
        <v>0.79720000000000002</v>
      </c>
      <c r="F303" s="1630">
        <v>0.79720000000000002</v>
      </c>
      <c r="G303" s="1630">
        <v>0.79720000000000002</v>
      </c>
      <c r="H303" s="1630">
        <v>0.79720000000000002</v>
      </c>
      <c r="I303" s="1630">
        <v>0.64900000000000002</v>
      </c>
      <c r="J303" s="1630">
        <v>0.64900000000000002</v>
      </c>
      <c r="K303" s="1630">
        <v>0.64900000000000002</v>
      </c>
      <c r="L303" s="1630">
        <v>0.64900000000000002</v>
      </c>
      <c r="M303" s="1630">
        <v>0.64900000000000002</v>
      </c>
    </row>
    <row r="304" spans="1:13">
      <c r="A304" s="1644">
        <v>9.8000000000000007</v>
      </c>
      <c r="B304" s="1630">
        <v>0.82199999999999995</v>
      </c>
      <c r="C304" s="1630">
        <v>0.82199999999999995</v>
      </c>
      <c r="D304" s="1630">
        <v>0.7964</v>
      </c>
      <c r="E304" s="1630">
        <v>0.7964</v>
      </c>
      <c r="F304" s="1630">
        <v>0.7964</v>
      </c>
      <c r="G304" s="1630">
        <v>0.7964</v>
      </c>
      <c r="H304" s="1630">
        <v>0.7964</v>
      </c>
      <c r="I304" s="1630">
        <v>0.64810000000000001</v>
      </c>
      <c r="J304" s="1630">
        <v>0.64810000000000001</v>
      </c>
      <c r="K304" s="1630">
        <v>0.64810000000000001</v>
      </c>
      <c r="L304" s="1630">
        <v>0.64810000000000001</v>
      </c>
      <c r="M304" s="1630">
        <v>0.64810000000000001</v>
      </c>
    </row>
    <row r="305" spans="1:13">
      <c r="A305" s="1644">
        <v>9.9</v>
      </c>
      <c r="B305" s="1630">
        <v>0.82140000000000002</v>
      </c>
      <c r="C305" s="1630">
        <v>0.82140000000000002</v>
      </c>
      <c r="D305" s="1630">
        <v>0.79559999999999997</v>
      </c>
      <c r="E305" s="1630">
        <v>0.79559999999999997</v>
      </c>
      <c r="F305" s="1630">
        <v>0.79559999999999997</v>
      </c>
      <c r="G305" s="1630">
        <v>0.79559999999999997</v>
      </c>
      <c r="H305" s="1630">
        <v>0.79559999999999997</v>
      </c>
      <c r="I305" s="1630">
        <v>0.64710000000000001</v>
      </c>
      <c r="J305" s="1630">
        <v>0.64710000000000001</v>
      </c>
      <c r="K305" s="1630">
        <v>0.64710000000000001</v>
      </c>
      <c r="L305" s="1630">
        <v>0.64710000000000001</v>
      </c>
      <c r="M305" s="1630">
        <v>0.64710000000000001</v>
      </c>
    </row>
    <row r="306" spans="1:13">
      <c r="A306" s="1644">
        <v>10</v>
      </c>
      <c r="B306" s="1630">
        <v>0.82079999999999997</v>
      </c>
      <c r="C306" s="1630">
        <v>0.82079999999999997</v>
      </c>
      <c r="D306" s="1630">
        <v>0.79479999999999995</v>
      </c>
      <c r="E306" s="1630">
        <v>0.79479999999999995</v>
      </c>
      <c r="F306" s="1630">
        <v>0.79479999999999995</v>
      </c>
      <c r="G306" s="1630">
        <v>0.79479999999999995</v>
      </c>
      <c r="H306" s="1630">
        <v>0.79479999999999995</v>
      </c>
      <c r="I306" s="1630">
        <v>0.6462</v>
      </c>
      <c r="J306" s="1630">
        <v>0.6462</v>
      </c>
      <c r="K306" s="1630">
        <v>0.6462</v>
      </c>
      <c r="L306" s="1630">
        <v>0.6462</v>
      </c>
      <c r="M306" s="1630">
        <v>0.6462</v>
      </c>
    </row>
    <row r="307" spans="1:13" ht="14.25">
      <c r="A307" s="1618" t="s">
        <v>2133</v>
      </c>
      <c r="B307" s="1619"/>
      <c r="C307" s="1619"/>
      <c r="D307" s="1619"/>
      <c r="E307" s="1619"/>
      <c r="F307" s="1619"/>
      <c r="G307" s="1619"/>
      <c r="H307" s="1619"/>
      <c r="I307" s="1619"/>
      <c r="J307" s="1619"/>
      <c r="K307" s="1619"/>
      <c r="L307" s="1619"/>
      <c r="M307" s="1619"/>
    </row>
    <row r="308" spans="1:13">
      <c r="A308" s="1621" t="s">
        <v>2122</v>
      </c>
      <c r="B308" s="1622" t="s">
        <v>1527</v>
      </c>
      <c r="C308" s="1622" t="s">
        <v>1528</v>
      </c>
      <c r="D308" s="1622" t="s">
        <v>1529</v>
      </c>
      <c r="E308" s="1622" t="s">
        <v>1530</v>
      </c>
      <c r="F308" s="1622" t="s">
        <v>1531</v>
      </c>
      <c r="G308" s="1622" t="s">
        <v>1532</v>
      </c>
      <c r="H308" s="1623" t="s">
        <v>1533</v>
      </c>
      <c r="I308" s="1623" t="s">
        <v>1534</v>
      </c>
      <c r="J308" s="1624" t="s">
        <v>1535</v>
      </c>
      <c r="K308" s="1624" t="s">
        <v>1536</v>
      </c>
      <c r="L308" s="1624" t="s">
        <v>1537</v>
      </c>
      <c r="M308" s="1624" t="s">
        <v>1538</v>
      </c>
    </row>
    <row r="309" spans="1:13">
      <c r="A309" s="1621">
        <v>0.1</v>
      </c>
      <c r="B309" s="1630">
        <v>11.506</v>
      </c>
      <c r="C309" s="1630">
        <v>11.506</v>
      </c>
      <c r="D309" s="1630">
        <v>12.015000000000001</v>
      </c>
      <c r="E309" s="1630">
        <v>12.015000000000001</v>
      </c>
      <c r="F309" s="1630">
        <v>12.015000000000001</v>
      </c>
      <c r="G309" s="1630">
        <v>11.118</v>
      </c>
      <c r="H309" s="1630">
        <v>11.118</v>
      </c>
      <c r="I309" s="1630">
        <v>10</v>
      </c>
      <c r="J309" s="1630">
        <v>10</v>
      </c>
      <c r="K309" s="1630">
        <v>10</v>
      </c>
      <c r="L309" s="1630">
        <v>10</v>
      </c>
      <c r="M309" s="1630">
        <v>10</v>
      </c>
    </row>
    <row r="310" spans="1:13">
      <c r="A310" s="1621">
        <v>0.2</v>
      </c>
      <c r="B310" s="1630">
        <v>5.7530000000000001</v>
      </c>
      <c r="C310" s="1630">
        <v>5.7530000000000001</v>
      </c>
      <c r="D310" s="1630">
        <v>6.0075000000000003</v>
      </c>
      <c r="E310" s="1630">
        <v>6.0075000000000003</v>
      </c>
      <c r="F310" s="1630">
        <v>6.0075000000000003</v>
      </c>
      <c r="G310" s="1630">
        <v>5.5590000000000002</v>
      </c>
      <c r="H310" s="1630">
        <v>5.5590000000000002</v>
      </c>
      <c r="I310" s="1630">
        <v>5</v>
      </c>
      <c r="J310" s="1630">
        <v>5</v>
      </c>
      <c r="K310" s="1630">
        <v>5</v>
      </c>
      <c r="L310" s="1630">
        <v>5</v>
      </c>
      <c r="M310" s="1630">
        <v>5</v>
      </c>
    </row>
    <row r="311" spans="1:13">
      <c r="A311" s="1621">
        <v>0.3</v>
      </c>
      <c r="B311" s="1630">
        <v>3.8353000000000002</v>
      </c>
      <c r="C311" s="1630">
        <v>3.8353000000000002</v>
      </c>
      <c r="D311" s="1630">
        <v>4.0049999999999999</v>
      </c>
      <c r="E311" s="1630">
        <v>4.0049999999999999</v>
      </c>
      <c r="F311" s="1630">
        <v>4.0049999999999999</v>
      </c>
      <c r="G311" s="1630">
        <v>3.706</v>
      </c>
      <c r="H311" s="1630">
        <v>3.706</v>
      </c>
      <c r="I311" s="1630">
        <v>3.3332999999999999</v>
      </c>
      <c r="J311" s="1630">
        <v>3.3332999999999999</v>
      </c>
      <c r="K311" s="1630">
        <v>3.3332999999999999</v>
      </c>
      <c r="L311" s="1630">
        <v>3.3332999999999999</v>
      </c>
      <c r="M311" s="1630">
        <v>3.3332999999999999</v>
      </c>
    </row>
    <row r="312" spans="1:13">
      <c r="A312" s="1621">
        <v>0.4</v>
      </c>
      <c r="B312" s="1630">
        <v>2.8765000000000001</v>
      </c>
      <c r="C312" s="1630">
        <v>2.8765000000000001</v>
      </c>
      <c r="D312" s="1630">
        <v>3.0038</v>
      </c>
      <c r="E312" s="1630">
        <v>3.0038</v>
      </c>
      <c r="F312" s="1630">
        <v>3.0038</v>
      </c>
      <c r="G312" s="1630">
        <v>2.7795000000000001</v>
      </c>
      <c r="H312" s="1630">
        <v>2.7795000000000001</v>
      </c>
      <c r="I312" s="1630">
        <v>2.5</v>
      </c>
      <c r="J312" s="1630">
        <v>2.5</v>
      </c>
      <c r="K312" s="1630">
        <v>2.5</v>
      </c>
      <c r="L312" s="1630">
        <v>2.5</v>
      </c>
      <c r="M312" s="1630">
        <v>2.5</v>
      </c>
    </row>
    <row r="313" spans="1:13">
      <c r="A313" s="1621">
        <v>0.5</v>
      </c>
      <c r="B313" s="1630">
        <v>2.3012000000000001</v>
      </c>
      <c r="C313" s="1630">
        <v>2.3012000000000001</v>
      </c>
      <c r="D313" s="1630">
        <v>2.403</v>
      </c>
      <c r="E313" s="1630">
        <v>2.403</v>
      </c>
      <c r="F313" s="1630">
        <v>2.403</v>
      </c>
      <c r="G313" s="1630">
        <v>2.2235999999999998</v>
      </c>
      <c r="H313" s="1630">
        <v>2.2235999999999998</v>
      </c>
      <c r="I313" s="1630">
        <v>2</v>
      </c>
      <c r="J313" s="1630">
        <v>2</v>
      </c>
      <c r="K313" s="1630">
        <v>2</v>
      </c>
      <c r="L313" s="1630">
        <v>2</v>
      </c>
      <c r="M313" s="1630">
        <v>2</v>
      </c>
    </row>
    <row r="314" spans="1:13">
      <c r="A314" s="1621">
        <v>0.6</v>
      </c>
      <c r="B314" s="1630">
        <v>1.9177</v>
      </c>
      <c r="C314" s="1630">
        <v>1.9177</v>
      </c>
      <c r="D314" s="1630">
        <v>2.0024999999999999</v>
      </c>
      <c r="E314" s="1630">
        <v>2.0024999999999999</v>
      </c>
      <c r="F314" s="1630">
        <v>2.0024999999999999</v>
      </c>
      <c r="G314" s="1630">
        <v>1.853</v>
      </c>
      <c r="H314" s="1630">
        <v>1.853</v>
      </c>
      <c r="I314" s="1630">
        <v>1.6667000000000001</v>
      </c>
      <c r="J314" s="1630">
        <v>1.6667000000000001</v>
      </c>
      <c r="K314" s="1630">
        <v>1.6667000000000001</v>
      </c>
      <c r="L314" s="1630">
        <v>1.6667000000000001</v>
      </c>
      <c r="M314" s="1630">
        <v>1.6667000000000001</v>
      </c>
    </row>
    <row r="315" spans="1:13">
      <c r="A315" s="1621">
        <v>0.7</v>
      </c>
      <c r="B315" s="1630">
        <v>1.6436999999999999</v>
      </c>
      <c r="C315" s="1630">
        <v>1.6436999999999999</v>
      </c>
      <c r="D315" s="1630">
        <v>1.7163999999999999</v>
      </c>
      <c r="E315" s="1630">
        <v>1.7163999999999999</v>
      </c>
      <c r="F315" s="1630">
        <v>1.7163999999999999</v>
      </c>
      <c r="G315" s="1630">
        <v>1.5883</v>
      </c>
      <c r="H315" s="1630">
        <v>1.5883</v>
      </c>
      <c r="I315" s="1630">
        <v>1.4286000000000001</v>
      </c>
      <c r="J315" s="1630">
        <v>1.4286000000000001</v>
      </c>
      <c r="K315" s="1630">
        <v>1.4286000000000001</v>
      </c>
      <c r="L315" s="1630">
        <v>1.4286000000000001</v>
      </c>
      <c r="M315" s="1630">
        <v>1.4286000000000001</v>
      </c>
    </row>
    <row r="316" spans="1:13">
      <c r="A316" s="1621">
        <v>0.8</v>
      </c>
      <c r="B316" s="1630">
        <v>1.4382999999999999</v>
      </c>
      <c r="C316" s="1630">
        <v>1.4382999999999999</v>
      </c>
      <c r="D316" s="1630">
        <v>1.5019</v>
      </c>
      <c r="E316" s="1630">
        <v>1.5019</v>
      </c>
      <c r="F316" s="1630">
        <v>1.5019</v>
      </c>
      <c r="G316" s="1630">
        <v>1.3897999999999999</v>
      </c>
      <c r="H316" s="1630">
        <v>1.3897999999999999</v>
      </c>
      <c r="I316" s="1630">
        <v>1.25</v>
      </c>
      <c r="J316" s="1630">
        <v>1.25</v>
      </c>
      <c r="K316" s="1630">
        <v>1.25</v>
      </c>
      <c r="L316" s="1630">
        <v>1.25</v>
      </c>
      <c r="M316" s="1630">
        <v>1.25</v>
      </c>
    </row>
    <row r="317" spans="1:13">
      <c r="A317" s="1621">
        <v>0.9</v>
      </c>
      <c r="B317" s="1630">
        <v>1.2784</v>
      </c>
      <c r="C317" s="1630">
        <v>1.2784</v>
      </c>
      <c r="D317" s="1630">
        <v>1.335</v>
      </c>
      <c r="E317" s="1630">
        <v>1.335</v>
      </c>
      <c r="F317" s="1630">
        <v>1.335</v>
      </c>
      <c r="G317" s="1630">
        <v>1.2353000000000001</v>
      </c>
      <c r="H317" s="1630">
        <v>1.2353000000000001</v>
      </c>
      <c r="I317" s="1630">
        <v>1.1111</v>
      </c>
      <c r="J317" s="1630">
        <v>1.1111</v>
      </c>
      <c r="K317" s="1630">
        <v>1.1111</v>
      </c>
      <c r="L317" s="1630">
        <v>1.1111</v>
      </c>
      <c r="M317" s="1630">
        <v>1.1111</v>
      </c>
    </row>
    <row r="318" spans="1:13">
      <c r="A318" s="1621">
        <v>1</v>
      </c>
      <c r="B318" s="1630">
        <v>1.1506000000000001</v>
      </c>
      <c r="C318" s="1630">
        <v>1.1506000000000001</v>
      </c>
      <c r="D318" s="1630">
        <v>1.2015</v>
      </c>
      <c r="E318" s="1630">
        <v>1.2015</v>
      </c>
      <c r="F318" s="1630">
        <v>1.2015</v>
      </c>
      <c r="G318" s="1630">
        <v>1.1117999999999999</v>
      </c>
      <c r="H318" s="1630">
        <v>1.1117999999999999</v>
      </c>
      <c r="I318" s="1630">
        <v>1</v>
      </c>
      <c r="J318" s="1630">
        <v>1</v>
      </c>
      <c r="K318" s="1630">
        <v>1</v>
      </c>
      <c r="L318" s="1630">
        <v>1</v>
      </c>
      <c r="M318" s="1630">
        <v>1</v>
      </c>
    </row>
    <row r="319" spans="1:13">
      <c r="A319" s="1621">
        <v>1.1000000000000001</v>
      </c>
      <c r="B319" s="1630">
        <v>1.1158999999999999</v>
      </c>
      <c r="C319" s="1630">
        <v>1.1158999999999999</v>
      </c>
      <c r="D319" s="1630">
        <v>1.1440999999999999</v>
      </c>
      <c r="E319" s="1630">
        <v>1.1440999999999999</v>
      </c>
      <c r="F319" s="1630">
        <v>1.1440999999999999</v>
      </c>
      <c r="G319" s="1630">
        <v>1.0492999999999999</v>
      </c>
      <c r="H319" s="1630">
        <v>1.0492999999999999</v>
      </c>
      <c r="I319" s="1630">
        <v>0.93730000000000002</v>
      </c>
      <c r="J319" s="1630">
        <v>0.93730000000000002</v>
      </c>
      <c r="K319" s="1630">
        <v>0.93730000000000002</v>
      </c>
      <c r="L319" s="1630">
        <v>0.93730000000000002</v>
      </c>
      <c r="M319" s="1630">
        <v>0.93730000000000002</v>
      </c>
    </row>
    <row r="320" spans="1:13">
      <c r="A320" s="1621">
        <v>1.2</v>
      </c>
      <c r="B320" s="1630">
        <v>1.0837000000000001</v>
      </c>
      <c r="C320" s="1630">
        <v>1.0837000000000001</v>
      </c>
      <c r="D320" s="1630">
        <v>1.0972999999999999</v>
      </c>
      <c r="E320" s="1630">
        <v>1.0972999999999999</v>
      </c>
      <c r="F320" s="1630">
        <v>1.0972999999999999</v>
      </c>
      <c r="G320" s="1630">
        <v>1</v>
      </c>
      <c r="H320" s="1630">
        <v>1</v>
      </c>
      <c r="I320" s="1630">
        <v>0.88890000000000002</v>
      </c>
      <c r="J320" s="1630">
        <v>0.88890000000000002</v>
      </c>
      <c r="K320" s="1630">
        <v>0.88890000000000002</v>
      </c>
      <c r="L320" s="1630">
        <v>0.88890000000000002</v>
      </c>
      <c r="M320" s="1630">
        <v>0.88890000000000002</v>
      </c>
    </row>
    <row r="321" spans="1:13">
      <c r="A321" s="1621">
        <v>1.3</v>
      </c>
      <c r="B321" s="1630">
        <v>1.0538000000000001</v>
      </c>
      <c r="C321" s="1630">
        <v>1.0538000000000001</v>
      </c>
      <c r="D321" s="1630">
        <v>1.0589999999999999</v>
      </c>
      <c r="E321" s="1630">
        <v>1.0589999999999999</v>
      </c>
      <c r="F321" s="1630">
        <v>1.0589999999999999</v>
      </c>
      <c r="G321" s="1630">
        <v>0.96140000000000003</v>
      </c>
      <c r="H321" s="1630">
        <v>0.96140000000000003</v>
      </c>
      <c r="I321" s="1630">
        <v>0.85209999999999997</v>
      </c>
      <c r="J321" s="1630">
        <v>0.85209999999999997</v>
      </c>
      <c r="K321" s="1630">
        <v>0.85209999999999997</v>
      </c>
      <c r="L321" s="1630">
        <v>0.85209999999999997</v>
      </c>
      <c r="M321" s="1630">
        <v>0.85209999999999997</v>
      </c>
    </row>
    <row r="322" spans="1:13">
      <c r="A322" s="1621">
        <v>1.4</v>
      </c>
      <c r="B322" s="1630">
        <v>1.026</v>
      </c>
      <c r="C322" s="1630">
        <v>1.026</v>
      </c>
      <c r="D322" s="1630">
        <v>1.0271999999999999</v>
      </c>
      <c r="E322" s="1630">
        <v>1.0271999999999999</v>
      </c>
      <c r="F322" s="1630">
        <v>1.0271999999999999</v>
      </c>
      <c r="G322" s="1630">
        <v>0.93079999999999996</v>
      </c>
      <c r="H322" s="1630">
        <v>0.93079999999999996</v>
      </c>
      <c r="I322" s="1630">
        <v>0.82379999999999998</v>
      </c>
      <c r="J322" s="1630">
        <v>0.82379999999999998</v>
      </c>
      <c r="K322" s="1630">
        <v>0.82379999999999998</v>
      </c>
      <c r="L322" s="1630">
        <v>0.82379999999999998</v>
      </c>
      <c r="M322" s="1630">
        <v>0.82379999999999998</v>
      </c>
    </row>
    <row r="323" spans="1:13">
      <c r="A323" s="1621">
        <v>1.5</v>
      </c>
      <c r="B323" s="1630">
        <v>1</v>
      </c>
      <c r="C323" s="1630">
        <v>1</v>
      </c>
      <c r="D323" s="1630">
        <v>1</v>
      </c>
      <c r="E323" s="1630">
        <v>1</v>
      </c>
      <c r="F323" s="1630">
        <v>1</v>
      </c>
      <c r="G323" s="1630">
        <v>0.90559999999999996</v>
      </c>
      <c r="H323" s="1630">
        <v>0.90559999999999996</v>
      </c>
      <c r="I323" s="1630">
        <v>0.80110000000000003</v>
      </c>
      <c r="J323" s="1630">
        <v>0.80110000000000003</v>
      </c>
      <c r="K323" s="1630">
        <v>0.80110000000000003</v>
      </c>
      <c r="L323" s="1630">
        <v>0.80110000000000003</v>
      </c>
      <c r="M323" s="1630">
        <v>0.80110000000000003</v>
      </c>
    </row>
    <row r="324" spans="1:13">
      <c r="A324" s="1621">
        <v>1.6</v>
      </c>
      <c r="B324" s="1630">
        <v>0.97570000000000001</v>
      </c>
      <c r="C324" s="1630">
        <v>0.97570000000000001</v>
      </c>
      <c r="D324" s="1630">
        <v>0.97519999999999996</v>
      </c>
      <c r="E324" s="1630">
        <v>0.97519999999999996</v>
      </c>
      <c r="F324" s="1630">
        <v>0.97519999999999996</v>
      </c>
      <c r="G324" s="1630">
        <v>0.8831</v>
      </c>
      <c r="H324" s="1630">
        <v>0.8831</v>
      </c>
      <c r="I324" s="1630">
        <v>0.78100000000000003</v>
      </c>
      <c r="J324" s="1630">
        <v>0.78100000000000003</v>
      </c>
      <c r="K324" s="1630">
        <v>0.78100000000000003</v>
      </c>
      <c r="L324" s="1630">
        <v>0.78100000000000003</v>
      </c>
      <c r="M324" s="1630">
        <v>0.78100000000000003</v>
      </c>
    </row>
    <row r="325" spans="1:13">
      <c r="A325" s="1621">
        <v>1.7</v>
      </c>
      <c r="B325" s="1630">
        <v>0.95289999999999997</v>
      </c>
      <c r="C325" s="1630">
        <v>0.95289999999999997</v>
      </c>
      <c r="D325" s="1630">
        <v>0.95189999999999997</v>
      </c>
      <c r="E325" s="1630">
        <v>0.95189999999999997</v>
      </c>
      <c r="F325" s="1630">
        <v>0.95189999999999997</v>
      </c>
      <c r="G325" s="1630">
        <v>0.86180000000000001</v>
      </c>
      <c r="H325" s="1630">
        <v>0.86180000000000001</v>
      </c>
      <c r="I325" s="1630">
        <v>0.7621</v>
      </c>
      <c r="J325" s="1630">
        <v>0.7621</v>
      </c>
      <c r="K325" s="1630">
        <v>0.7621</v>
      </c>
      <c r="L325" s="1630">
        <v>0.7621</v>
      </c>
      <c r="M325" s="1630">
        <v>0.7621</v>
      </c>
    </row>
    <row r="326" spans="1:13">
      <c r="A326" s="1621">
        <v>1.8</v>
      </c>
      <c r="B326" s="1630">
        <v>0.93149999999999999</v>
      </c>
      <c r="C326" s="1630">
        <v>0.93149999999999999</v>
      </c>
      <c r="D326" s="1630">
        <v>0.93</v>
      </c>
      <c r="E326" s="1630">
        <v>0.93</v>
      </c>
      <c r="F326" s="1630">
        <v>0.93</v>
      </c>
      <c r="G326" s="1630">
        <v>0.84179999999999999</v>
      </c>
      <c r="H326" s="1630">
        <v>0.84179999999999999</v>
      </c>
      <c r="I326" s="1630">
        <v>0.74419999999999997</v>
      </c>
      <c r="J326" s="1630">
        <v>0.74419999999999997</v>
      </c>
      <c r="K326" s="1630">
        <v>0.74419999999999997</v>
      </c>
      <c r="L326" s="1630">
        <v>0.74419999999999997</v>
      </c>
      <c r="M326" s="1630">
        <v>0.74419999999999997</v>
      </c>
    </row>
    <row r="327" spans="1:13">
      <c r="A327" s="1621">
        <v>1.9</v>
      </c>
      <c r="B327" s="1630">
        <v>0.91139999999999999</v>
      </c>
      <c r="C327" s="1630">
        <v>0.91139999999999999</v>
      </c>
      <c r="D327" s="1630">
        <v>0.90939999999999999</v>
      </c>
      <c r="E327" s="1630">
        <v>0.90939999999999999</v>
      </c>
      <c r="F327" s="1630">
        <v>0.90939999999999999</v>
      </c>
      <c r="G327" s="1630">
        <v>0.82289999999999996</v>
      </c>
      <c r="H327" s="1630">
        <v>0.82289999999999996</v>
      </c>
      <c r="I327" s="1630">
        <v>0.72740000000000005</v>
      </c>
      <c r="J327" s="1630">
        <v>0.72740000000000005</v>
      </c>
      <c r="K327" s="1630">
        <v>0.72740000000000005</v>
      </c>
      <c r="L327" s="1630">
        <v>0.72740000000000005</v>
      </c>
      <c r="M327" s="1630">
        <v>0.72740000000000005</v>
      </c>
    </row>
    <row r="328" spans="1:13">
      <c r="A328" s="1621">
        <v>2</v>
      </c>
      <c r="B328" s="1630">
        <v>0.89270000000000005</v>
      </c>
      <c r="C328" s="1630">
        <v>0.89270000000000005</v>
      </c>
      <c r="D328" s="1630">
        <v>0.8901</v>
      </c>
      <c r="E328" s="1630">
        <v>0.8901</v>
      </c>
      <c r="F328" s="1630">
        <v>0.8901</v>
      </c>
      <c r="G328" s="1630">
        <v>0.80530000000000002</v>
      </c>
      <c r="H328" s="1630">
        <v>0.80530000000000002</v>
      </c>
      <c r="I328" s="1630">
        <v>0.71160000000000001</v>
      </c>
      <c r="J328" s="1630">
        <v>0.71160000000000001</v>
      </c>
      <c r="K328" s="1630">
        <v>0.71160000000000001</v>
      </c>
      <c r="L328" s="1630">
        <v>0.71160000000000001</v>
      </c>
      <c r="M328" s="1630">
        <v>0.71160000000000001</v>
      </c>
    </row>
    <row r="329" spans="1:13">
      <c r="A329" s="1644">
        <v>2.1</v>
      </c>
      <c r="B329" s="1630">
        <v>0.87519999999999998</v>
      </c>
      <c r="C329" s="1630">
        <v>0.87519999999999998</v>
      </c>
      <c r="D329" s="1630">
        <v>0.872</v>
      </c>
      <c r="E329" s="1630">
        <v>0.872</v>
      </c>
      <c r="F329" s="1630">
        <v>0.872</v>
      </c>
      <c r="G329" s="1630">
        <v>0.78869999999999996</v>
      </c>
      <c r="H329" s="1630">
        <v>0.78869999999999996</v>
      </c>
      <c r="I329" s="1630">
        <v>0.69669999999999999</v>
      </c>
      <c r="J329" s="1630">
        <v>0.69669999999999999</v>
      </c>
      <c r="K329" s="1630">
        <v>0.69669999999999999</v>
      </c>
      <c r="L329" s="1630">
        <v>0.69669999999999999</v>
      </c>
      <c r="M329" s="1630">
        <v>0.69669999999999999</v>
      </c>
    </row>
    <row r="330" spans="1:13">
      <c r="A330" s="1644">
        <v>2.2000000000000002</v>
      </c>
      <c r="B330" s="1630">
        <v>0.85880000000000001</v>
      </c>
      <c r="C330" s="1630">
        <v>0.85880000000000001</v>
      </c>
      <c r="D330" s="1630">
        <v>0.85499999999999998</v>
      </c>
      <c r="E330" s="1630">
        <v>0.85499999999999998</v>
      </c>
      <c r="F330" s="1630">
        <v>0.85499999999999998</v>
      </c>
      <c r="G330" s="1630">
        <v>0.77300000000000002</v>
      </c>
      <c r="H330" s="1630">
        <v>0.77300000000000002</v>
      </c>
      <c r="I330" s="1630">
        <v>0.68269999999999997</v>
      </c>
      <c r="J330" s="1630">
        <v>0.68269999999999997</v>
      </c>
      <c r="K330" s="1630">
        <v>0.68269999999999997</v>
      </c>
      <c r="L330" s="1630">
        <v>0.68269999999999997</v>
      </c>
      <c r="M330" s="1630">
        <v>0.68269999999999997</v>
      </c>
    </row>
    <row r="331" spans="1:13">
      <c r="A331" s="1644">
        <v>2.2999999999999998</v>
      </c>
      <c r="B331" s="1630">
        <v>0.84360000000000002</v>
      </c>
      <c r="C331" s="1630">
        <v>0.84360000000000002</v>
      </c>
      <c r="D331" s="1630">
        <v>0.83899999999999997</v>
      </c>
      <c r="E331" s="1630">
        <v>0.83899999999999997</v>
      </c>
      <c r="F331" s="1630">
        <v>0.83899999999999997</v>
      </c>
      <c r="G331" s="1630">
        <v>0.75839999999999996</v>
      </c>
      <c r="H331" s="1630">
        <v>0.75839999999999996</v>
      </c>
      <c r="I331" s="1630">
        <v>0.66949999999999998</v>
      </c>
      <c r="J331" s="1630">
        <v>0.66949999999999998</v>
      </c>
      <c r="K331" s="1630">
        <v>0.66949999999999998</v>
      </c>
      <c r="L331" s="1630">
        <v>0.66949999999999998</v>
      </c>
      <c r="M331" s="1630">
        <v>0.66949999999999998</v>
      </c>
    </row>
    <row r="332" spans="1:13">
      <c r="A332" s="1644">
        <v>2.4</v>
      </c>
      <c r="B332" s="1630">
        <v>0.82940000000000003</v>
      </c>
      <c r="C332" s="1630">
        <v>0.82940000000000003</v>
      </c>
      <c r="D332" s="1630">
        <v>0.82410000000000005</v>
      </c>
      <c r="E332" s="1630">
        <v>0.82410000000000005</v>
      </c>
      <c r="F332" s="1630">
        <v>0.82410000000000005</v>
      </c>
      <c r="G332" s="1630">
        <v>0.74460000000000004</v>
      </c>
      <c r="H332" s="1630">
        <v>0.74460000000000004</v>
      </c>
      <c r="I332" s="1630">
        <v>0.65710000000000002</v>
      </c>
      <c r="J332" s="1630">
        <v>0.65710000000000002</v>
      </c>
      <c r="K332" s="1630">
        <v>0.65710000000000002</v>
      </c>
      <c r="L332" s="1630">
        <v>0.65710000000000002</v>
      </c>
      <c r="M332" s="1630">
        <v>0.65710000000000002</v>
      </c>
    </row>
    <row r="333" spans="1:13">
      <c r="A333" s="1644">
        <v>2.5</v>
      </c>
      <c r="B333" s="1630">
        <v>0.81620000000000004</v>
      </c>
      <c r="C333" s="1630">
        <v>0.81620000000000004</v>
      </c>
      <c r="D333" s="1630">
        <v>0.81020000000000003</v>
      </c>
      <c r="E333" s="1630">
        <v>0.81020000000000003</v>
      </c>
      <c r="F333" s="1630">
        <v>0.81020000000000003</v>
      </c>
      <c r="G333" s="1630">
        <v>0.73180000000000001</v>
      </c>
      <c r="H333" s="1630">
        <v>0.73180000000000001</v>
      </c>
      <c r="I333" s="1630">
        <v>0.64549999999999996</v>
      </c>
      <c r="J333" s="1630">
        <v>0.64549999999999996</v>
      </c>
      <c r="K333" s="1630">
        <v>0.64549999999999996</v>
      </c>
      <c r="L333" s="1630">
        <v>0.64549999999999996</v>
      </c>
      <c r="M333" s="1630">
        <v>0.64549999999999996</v>
      </c>
    </row>
    <row r="334" spans="1:13">
      <c r="A334" s="1644">
        <v>2.6</v>
      </c>
      <c r="B334" s="1630">
        <v>0.80389999999999995</v>
      </c>
      <c r="C334" s="1630">
        <v>0.80389999999999995</v>
      </c>
      <c r="D334" s="1630">
        <v>0.79710000000000003</v>
      </c>
      <c r="E334" s="1630">
        <v>0.79710000000000003</v>
      </c>
      <c r="F334" s="1630">
        <v>0.79710000000000003</v>
      </c>
      <c r="G334" s="1630">
        <v>0.71970000000000001</v>
      </c>
      <c r="H334" s="1630">
        <v>0.71970000000000001</v>
      </c>
      <c r="I334" s="1630">
        <v>0.63460000000000005</v>
      </c>
      <c r="J334" s="1630">
        <v>0.63460000000000005</v>
      </c>
      <c r="K334" s="1630">
        <v>0.63460000000000005</v>
      </c>
      <c r="L334" s="1630">
        <v>0.63460000000000005</v>
      </c>
      <c r="M334" s="1630">
        <v>0.63460000000000005</v>
      </c>
    </row>
    <row r="335" spans="1:13">
      <c r="A335" s="1644">
        <v>2.7</v>
      </c>
      <c r="B335" s="1630">
        <v>0.79249999999999998</v>
      </c>
      <c r="C335" s="1630">
        <v>0.79249999999999998</v>
      </c>
      <c r="D335" s="1630">
        <v>0.78490000000000004</v>
      </c>
      <c r="E335" s="1630">
        <v>0.78490000000000004</v>
      </c>
      <c r="F335" s="1630">
        <v>0.78490000000000004</v>
      </c>
      <c r="G335" s="1630">
        <v>0.70840000000000003</v>
      </c>
      <c r="H335" s="1630">
        <v>0.70840000000000003</v>
      </c>
      <c r="I335" s="1630">
        <v>0.62439999999999996</v>
      </c>
      <c r="J335" s="1630">
        <v>0.62439999999999996</v>
      </c>
      <c r="K335" s="1630">
        <v>0.62439999999999996</v>
      </c>
      <c r="L335" s="1630">
        <v>0.62439999999999996</v>
      </c>
      <c r="M335" s="1630">
        <v>0.62439999999999996</v>
      </c>
    </row>
    <row r="336" spans="1:13">
      <c r="A336" s="1644">
        <v>2.8</v>
      </c>
      <c r="B336" s="1630">
        <v>0.78190000000000004</v>
      </c>
      <c r="C336" s="1630">
        <v>0.78190000000000004</v>
      </c>
      <c r="D336" s="1630">
        <v>0.77359999999999995</v>
      </c>
      <c r="E336" s="1630">
        <v>0.77359999999999995</v>
      </c>
      <c r="F336" s="1630">
        <v>0.77359999999999995</v>
      </c>
      <c r="G336" s="1630">
        <v>0.69789999999999996</v>
      </c>
      <c r="H336" s="1630">
        <v>0.69789999999999996</v>
      </c>
      <c r="I336" s="1630">
        <v>0.61480000000000001</v>
      </c>
      <c r="J336" s="1630">
        <v>0.61480000000000001</v>
      </c>
      <c r="K336" s="1630">
        <v>0.61480000000000001</v>
      </c>
      <c r="L336" s="1630">
        <v>0.61480000000000001</v>
      </c>
      <c r="M336" s="1630">
        <v>0.61480000000000001</v>
      </c>
    </row>
    <row r="337" spans="1:13">
      <c r="A337" s="1644">
        <v>2.9</v>
      </c>
      <c r="B337" s="1630">
        <v>0.77210000000000001</v>
      </c>
      <c r="C337" s="1630">
        <v>0.77210000000000001</v>
      </c>
      <c r="D337" s="1630">
        <v>0.76300000000000001</v>
      </c>
      <c r="E337" s="1630">
        <v>0.76300000000000001</v>
      </c>
      <c r="F337" s="1630">
        <v>0.76300000000000001</v>
      </c>
      <c r="G337" s="1630">
        <v>0.68799999999999994</v>
      </c>
      <c r="H337" s="1630">
        <v>0.68799999999999994</v>
      </c>
      <c r="I337" s="1630">
        <v>0.60589999999999999</v>
      </c>
      <c r="J337" s="1630">
        <v>0.60589999999999999</v>
      </c>
      <c r="K337" s="1630">
        <v>0.60589999999999999</v>
      </c>
      <c r="L337" s="1630">
        <v>0.60589999999999999</v>
      </c>
      <c r="M337" s="1630">
        <v>0.60589999999999999</v>
      </c>
    </row>
    <row r="338" spans="1:13">
      <c r="A338" s="1644">
        <v>3</v>
      </c>
      <c r="B338" s="1630">
        <v>0.7631</v>
      </c>
      <c r="C338" s="1630">
        <v>0.7631</v>
      </c>
      <c r="D338" s="1630">
        <v>0.75309999999999999</v>
      </c>
      <c r="E338" s="1630">
        <v>0.75309999999999999</v>
      </c>
      <c r="F338" s="1630">
        <v>0.75309999999999999</v>
      </c>
      <c r="G338" s="1630">
        <v>0.67879999999999996</v>
      </c>
      <c r="H338" s="1630">
        <v>0.67879999999999996</v>
      </c>
      <c r="I338" s="1630">
        <v>0.59750000000000003</v>
      </c>
      <c r="J338" s="1630">
        <v>0.59750000000000003</v>
      </c>
      <c r="K338" s="1630">
        <v>0.59750000000000003</v>
      </c>
      <c r="L338" s="1630">
        <v>0.59750000000000003</v>
      </c>
      <c r="M338" s="1630">
        <v>0.59750000000000003</v>
      </c>
    </row>
    <row r="339" spans="1:13">
      <c r="A339" s="1644">
        <v>3.1</v>
      </c>
      <c r="B339" s="1630">
        <v>0.75470000000000004</v>
      </c>
      <c r="C339" s="1630">
        <v>0.75470000000000004</v>
      </c>
      <c r="D339" s="1630">
        <v>0.74399999999999999</v>
      </c>
      <c r="E339" s="1630">
        <v>0.74399999999999999</v>
      </c>
      <c r="F339" s="1630">
        <v>0.74399999999999999</v>
      </c>
      <c r="G339" s="1630">
        <v>0.67020000000000002</v>
      </c>
      <c r="H339" s="1630">
        <v>0.67020000000000002</v>
      </c>
      <c r="I339" s="1630">
        <v>0.5897</v>
      </c>
      <c r="J339" s="1630">
        <v>0.5897</v>
      </c>
      <c r="K339" s="1630">
        <v>0.5897</v>
      </c>
      <c r="L339" s="1630">
        <v>0.5897</v>
      </c>
      <c r="M339" s="1630">
        <v>0.5897</v>
      </c>
    </row>
    <row r="340" spans="1:13">
      <c r="A340" s="1644">
        <v>3.2</v>
      </c>
      <c r="B340" s="1630">
        <v>0.747</v>
      </c>
      <c r="C340" s="1630">
        <v>0.747</v>
      </c>
      <c r="D340" s="1630">
        <v>0.73540000000000005</v>
      </c>
      <c r="E340" s="1630">
        <v>0.73540000000000005</v>
      </c>
      <c r="F340" s="1630">
        <v>0.73540000000000005</v>
      </c>
      <c r="G340" s="1630">
        <v>0.66220000000000001</v>
      </c>
      <c r="H340" s="1630">
        <v>0.66220000000000001</v>
      </c>
      <c r="I340" s="1630">
        <v>0.58230000000000004</v>
      </c>
      <c r="J340" s="1630">
        <v>0.58230000000000004</v>
      </c>
      <c r="K340" s="1630">
        <v>0.58230000000000004</v>
      </c>
      <c r="L340" s="1630">
        <v>0.58230000000000004</v>
      </c>
      <c r="M340" s="1630">
        <v>0.58230000000000004</v>
      </c>
    </row>
    <row r="341" spans="1:13">
      <c r="A341" s="1644">
        <v>3.3</v>
      </c>
      <c r="B341" s="1630">
        <v>0.7399</v>
      </c>
      <c r="C341" s="1630">
        <v>0.7399</v>
      </c>
      <c r="D341" s="1630">
        <v>0.72750000000000004</v>
      </c>
      <c r="E341" s="1630">
        <v>0.72750000000000004</v>
      </c>
      <c r="F341" s="1630">
        <v>0.72750000000000004</v>
      </c>
      <c r="G341" s="1630">
        <v>0.65480000000000005</v>
      </c>
      <c r="H341" s="1630">
        <v>0.65480000000000005</v>
      </c>
      <c r="I341" s="1630">
        <v>0.57540000000000002</v>
      </c>
      <c r="J341" s="1630">
        <v>0.57540000000000002</v>
      </c>
      <c r="K341" s="1630">
        <v>0.57540000000000002</v>
      </c>
      <c r="L341" s="1630">
        <v>0.57540000000000002</v>
      </c>
      <c r="M341" s="1630">
        <v>0.57540000000000002</v>
      </c>
    </row>
    <row r="342" spans="1:13">
      <c r="A342" s="1644">
        <v>3.4</v>
      </c>
      <c r="B342" s="1630">
        <v>0.73340000000000005</v>
      </c>
      <c r="C342" s="1630">
        <v>0.73340000000000005</v>
      </c>
      <c r="D342" s="1630">
        <v>0.72009999999999996</v>
      </c>
      <c r="E342" s="1630">
        <v>0.72009999999999996</v>
      </c>
      <c r="F342" s="1630">
        <v>0.72009999999999996</v>
      </c>
      <c r="G342" s="1630">
        <v>0.64780000000000004</v>
      </c>
      <c r="H342" s="1630">
        <v>0.64780000000000004</v>
      </c>
      <c r="I342" s="1630">
        <v>0.56899999999999995</v>
      </c>
      <c r="J342" s="1630">
        <v>0.56899999999999995</v>
      </c>
      <c r="K342" s="1630">
        <v>0.56899999999999995</v>
      </c>
      <c r="L342" s="1630">
        <v>0.56899999999999995</v>
      </c>
      <c r="M342" s="1630">
        <v>0.56899999999999995</v>
      </c>
    </row>
    <row r="343" spans="1:13">
      <c r="A343" s="1644">
        <v>3.5</v>
      </c>
      <c r="B343" s="1630">
        <v>0.72740000000000005</v>
      </c>
      <c r="C343" s="1630">
        <v>0.72740000000000005</v>
      </c>
      <c r="D343" s="1630">
        <v>0.71330000000000005</v>
      </c>
      <c r="E343" s="1630">
        <v>0.71330000000000005</v>
      </c>
      <c r="F343" s="1630">
        <v>0.71330000000000005</v>
      </c>
      <c r="G343" s="1630">
        <v>0.64129999999999998</v>
      </c>
      <c r="H343" s="1630">
        <v>0.64129999999999998</v>
      </c>
      <c r="I343" s="1630">
        <v>0.56310000000000004</v>
      </c>
      <c r="J343" s="1630">
        <v>0.56310000000000004</v>
      </c>
      <c r="K343" s="1630">
        <v>0.56310000000000004</v>
      </c>
      <c r="L343" s="1630">
        <v>0.56310000000000004</v>
      </c>
      <c r="M343" s="1630">
        <v>0.56310000000000004</v>
      </c>
    </row>
    <row r="344" spans="1:13">
      <c r="A344" s="1644">
        <v>3.6</v>
      </c>
      <c r="B344" s="1630">
        <v>0.72189999999999999</v>
      </c>
      <c r="C344" s="1630">
        <v>0.72189999999999999</v>
      </c>
      <c r="D344" s="1630">
        <v>0.70699999999999996</v>
      </c>
      <c r="E344" s="1630">
        <v>0.70699999999999996</v>
      </c>
      <c r="F344" s="1630">
        <v>0.70699999999999996</v>
      </c>
      <c r="G344" s="1630">
        <v>0.63529999999999998</v>
      </c>
      <c r="H344" s="1630">
        <v>0.63529999999999998</v>
      </c>
      <c r="I344" s="1630">
        <v>0.5575</v>
      </c>
      <c r="J344" s="1630">
        <v>0.5575</v>
      </c>
      <c r="K344" s="1630">
        <v>0.5575</v>
      </c>
      <c r="L344" s="1630">
        <v>0.5575</v>
      </c>
      <c r="M344" s="1630">
        <v>0.5575</v>
      </c>
    </row>
    <row r="345" spans="1:13">
      <c r="A345" s="1644">
        <v>3.7</v>
      </c>
      <c r="B345" s="1630">
        <v>0.71679999999999999</v>
      </c>
      <c r="C345" s="1630">
        <v>0.71679999999999999</v>
      </c>
      <c r="D345" s="1630">
        <v>0.70109999999999995</v>
      </c>
      <c r="E345" s="1630">
        <v>0.70109999999999995</v>
      </c>
      <c r="F345" s="1630">
        <v>0.70109999999999995</v>
      </c>
      <c r="G345" s="1630">
        <v>0.62970000000000004</v>
      </c>
      <c r="H345" s="1630">
        <v>0.62970000000000004</v>
      </c>
      <c r="I345" s="1630">
        <v>0.55230000000000001</v>
      </c>
      <c r="J345" s="1630">
        <v>0.55230000000000001</v>
      </c>
      <c r="K345" s="1630">
        <v>0.55230000000000001</v>
      </c>
      <c r="L345" s="1630">
        <v>0.55230000000000001</v>
      </c>
      <c r="M345" s="1630">
        <v>0.55230000000000001</v>
      </c>
    </row>
    <row r="346" spans="1:13">
      <c r="A346" s="1644">
        <v>3.8</v>
      </c>
      <c r="B346" s="1630">
        <v>0.71220000000000006</v>
      </c>
      <c r="C346" s="1630">
        <v>0.71220000000000006</v>
      </c>
      <c r="D346" s="1630">
        <v>0.6956</v>
      </c>
      <c r="E346" s="1630">
        <v>0.6956</v>
      </c>
      <c r="F346" s="1630">
        <v>0.6956</v>
      </c>
      <c r="G346" s="1630">
        <v>0.62439999999999996</v>
      </c>
      <c r="H346" s="1630">
        <v>0.62439999999999996</v>
      </c>
      <c r="I346" s="1630">
        <v>0.5474</v>
      </c>
      <c r="J346" s="1630">
        <v>0.5474</v>
      </c>
      <c r="K346" s="1630">
        <v>0.5474</v>
      </c>
      <c r="L346" s="1630">
        <v>0.5474</v>
      </c>
      <c r="M346" s="1630">
        <v>0.5474</v>
      </c>
    </row>
    <row r="347" spans="1:13">
      <c r="A347" s="1644">
        <v>3.9</v>
      </c>
      <c r="B347" s="1630">
        <v>0.70799999999999996</v>
      </c>
      <c r="C347" s="1630">
        <v>0.70799999999999996</v>
      </c>
      <c r="D347" s="1630">
        <v>0.69059999999999999</v>
      </c>
      <c r="E347" s="1630">
        <v>0.69059999999999999</v>
      </c>
      <c r="F347" s="1630">
        <v>0.69059999999999999</v>
      </c>
      <c r="G347" s="1630">
        <v>0.61950000000000005</v>
      </c>
      <c r="H347" s="1630">
        <v>0.61950000000000005</v>
      </c>
      <c r="I347" s="1630">
        <v>0.54279999999999995</v>
      </c>
      <c r="J347" s="1630">
        <v>0.54279999999999995</v>
      </c>
      <c r="K347" s="1630">
        <v>0.54279999999999995</v>
      </c>
      <c r="L347" s="1630">
        <v>0.54279999999999995</v>
      </c>
      <c r="M347" s="1630">
        <v>0.54279999999999995</v>
      </c>
    </row>
    <row r="348" spans="1:13">
      <c r="A348" s="1644">
        <v>4</v>
      </c>
      <c r="B348" s="1630">
        <v>0.70409999999999995</v>
      </c>
      <c r="C348" s="1630">
        <v>0.70409999999999995</v>
      </c>
      <c r="D348" s="1630">
        <v>0.68589999999999995</v>
      </c>
      <c r="E348" s="1630">
        <v>0.68589999999999995</v>
      </c>
      <c r="F348" s="1630">
        <v>0.68589999999999995</v>
      </c>
      <c r="G348" s="1630">
        <v>0.61499999999999999</v>
      </c>
      <c r="H348" s="1630">
        <v>0.61499999999999999</v>
      </c>
      <c r="I348" s="1630">
        <v>0.53859999999999997</v>
      </c>
      <c r="J348" s="1630">
        <v>0.53859999999999997</v>
      </c>
      <c r="K348" s="1630">
        <v>0.53859999999999997</v>
      </c>
      <c r="L348" s="1630">
        <v>0.53859999999999997</v>
      </c>
      <c r="M348" s="1630">
        <v>0.53859999999999997</v>
      </c>
    </row>
    <row r="349" spans="1:13">
      <c r="A349" s="1644">
        <v>4.0999999999999996</v>
      </c>
      <c r="B349" s="1630">
        <v>0.7006</v>
      </c>
      <c r="C349" s="1630">
        <v>0.7006</v>
      </c>
      <c r="D349" s="1630">
        <v>0.68159999999999998</v>
      </c>
      <c r="E349" s="1630">
        <v>0.68159999999999998</v>
      </c>
      <c r="F349" s="1630">
        <v>0.68159999999999998</v>
      </c>
      <c r="G349" s="1630">
        <v>0.61080000000000001</v>
      </c>
      <c r="H349" s="1630">
        <v>0.61080000000000001</v>
      </c>
      <c r="I349" s="1630">
        <v>0.53459999999999996</v>
      </c>
      <c r="J349" s="1630">
        <v>0.53459999999999996</v>
      </c>
      <c r="K349" s="1630">
        <v>0.53459999999999996</v>
      </c>
      <c r="L349" s="1630">
        <v>0.53459999999999996</v>
      </c>
      <c r="M349" s="1630">
        <v>0.53459999999999996</v>
      </c>
    </row>
    <row r="350" spans="1:13">
      <c r="A350" s="1644">
        <v>4.2</v>
      </c>
      <c r="B350" s="1630">
        <v>0.69740000000000002</v>
      </c>
      <c r="C350" s="1630">
        <v>0.69740000000000002</v>
      </c>
      <c r="D350" s="1630">
        <v>0.67759999999999998</v>
      </c>
      <c r="E350" s="1630">
        <v>0.67759999999999998</v>
      </c>
      <c r="F350" s="1630">
        <v>0.67759999999999998</v>
      </c>
      <c r="G350" s="1630">
        <v>0.60699999999999998</v>
      </c>
      <c r="H350" s="1630">
        <v>0.60699999999999998</v>
      </c>
      <c r="I350" s="1630">
        <v>0.53090000000000004</v>
      </c>
      <c r="J350" s="1630">
        <v>0.53090000000000004</v>
      </c>
      <c r="K350" s="1630">
        <v>0.53090000000000004</v>
      </c>
      <c r="L350" s="1630">
        <v>0.53090000000000004</v>
      </c>
      <c r="M350" s="1630">
        <v>0.53090000000000004</v>
      </c>
    </row>
    <row r="351" spans="1:13">
      <c r="A351" s="1644">
        <v>4.3</v>
      </c>
      <c r="B351" s="1630">
        <v>0.69450000000000001</v>
      </c>
      <c r="C351" s="1630">
        <v>0.69450000000000001</v>
      </c>
      <c r="D351" s="1630">
        <v>0.67390000000000005</v>
      </c>
      <c r="E351" s="1630">
        <v>0.67390000000000005</v>
      </c>
      <c r="F351" s="1630">
        <v>0.67390000000000005</v>
      </c>
      <c r="G351" s="1630">
        <v>0.60329999999999995</v>
      </c>
      <c r="H351" s="1630">
        <v>0.60329999999999995</v>
      </c>
      <c r="I351" s="1630">
        <v>0.52739999999999998</v>
      </c>
      <c r="J351" s="1630">
        <v>0.52739999999999998</v>
      </c>
      <c r="K351" s="1630">
        <v>0.52739999999999998</v>
      </c>
      <c r="L351" s="1630">
        <v>0.52739999999999998</v>
      </c>
      <c r="M351" s="1630">
        <v>0.52739999999999998</v>
      </c>
    </row>
    <row r="352" spans="1:13">
      <c r="A352" s="1644">
        <v>4.4000000000000004</v>
      </c>
      <c r="B352" s="1630">
        <v>0.69179999999999997</v>
      </c>
      <c r="C352" s="1630">
        <v>0.69179999999999997</v>
      </c>
      <c r="D352" s="1630">
        <v>0.67049999999999998</v>
      </c>
      <c r="E352" s="1630">
        <v>0.67049999999999998</v>
      </c>
      <c r="F352" s="1630">
        <v>0.67049999999999998</v>
      </c>
      <c r="G352" s="1630">
        <v>0.59989999999999999</v>
      </c>
      <c r="H352" s="1630">
        <v>0.59989999999999999</v>
      </c>
      <c r="I352" s="1630">
        <v>0.5242</v>
      </c>
      <c r="J352" s="1630">
        <v>0.5242</v>
      </c>
      <c r="K352" s="1630">
        <v>0.5242</v>
      </c>
      <c r="L352" s="1630">
        <v>0.5242</v>
      </c>
      <c r="M352" s="1630">
        <v>0.5242</v>
      </c>
    </row>
    <row r="353" spans="1:13">
      <c r="A353" s="1644">
        <v>4.5</v>
      </c>
      <c r="B353" s="1630">
        <v>0.68940000000000001</v>
      </c>
      <c r="C353" s="1630">
        <v>0.68940000000000001</v>
      </c>
      <c r="D353" s="1630">
        <v>0.6673</v>
      </c>
      <c r="E353" s="1630">
        <v>0.6673</v>
      </c>
      <c r="F353" s="1630">
        <v>0.6673</v>
      </c>
      <c r="G353" s="1630">
        <v>0.59670000000000001</v>
      </c>
      <c r="H353" s="1630">
        <v>0.59670000000000001</v>
      </c>
      <c r="I353" s="1630">
        <v>0.52110000000000001</v>
      </c>
      <c r="J353" s="1630">
        <v>0.52110000000000001</v>
      </c>
      <c r="K353" s="1630">
        <v>0.52110000000000001</v>
      </c>
      <c r="L353" s="1630">
        <v>0.52110000000000001</v>
      </c>
      <c r="M353" s="1630">
        <v>0.52110000000000001</v>
      </c>
    </row>
    <row r="354" spans="1:13">
      <c r="A354" s="1644">
        <v>4.5999999999999996</v>
      </c>
      <c r="B354" s="1630">
        <v>0.68720000000000003</v>
      </c>
      <c r="C354" s="1630">
        <v>0.68720000000000003</v>
      </c>
      <c r="D354" s="1630">
        <v>0.6643</v>
      </c>
      <c r="E354" s="1630">
        <v>0.6643</v>
      </c>
      <c r="F354" s="1630">
        <v>0.6643</v>
      </c>
      <c r="G354" s="1630">
        <v>0.59379999999999999</v>
      </c>
      <c r="H354" s="1630">
        <v>0.59379999999999999</v>
      </c>
      <c r="I354" s="1630">
        <v>0.51819999999999999</v>
      </c>
      <c r="J354" s="1630">
        <v>0.51819999999999999</v>
      </c>
      <c r="K354" s="1630">
        <v>0.51819999999999999</v>
      </c>
      <c r="L354" s="1630">
        <v>0.51819999999999999</v>
      </c>
      <c r="M354" s="1630">
        <v>0.51819999999999999</v>
      </c>
    </row>
    <row r="355" spans="1:13">
      <c r="A355" s="1644">
        <v>4.7</v>
      </c>
      <c r="B355" s="1630">
        <v>0.68520000000000003</v>
      </c>
      <c r="C355" s="1630">
        <v>0.68520000000000003</v>
      </c>
      <c r="D355" s="1630">
        <v>0.66149999999999998</v>
      </c>
      <c r="E355" s="1630">
        <v>0.66149999999999998</v>
      </c>
      <c r="F355" s="1630">
        <v>0.66149999999999998</v>
      </c>
      <c r="G355" s="1630">
        <v>0.59109999999999996</v>
      </c>
      <c r="H355" s="1630">
        <v>0.59109999999999996</v>
      </c>
      <c r="I355" s="1630">
        <v>0.51559999999999995</v>
      </c>
      <c r="J355" s="1630">
        <v>0.51559999999999995</v>
      </c>
      <c r="K355" s="1630">
        <v>0.51559999999999995</v>
      </c>
      <c r="L355" s="1630">
        <v>0.51559999999999995</v>
      </c>
      <c r="M355" s="1630">
        <v>0.51559999999999995</v>
      </c>
    </row>
    <row r="356" spans="1:13">
      <c r="A356" s="1644">
        <v>4.8</v>
      </c>
      <c r="B356" s="1630">
        <v>0.68340000000000001</v>
      </c>
      <c r="C356" s="1630">
        <v>0.68340000000000001</v>
      </c>
      <c r="D356" s="1630">
        <v>0.65900000000000003</v>
      </c>
      <c r="E356" s="1630">
        <v>0.65900000000000003</v>
      </c>
      <c r="F356" s="1630">
        <v>0.65900000000000003</v>
      </c>
      <c r="G356" s="1630">
        <v>0.58850000000000002</v>
      </c>
      <c r="H356" s="1630">
        <v>0.58850000000000002</v>
      </c>
      <c r="I356" s="1630">
        <v>0.51300000000000001</v>
      </c>
      <c r="J356" s="1630">
        <v>0.51300000000000001</v>
      </c>
      <c r="K356" s="1630">
        <v>0.51300000000000001</v>
      </c>
      <c r="L356" s="1630">
        <v>0.51300000000000001</v>
      </c>
      <c r="M356" s="1630">
        <v>0.51300000000000001</v>
      </c>
    </row>
    <row r="357" spans="1:13">
      <c r="A357" s="1644">
        <v>4.9000000000000004</v>
      </c>
      <c r="B357" s="1630">
        <v>0.68179999999999996</v>
      </c>
      <c r="C357" s="1630">
        <v>0.68179999999999996</v>
      </c>
      <c r="D357" s="1630">
        <v>0.65659999999999996</v>
      </c>
      <c r="E357" s="1630">
        <v>0.65659999999999996</v>
      </c>
      <c r="F357" s="1630">
        <v>0.65659999999999996</v>
      </c>
      <c r="G357" s="1630">
        <v>0.58599999999999997</v>
      </c>
      <c r="H357" s="1630">
        <v>0.58599999999999997</v>
      </c>
      <c r="I357" s="1630">
        <v>0.51060000000000005</v>
      </c>
      <c r="J357" s="1630">
        <v>0.51060000000000005</v>
      </c>
      <c r="K357" s="1630">
        <v>0.51060000000000005</v>
      </c>
      <c r="L357" s="1630">
        <v>0.51060000000000005</v>
      </c>
      <c r="M357" s="1630">
        <v>0.51060000000000005</v>
      </c>
    </row>
    <row r="358" spans="1:13">
      <c r="A358" s="1644">
        <v>5</v>
      </c>
      <c r="B358" s="1630">
        <v>0.68030000000000002</v>
      </c>
      <c r="C358" s="1630">
        <v>0.68030000000000002</v>
      </c>
      <c r="D358" s="1630">
        <v>0.65439999999999998</v>
      </c>
      <c r="E358" s="1630">
        <v>0.65439999999999998</v>
      </c>
      <c r="F358" s="1630">
        <v>0.65439999999999998</v>
      </c>
      <c r="G358" s="1630">
        <v>0.58379999999999999</v>
      </c>
      <c r="H358" s="1630">
        <v>0.58379999999999999</v>
      </c>
      <c r="I358" s="1630">
        <v>0.50839999999999996</v>
      </c>
      <c r="J358" s="1630">
        <v>0.50839999999999996</v>
      </c>
      <c r="K358" s="1630">
        <v>0.50839999999999996</v>
      </c>
      <c r="L358" s="1630">
        <v>0.50839999999999996</v>
      </c>
      <c r="M358" s="1630">
        <v>0.50839999999999996</v>
      </c>
    </row>
    <row r="359" spans="1:13">
      <c r="A359" s="1621">
        <v>5.0999999999999996</v>
      </c>
      <c r="B359" s="1630">
        <v>0.67889999999999995</v>
      </c>
      <c r="C359" s="1630">
        <v>0.67889999999999995</v>
      </c>
      <c r="D359" s="1630">
        <v>0.65229999999999999</v>
      </c>
      <c r="E359" s="1630">
        <v>0.65229999999999999</v>
      </c>
      <c r="F359" s="1630">
        <v>0.65229999999999999</v>
      </c>
      <c r="G359" s="1630">
        <v>0.58160000000000001</v>
      </c>
      <c r="H359" s="1630">
        <v>0.58160000000000001</v>
      </c>
      <c r="I359" s="1630">
        <v>0.50629999999999997</v>
      </c>
      <c r="J359" s="1630">
        <v>0.50629999999999997</v>
      </c>
      <c r="K359" s="1630">
        <v>0.50629999999999997</v>
      </c>
      <c r="L359" s="1630">
        <v>0.50629999999999997</v>
      </c>
      <c r="M359" s="1630">
        <v>0.50629999999999997</v>
      </c>
    </row>
    <row r="360" spans="1:13">
      <c r="A360" s="1621">
        <v>5.2</v>
      </c>
      <c r="B360" s="1630">
        <v>0.67749999999999999</v>
      </c>
      <c r="C360" s="1630">
        <v>0.67749999999999999</v>
      </c>
      <c r="D360" s="1630">
        <v>0.65029999999999999</v>
      </c>
      <c r="E360" s="1630">
        <v>0.65029999999999999</v>
      </c>
      <c r="F360" s="1630">
        <v>0.65029999999999999</v>
      </c>
      <c r="G360" s="1630">
        <v>0.57950000000000002</v>
      </c>
      <c r="H360" s="1630">
        <v>0.57950000000000002</v>
      </c>
      <c r="I360" s="1630">
        <v>0.50419999999999998</v>
      </c>
      <c r="J360" s="1630">
        <v>0.50419999999999998</v>
      </c>
      <c r="K360" s="1630">
        <v>0.50419999999999998</v>
      </c>
      <c r="L360" s="1630">
        <v>0.50419999999999998</v>
      </c>
      <c r="M360" s="1630">
        <v>0.50419999999999998</v>
      </c>
    </row>
    <row r="361" spans="1:13">
      <c r="A361" s="1621">
        <v>5.3</v>
      </c>
      <c r="B361" s="1630">
        <v>0.67620000000000002</v>
      </c>
      <c r="C361" s="1630">
        <v>0.67620000000000002</v>
      </c>
      <c r="D361" s="1630">
        <v>0.64839999999999998</v>
      </c>
      <c r="E361" s="1630">
        <v>0.64839999999999998</v>
      </c>
      <c r="F361" s="1630">
        <v>0.64839999999999998</v>
      </c>
      <c r="G361" s="1630">
        <v>0.5776</v>
      </c>
      <c r="H361" s="1630">
        <v>0.5776</v>
      </c>
      <c r="I361" s="1630">
        <v>0.50229999999999997</v>
      </c>
      <c r="J361" s="1630">
        <v>0.50229999999999997</v>
      </c>
      <c r="K361" s="1630">
        <v>0.50229999999999997</v>
      </c>
      <c r="L361" s="1630">
        <v>0.50229999999999997</v>
      </c>
      <c r="M361" s="1630">
        <v>0.50229999999999997</v>
      </c>
    </row>
    <row r="362" spans="1:13">
      <c r="A362" s="1621">
        <v>5.4</v>
      </c>
      <c r="B362" s="1630">
        <v>0.67500000000000004</v>
      </c>
      <c r="C362" s="1630">
        <v>0.67500000000000004</v>
      </c>
      <c r="D362" s="1630">
        <v>0.64670000000000005</v>
      </c>
      <c r="E362" s="1630">
        <v>0.64670000000000005</v>
      </c>
      <c r="F362" s="1630">
        <v>0.64670000000000005</v>
      </c>
      <c r="G362" s="1630">
        <v>0.57579999999999998</v>
      </c>
      <c r="H362" s="1630">
        <v>0.57579999999999998</v>
      </c>
      <c r="I362" s="1630">
        <v>0.50039999999999996</v>
      </c>
      <c r="J362" s="1630">
        <v>0.50039999999999996</v>
      </c>
      <c r="K362" s="1630">
        <v>0.50039999999999996</v>
      </c>
      <c r="L362" s="1630">
        <v>0.50039999999999996</v>
      </c>
      <c r="M362" s="1630">
        <v>0.50039999999999996</v>
      </c>
    </row>
    <row r="363" spans="1:13">
      <c r="A363" s="1621">
        <v>5.5</v>
      </c>
      <c r="B363" s="1630">
        <v>0.67379999999999995</v>
      </c>
      <c r="C363" s="1630">
        <v>0.67379999999999995</v>
      </c>
      <c r="D363" s="1630">
        <v>0.64500000000000002</v>
      </c>
      <c r="E363" s="1630">
        <v>0.64500000000000002</v>
      </c>
      <c r="F363" s="1630">
        <v>0.64500000000000002</v>
      </c>
      <c r="G363" s="1630">
        <v>0.57399999999999995</v>
      </c>
      <c r="H363" s="1630">
        <v>0.57399999999999995</v>
      </c>
      <c r="I363" s="1630">
        <v>0.49869999999999998</v>
      </c>
      <c r="J363" s="1630">
        <v>0.49869999999999998</v>
      </c>
      <c r="K363" s="1630">
        <v>0.49869999999999998</v>
      </c>
      <c r="L363" s="1630">
        <v>0.49869999999999998</v>
      </c>
      <c r="M363" s="1630">
        <v>0.49869999999999998</v>
      </c>
    </row>
    <row r="364" spans="1:13">
      <c r="A364" s="1621">
        <v>5.6</v>
      </c>
      <c r="B364" s="1630">
        <v>0.67259999999999998</v>
      </c>
      <c r="C364" s="1630">
        <v>0.67259999999999998</v>
      </c>
      <c r="D364" s="1630">
        <v>0.64339999999999997</v>
      </c>
      <c r="E364" s="1630">
        <v>0.64339999999999997</v>
      </c>
      <c r="F364" s="1630">
        <v>0.64339999999999997</v>
      </c>
      <c r="G364" s="1630">
        <v>0.57240000000000002</v>
      </c>
      <c r="H364" s="1630">
        <v>0.57240000000000002</v>
      </c>
      <c r="I364" s="1630">
        <v>0.49690000000000001</v>
      </c>
      <c r="J364" s="1630">
        <v>0.49690000000000001</v>
      </c>
      <c r="K364" s="1630">
        <v>0.49690000000000001</v>
      </c>
      <c r="L364" s="1630">
        <v>0.49690000000000001</v>
      </c>
      <c r="M364" s="1630">
        <v>0.49690000000000001</v>
      </c>
    </row>
    <row r="365" spans="1:13">
      <c r="A365" s="1644">
        <v>5.7</v>
      </c>
      <c r="B365" s="1630">
        <v>0.6714</v>
      </c>
      <c r="C365" s="1630">
        <v>0.6714</v>
      </c>
      <c r="D365" s="1630">
        <v>0.64190000000000003</v>
      </c>
      <c r="E365" s="1630">
        <v>0.64190000000000003</v>
      </c>
      <c r="F365" s="1630">
        <v>0.64190000000000003</v>
      </c>
      <c r="G365" s="1630">
        <v>0.57069999999999999</v>
      </c>
      <c r="H365" s="1630">
        <v>0.57069999999999999</v>
      </c>
      <c r="I365" s="1630">
        <v>0.49519999999999997</v>
      </c>
      <c r="J365" s="1630">
        <v>0.49519999999999997</v>
      </c>
      <c r="K365" s="1630">
        <v>0.49519999999999997</v>
      </c>
      <c r="L365" s="1630">
        <v>0.49519999999999997</v>
      </c>
      <c r="M365" s="1630">
        <v>0.49519999999999997</v>
      </c>
    </row>
    <row r="366" spans="1:13">
      <c r="A366" s="1621">
        <v>5.8</v>
      </c>
      <c r="B366" s="1630">
        <v>0.67020000000000002</v>
      </c>
      <c r="C366" s="1630">
        <v>0.67020000000000002</v>
      </c>
      <c r="D366" s="1630">
        <v>0.64039999999999997</v>
      </c>
      <c r="E366" s="1630">
        <v>0.64039999999999997</v>
      </c>
      <c r="F366" s="1630">
        <v>0.64039999999999997</v>
      </c>
      <c r="G366" s="1630">
        <v>0.56910000000000005</v>
      </c>
      <c r="H366" s="1630">
        <v>0.56910000000000005</v>
      </c>
      <c r="I366" s="1630">
        <v>0.49359999999999998</v>
      </c>
      <c r="J366" s="1630">
        <v>0.49359999999999998</v>
      </c>
      <c r="K366" s="1630">
        <v>0.49359999999999998</v>
      </c>
      <c r="L366" s="1630">
        <v>0.49359999999999998</v>
      </c>
      <c r="M366" s="1630">
        <v>0.49359999999999998</v>
      </c>
    </row>
    <row r="367" spans="1:13">
      <c r="A367" s="1621">
        <v>5.9</v>
      </c>
      <c r="B367" s="1630">
        <v>0.66910000000000003</v>
      </c>
      <c r="C367" s="1630">
        <v>0.66910000000000003</v>
      </c>
      <c r="D367" s="1630">
        <v>0.63890000000000002</v>
      </c>
      <c r="E367" s="1630">
        <v>0.63890000000000002</v>
      </c>
      <c r="F367" s="1630">
        <v>0.63890000000000002</v>
      </c>
      <c r="G367" s="1630">
        <v>0.5675</v>
      </c>
      <c r="H367" s="1630">
        <v>0.5675</v>
      </c>
      <c r="I367" s="1630">
        <v>0.4919</v>
      </c>
      <c r="J367" s="1630">
        <v>0.4919</v>
      </c>
      <c r="K367" s="1630">
        <v>0.4919</v>
      </c>
      <c r="L367" s="1630">
        <v>0.4919</v>
      </c>
      <c r="M367" s="1630">
        <v>0.4919</v>
      </c>
    </row>
    <row r="368" spans="1:13">
      <c r="A368" s="1621">
        <v>6</v>
      </c>
      <c r="B368" s="1630">
        <v>0.66800000000000004</v>
      </c>
      <c r="C368" s="1630">
        <v>0.66800000000000004</v>
      </c>
      <c r="D368" s="1630">
        <v>0.63739999999999997</v>
      </c>
      <c r="E368" s="1630">
        <v>0.63739999999999997</v>
      </c>
      <c r="F368" s="1630">
        <v>0.63739999999999997</v>
      </c>
      <c r="G368" s="1630">
        <v>0.56589999999999996</v>
      </c>
      <c r="H368" s="1630">
        <v>0.56589999999999996</v>
      </c>
      <c r="I368" s="1630">
        <v>0.49020000000000002</v>
      </c>
      <c r="J368" s="1630">
        <v>0.49020000000000002</v>
      </c>
      <c r="K368" s="1630">
        <v>0.49020000000000002</v>
      </c>
      <c r="L368" s="1630">
        <v>0.49020000000000002</v>
      </c>
      <c r="M368" s="1630">
        <v>0.49020000000000002</v>
      </c>
    </row>
    <row r="369" spans="1:13">
      <c r="A369" s="1621">
        <v>6.1</v>
      </c>
      <c r="B369" s="1630">
        <v>0.66690000000000005</v>
      </c>
      <c r="C369" s="1630">
        <v>0.66690000000000005</v>
      </c>
      <c r="D369" s="1630">
        <v>0.63590000000000002</v>
      </c>
      <c r="E369" s="1630">
        <v>0.63590000000000002</v>
      </c>
      <c r="F369" s="1630">
        <v>0.63590000000000002</v>
      </c>
      <c r="G369" s="1630">
        <v>0.56440000000000001</v>
      </c>
      <c r="H369" s="1630">
        <v>0.56440000000000001</v>
      </c>
      <c r="I369" s="1630">
        <v>0.48849999999999999</v>
      </c>
      <c r="J369" s="1630">
        <v>0.48849999999999999</v>
      </c>
      <c r="K369" s="1630">
        <v>0.48849999999999999</v>
      </c>
      <c r="L369" s="1630">
        <v>0.48849999999999999</v>
      </c>
      <c r="M369" s="1630">
        <v>0.48849999999999999</v>
      </c>
    </row>
    <row r="370" spans="1:13">
      <c r="A370" s="1621">
        <v>6.2</v>
      </c>
      <c r="B370" s="1630">
        <v>0.66579999999999995</v>
      </c>
      <c r="C370" s="1630">
        <v>0.66579999999999995</v>
      </c>
      <c r="D370" s="1630">
        <v>0.63439999999999996</v>
      </c>
      <c r="E370" s="1630">
        <v>0.63439999999999996</v>
      </c>
      <c r="F370" s="1630">
        <v>0.63439999999999996</v>
      </c>
      <c r="G370" s="1630">
        <v>0.56289999999999996</v>
      </c>
      <c r="H370" s="1630">
        <v>0.56289999999999996</v>
      </c>
      <c r="I370" s="1630">
        <v>0.48680000000000001</v>
      </c>
      <c r="J370" s="1630">
        <v>0.48680000000000001</v>
      </c>
      <c r="K370" s="1630">
        <v>0.48680000000000001</v>
      </c>
      <c r="L370" s="1630">
        <v>0.48680000000000001</v>
      </c>
      <c r="M370" s="1630">
        <v>0.48680000000000001</v>
      </c>
    </row>
    <row r="371" spans="1:13">
      <c r="A371" s="1621">
        <v>6.3</v>
      </c>
      <c r="B371" s="1630">
        <v>0.66469999999999996</v>
      </c>
      <c r="C371" s="1630">
        <v>0.66469999999999996</v>
      </c>
      <c r="D371" s="1630">
        <v>0.63290000000000002</v>
      </c>
      <c r="E371" s="1630">
        <v>0.63290000000000002</v>
      </c>
      <c r="F371" s="1630">
        <v>0.63290000000000002</v>
      </c>
      <c r="G371" s="1630">
        <v>0.56130000000000002</v>
      </c>
      <c r="H371" s="1630">
        <v>0.56130000000000002</v>
      </c>
      <c r="I371" s="1630">
        <v>0.48509999999999998</v>
      </c>
      <c r="J371" s="1630">
        <v>0.48509999999999998</v>
      </c>
      <c r="K371" s="1630">
        <v>0.48509999999999998</v>
      </c>
      <c r="L371" s="1630">
        <v>0.48509999999999998</v>
      </c>
      <c r="M371" s="1630">
        <v>0.48509999999999998</v>
      </c>
    </row>
    <row r="372" spans="1:13">
      <c r="A372" s="1621">
        <v>6.4</v>
      </c>
      <c r="B372" s="1630">
        <v>0.66359999999999997</v>
      </c>
      <c r="C372" s="1630">
        <v>0.66359999999999997</v>
      </c>
      <c r="D372" s="1630">
        <v>0.63139999999999996</v>
      </c>
      <c r="E372" s="1630">
        <v>0.63139999999999996</v>
      </c>
      <c r="F372" s="1630">
        <v>0.63139999999999996</v>
      </c>
      <c r="G372" s="1630">
        <v>0.55979999999999996</v>
      </c>
      <c r="H372" s="1630">
        <v>0.55979999999999996</v>
      </c>
      <c r="I372" s="1630">
        <v>0.48349999999999999</v>
      </c>
      <c r="J372" s="1630">
        <v>0.48349999999999999</v>
      </c>
      <c r="K372" s="1630">
        <v>0.48349999999999999</v>
      </c>
      <c r="L372" s="1630">
        <v>0.48349999999999999</v>
      </c>
      <c r="M372" s="1630">
        <v>0.48349999999999999</v>
      </c>
    </row>
    <row r="373" spans="1:13">
      <c r="A373" s="1621">
        <v>6.5</v>
      </c>
      <c r="B373" s="1630">
        <v>0.66249999999999998</v>
      </c>
      <c r="C373" s="1630">
        <v>0.66249999999999998</v>
      </c>
      <c r="D373" s="1630">
        <v>0.63</v>
      </c>
      <c r="E373" s="1630">
        <v>0.63</v>
      </c>
      <c r="F373" s="1630">
        <v>0.63</v>
      </c>
      <c r="G373" s="1630">
        <v>0.55820000000000003</v>
      </c>
      <c r="H373" s="1630">
        <v>0.55820000000000003</v>
      </c>
      <c r="I373" s="1630">
        <v>0.4819</v>
      </c>
      <c r="J373" s="1630">
        <v>0.4819</v>
      </c>
      <c r="K373" s="1630">
        <v>0.4819</v>
      </c>
      <c r="L373" s="1630">
        <v>0.4819</v>
      </c>
      <c r="M373" s="1630">
        <v>0.4819</v>
      </c>
    </row>
    <row r="374" spans="1:13">
      <c r="A374" s="1621">
        <v>6.6</v>
      </c>
      <c r="B374" s="1630">
        <v>0.66149999999999998</v>
      </c>
      <c r="C374" s="1630">
        <v>0.66149999999999998</v>
      </c>
      <c r="D374" s="1630">
        <v>0.62860000000000005</v>
      </c>
      <c r="E374" s="1630">
        <v>0.62860000000000005</v>
      </c>
      <c r="F374" s="1630">
        <v>0.62860000000000005</v>
      </c>
      <c r="G374" s="1630">
        <v>0.55669999999999997</v>
      </c>
      <c r="H374" s="1630">
        <v>0.55669999999999997</v>
      </c>
      <c r="I374" s="1630">
        <v>0.4803</v>
      </c>
      <c r="J374" s="1630">
        <v>0.4803</v>
      </c>
      <c r="K374" s="1630">
        <v>0.4803</v>
      </c>
      <c r="L374" s="1630">
        <v>0.4803</v>
      </c>
      <c r="M374" s="1630">
        <v>0.4803</v>
      </c>
    </row>
    <row r="375" spans="1:13">
      <c r="A375" s="1621">
        <v>6.7</v>
      </c>
      <c r="B375" s="1630">
        <v>0.66049999999999998</v>
      </c>
      <c r="C375" s="1630">
        <v>0.66049999999999998</v>
      </c>
      <c r="D375" s="1630">
        <v>0.62719999999999998</v>
      </c>
      <c r="E375" s="1630">
        <v>0.62719999999999998</v>
      </c>
      <c r="F375" s="1630">
        <v>0.62719999999999998</v>
      </c>
      <c r="G375" s="1630">
        <v>0.55520000000000003</v>
      </c>
      <c r="H375" s="1630">
        <v>0.55520000000000003</v>
      </c>
      <c r="I375" s="1630">
        <v>0.47870000000000001</v>
      </c>
      <c r="J375" s="1630">
        <v>0.47870000000000001</v>
      </c>
      <c r="K375" s="1630">
        <v>0.47870000000000001</v>
      </c>
      <c r="L375" s="1630">
        <v>0.47870000000000001</v>
      </c>
      <c r="M375" s="1630">
        <v>0.47870000000000001</v>
      </c>
    </row>
    <row r="376" spans="1:13">
      <c r="A376" s="1621">
        <v>6.8</v>
      </c>
      <c r="B376" s="1630">
        <v>0.65949999999999998</v>
      </c>
      <c r="C376" s="1630">
        <v>0.65949999999999998</v>
      </c>
      <c r="D376" s="1630">
        <v>0.62580000000000002</v>
      </c>
      <c r="E376" s="1630">
        <v>0.62580000000000002</v>
      </c>
      <c r="F376" s="1630">
        <v>0.62580000000000002</v>
      </c>
      <c r="G376" s="1630">
        <v>0.55359999999999998</v>
      </c>
      <c r="H376" s="1630">
        <v>0.55359999999999998</v>
      </c>
      <c r="I376" s="1630">
        <v>0.47710000000000002</v>
      </c>
      <c r="J376" s="1630">
        <v>0.47710000000000002</v>
      </c>
      <c r="K376" s="1630">
        <v>0.47710000000000002</v>
      </c>
      <c r="L376" s="1630">
        <v>0.47710000000000002</v>
      </c>
      <c r="M376" s="1630">
        <v>0.47710000000000002</v>
      </c>
    </row>
    <row r="377" spans="1:13">
      <c r="A377" s="1621">
        <v>6.9</v>
      </c>
      <c r="B377" s="1630">
        <v>0.65849999999999997</v>
      </c>
      <c r="C377" s="1630">
        <v>0.65849999999999997</v>
      </c>
      <c r="D377" s="1630">
        <v>0.62439999999999996</v>
      </c>
      <c r="E377" s="1630">
        <v>0.62439999999999996</v>
      </c>
      <c r="F377" s="1630">
        <v>0.62439999999999996</v>
      </c>
      <c r="G377" s="1630">
        <v>0.55220000000000002</v>
      </c>
      <c r="H377" s="1630">
        <v>0.55220000000000002</v>
      </c>
      <c r="I377" s="1630">
        <v>0.47549999999999998</v>
      </c>
      <c r="J377" s="1630">
        <v>0.47549999999999998</v>
      </c>
      <c r="K377" s="1630">
        <v>0.47549999999999998</v>
      </c>
      <c r="L377" s="1630">
        <v>0.47549999999999998</v>
      </c>
      <c r="M377" s="1630">
        <v>0.47549999999999998</v>
      </c>
    </row>
    <row r="378" spans="1:13">
      <c r="A378" s="1621">
        <v>7</v>
      </c>
      <c r="B378" s="1630">
        <v>0.65749999999999997</v>
      </c>
      <c r="C378" s="1630">
        <v>0.65749999999999997</v>
      </c>
      <c r="D378" s="1630">
        <v>0.623</v>
      </c>
      <c r="E378" s="1630">
        <v>0.623</v>
      </c>
      <c r="F378" s="1630">
        <v>0.623</v>
      </c>
      <c r="G378" s="1630">
        <v>0.55069999999999997</v>
      </c>
      <c r="H378" s="1630">
        <v>0.55069999999999997</v>
      </c>
      <c r="I378" s="1630">
        <v>0.47389999999999999</v>
      </c>
      <c r="J378" s="1630">
        <v>0.47389999999999999</v>
      </c>
      <c r="K378" s="1630">
        <v>0.47389999999999999</v>
      </c>
      <c r="L378" s="1630">
        <v>0.47389999999999999</v>
      </c>
      <c r="M378" s="1630">
        <v>0.47389999999999999</v>
      </c>
    </row>
    <row r="379" spans="1:13">
      <c r="A379" s="1621">
        <v>7.1</v>
      </c>
      <c r="B379" s="1630">
        <v>0.65649999999999997</v>
      </c>
      <c r="C379" s="1630">
        <v>0.65649999999999997</v>
      </c>
      <c r="D379" s="1630">
        <v>0.62160000000000004</v>
      </c>
      <c r="E379" s="1630">
        <v>0.62160000000000004</v>
      </c>
      <c r="F379" s="1630">
        <v>0.62160000000000004</v>
      </c>
      <c r="G379" s="1630">
        <v>0.54930000000000001</v>
      </c>
      <c r="H379" s="1630">
        <v>0.54930000000000001</v>
      </c>
      <c r="I379" s="1630">
        <v>0.47239999999999999</v>
      </c>
      <c r="J379" s="1630">
        <v>0.47239999999999999</v>
      </c>
      <c r="K379" s="1630">
        <v>0.47239999999999999</v>
      </c>
      <c r="L379" s="1630">
        <v>0.47239999999999999</v>
      </c>
      <c r="M379" s="1630">
        <v>0.47239999999999999</v>
      </c>
    </row>
    <row r="380" spans="1:13">
      <c r="A380" s="1621">
        <v>7.2</v>
      </c>
      <c r="B380" s="1630">
        <v>0.65549999999999997</v>
      </c>
      <c r="C380" s="1630">
        <v>0.65549999999999997</v>
      </c>
      <c r="D380" s="1630">
        <v>0.62019999999999997</v>
      </c>
      <c r="E380" s="1630">
        <v>0.62019999999999997</v>
      </c>
      <c r="F380" s="1630">
        <v>0.62019999999999997</v>
      </c>
      <c r="G380" s="1630">
        <v>0.54779999999999995</v>
      </c>
      <c r="H380" s="1630">
        <v>0.54779999999999995</v>
      </c>
      <c r="I380" s="1630">
        <v>0.47089999999999999</v>
      </c>
      <c r="J380" s="1630">
        <v>0.47089999999999999</v>
      </c>
      <c r="K380" s="1630">
        <v>0.47089999999999999</v>
      </c>
      <c r="L380" s="1630">
        <v>0.47089999999999999</v>
      </c>
      <c r="M380" s="1630">
        <v>0.47089999999999999</v>
      </c>
    </row>
    <row r="381" spans="1:13">
      <c r="A381" s="1621">
        <v>7.3</v>
      </c>
      <c r="B381" s="1630">
        <v>0.65449999999999997</v>
      </c>
      <c r="C381" s="1630">
        <v>0.65449999999999997</v>
      </c>
      <c r="D381" s="1630">
        <v>0.61880000000000002</v>
      </c>
      <c r="E381" s="1630">
        <v>0.61880000000000002</v>
      </c>
      <c r="F381" s="1630">
        <v>0.61880000000000002</v>
      </c>
      <c r="G381" s="1630">
        <v>0.5464</v>
      </c>
      <c r="H381" s="1630">
        <v>0.5464</v>
      </c>
      <c r="I381" s="1630">
        <v>0.46939999999999998</v>
      </c>
      <c r="J381" s="1630">
        <v>0.46939999999999998</v>
      </c>
      <c r="K381" s="1630">
        <v>0.46939999999999998</v>
      </c>
      <c r="L381" s="1630">
        <v>0.46939999999999998</v>
      </c>
      <c r="M381" s="1630">
        <v>0.46939999999999998</v>
      </c>
    </row>
    <row r="382" spans="1:13">
      <c r="A382" s="1621">
        <v>7.4</v>
      </c>
      <c r="B382" s="1630">
        <v>0.65349999999999997</v>
      </c>
      <c r="C382" s="1630">
        <v>0.65349999999999997</v>
      </c>
      <c r="D382" s="1630">
        <v>0.61750000000000005</v>
      </c>
      <c r="E382" s="1630">
        <v>0.61750000000000005</v>
      </c>
      <c r="F382" s="1630">
        <v>0.61750000000000005</v>
      </c>
      <c r="G382" s="1630">
        <v>0.54490000000000005</v>
      </c>
      <c r="H382" s="1630">
        <v>0.54490000000000005</v>
      </c>
      <c r="I382" s="1630">
        <v>0.46779999999999999</v>
      </c>
      <c r="J382" s="1630">
        <v>0.46779999999999999</v>
      </c>
      <c r="K382" s="1630">
        <v>0.46779999999999999</v>
      </c>
      <c r="L382" s="1630">
        <v>0.46779999999999999</v>
      </c>
      <c r="M382" s="1630">
        <v>0.46779999999999999</v>
      </c>
    </row>
    <row r="383" spans="1:13">
      <c r="A383" s="1621">
        <v>7.5</v>
      </c>
      <c r="B383" s="1630">
        <v>0.65249999999999997</v>
      </c>
      <c r="C383" s="1630">
        <v>0.65249999999999997</v>
      </c>
      <c r="D383" s="1630">
        <v>0.61619999999999997</v>
      </c>
      <c r="E383" s="1630">
        <v>0.61619999999999997</v>
      </c>
      <c r="F383" s="1630">
        <v>0.61619999999999997</v>
      </c>
      <c r="G383" s="1630">
        <v>0.54349999999999998</v>
      </c>
      <c r="H383" s="1630">
        <v>0.54349999999999998</v>
      </c>
      <c r="I383" s="1630">
        <v>0.46629999999999999</v>
      </c>
      <c r="J383" s="1630">
        <v>0.46629999999999999</v>
      </c>
      <c r="K383" s="1630">
        <v>0.46629999999999999</v>
      </c>
      <c r="L383" s="1630">
        <v>0.46629999999999999</v>
      </c>
      <c r="M383" s="1630">
        <v>0.46629999999999999</v>
      </c>
    </row>
    <row r="384" spans="1:13">
      <c r="A384" s="1621">
        <v>7.6</v>
      </c>
      <c r="B384" s="1630">
        <v>0.65149999999999997</v>
      </c>
      <c r="C384" s="1630">
        <v>0.65149999999999997</v>
      </c>
      <c r="D384" s="1630">
        <v>0.6149</v>
      </c>
      <c r="E384" s="1630">
        <v>0.6149</v>
      </c>
      <c r="F384" s="1630">
        <v>0.6149</v>
      </c>
      <c r="G384" s="1630">
        <v>0.54200000000000004</v>
      </c>
      <c r="H384" s="1630">
        <v>0.54200000000000004</v>
      </c>
      <c r="I384" s="1630">
        <v>0.46479999999999999</v>
      </c>
      <c r="J384" s="1630">
        <v>0.46479999999999999</v>
      </c>
      <c r="K384" s="1630">
        <v>0.46479999999999999</v>
      </c>
      <c r="L384" s="1630">
        <v>0.46479999999999999</v>
      </c>
      <c r="M384" s="1630">
        <v>0.46479999999999999</v>
      </c>
    </row>
    <row r="385" spans="1:13">
      <c r="A385" s="1621">
        <v>7.7</v>
      </c>
      <c r="B385" s="1630">
        <v>0.65049999999999997</v>
      </c>
      <c r="C385" s="1630">
        <v>0.65049999999999997</v>
      </c>
      <c r="D385" s="1630">
        <v>0.61360000000000003</v>
      </c>
      <c r="E385" s="1630">
        <v>0.61360000000000003</v>
      </c>
      <c r="F385" s="1630">
        <v>0.61360000000000003</v>
      </c>
      <c r="G385" s="1630">
        <v>0.54059999999999997</v>
      </c>
      <c r="H385" s="1630">
        <v>0.54059999999999997</v>
      </c>
      <c r="I385" s="1630">
        <v>0.46329999999999999</v>
      </c>
      <c r="J385" s="1630">
        <v>0.46329999999999999</v>
      </c>
      <c r="K385" s="1630">
        <v>0.46329999999999999</v>
      </c>
      <c r="L385" s="1630">
        <v>0.46329999999999999</v>
      </c>
      <c r="M385" s="1630">
        <v>0.46329999999999999</v>
      </c>
    </row>
    <row r="386" spans="1:13">
      <c r="A386" s="1621">
        <v>7.8</v>
      </c>
      <c r="B386" s="1630">
        <v>0.64949999999999997</v>
      </c>
      <c r="C386" s="1630">
        <v>0.64949999999999997</v>
      </c>
      <c r="D386" s="1630">
        <v>0.61229999999999996</v>
      </c>
      <c r="E386" s="1630">
        <v>0.61229999999999996</v>
      </c>
      <c r="F386" s="1630">
        <v>0.61229999999999996</v>
      </c>
      <c r="G386" s="1630">
        <v>0.53910000000000002</v>
      </c>
      <c r="H386" s="1630">
        <v>0.53910000000000002</v>
      </c>
      <c r="I386" s="1630">
        <v>0.4617</v>
      </c>
      <c r="J386" s="1630">
        <v>0.4617</v>
      </c>
      <c r="K386" s="1630">
        <v>0.4617</v>
      </c>
      <c r="L386" s="1630">
        <v>0.4617</v>
      </c>
      <c r="M386" s="1630">
        <v>0.4617</v>
      </c>
    </row>
    <row r="387" spans="1:13">
      <c r="A387" s="1621">
        <v>7.9</v>
      </c>
      <c r="B387" s="1630">
        <v>0.64849999999999997</v>
      </c>
      <c r="C387" s="1630">
        <v>0.64849999999999997</v>
      </c>
      <c r="D387" s="1630">
        <v>0.61099999999999999</v>
      </c>
      <c r="E387" s="1630">
        <v>0.61099999999999999</v>
      </c>
      <c r="F387" s="1630">
        <v>0.61099999999999999</v>
      </c>
      <c r="G387" s="1630">
        <v>0.53769999999999996</v>
      </c>
      <c r="H387" s="1630">
        <v>0.53769999999999996</v>
      </c>
      <c r="I387" s="1630">
        <v>0.4602</v>
      </c>
      <c r="J387" s="1630">
        <v>0.4602</v>
      </c>
      <c r="K387" s="1630">
        <v>0.4602</v>
      </c>
      <c r="L387" s="1630">
        <v>0.4602</v>
      </c>
      <c r="M387" s="1630">
        <v>0.4602</v>
      </c>
    </row>
    <row r="388" spans="1:13">
      <c r="A388" s="1621">
        <v>8</v>
      </c>
      <c r="B388" s="1630">
        <v>0.64749999999999996</v>
      </c>
      <c r="C388" s="1630">
        <v>0.64749999999999996</v>
      </c>
      <c r="D388" s="1630">
        <v>0.60970000000000002</v>
      </c>
      <c r="E388" s="1630">
        <v>0.60970000000000002</v>
      </c>
      <c r="F388" s="1630">
        <v>0.60970000000000002</v>
      </c>
      <c r="G388" s="1630">
        <v>0.53620000000000001</v>
      </c>
      <c r="H388" s="1630">
        <v>0.53620000000000001</v>
      </c>
      <c r="I388" s="1630">
        <v>0.4587</v>
      </c>
      <c r="J388" s="1630">
        <v>0.4587</v>
      </c>
      <c r="K388" s="1630">
        <v>0.4587</v>
      </c>
      <c r="L388" s="1630">
        <v>0.4587</v>
      </c>
      <c r="M388" s="1630">
        <v>0.4587</v>
      </c>
    </row>
    <row r="389" spans="1:13">
      <c r="A389" s="1621">
        <v>8.1</v>
      </c>
      <c r="B389" s="1630">
        <v>0.64649999999999996</v>
      </c>
      <c r="C389" s="1630">
        <v>0.64649999999999996</v>
      </c>
      <c r="D389" s="1630">
        <v>0.60840000000000005</v>
      </c>
      <c r="E389" s="1630">
        <v>0.60840000000000005</v>
      </c>
      <c r="F389" s="1630">
        <v>0.60840000000000005</v>
      </c>
      <c r="G389" s="1630">
        <v>0.53480000000000005</v>
      </c>
      <c r="H389" s="1630">
        <v>0.53480000000000005</v>
      </c>
      <c r="I389" s="1630">
        <v>0.4572</v>
      </c>
      <c r="J389" s="1630">
        <v>0.4572</v>
      </c>
      <c r="K389" s="1630">
        <v>0.4572</v>
      </c>
      <c r="L389" s="1630">
        <v>0.4572</v>
      </c>
      <c r="M389" s="1630">
        <v>0.4572</v>
      </c>
    </row>
    <row r="390" spans="1:13">
      <c r="A390" s="1621">
        <v>8.1999999999999993</v>
      </c>
      <c r="B390" s="1630">
        <v>0.64549999999999996</v>
      </c>
      <c r="C390" s="1630">
        <v>0.64549999999999996</v>
      </c>
      <c r="D390" s="1630">
        <v>0.60709999999999997</v>
      </c>
      <c r="E390" s="1630">
        <v>0.60709999999999997</v>
      </c>
      <c r="F390" s="1630">
        <v>0.60709999999999997</v>
      </c>
      <c r="G390" s="1630">
        <v>0.5333</v>
      </c>
      <c r="H390" s="1630">
        <v>0.5333</v>
      </c>
      <c r="I390" s="1630">
        <v>0.45569999999999999</v>
      </c>
      <c r="J390" s="1630">
        <v>0.45569999999999999</v>
      </c>
      <c r="K390" s="1630">
        <v>0.45569999999999999</v>
      </c>
      <c r="L390" s="1630">
        <v>0.45569999999999999</v>
      </c>
      <c r="M390" s="1630">
        <v>0.45569999999999999</v>
      </c>
    </row>
    <row r="391" spans="1:13">
      <c r="A391" s="1621">
        <v>8.3000000000000007</v>
      </c>
      <c r="B391" s="1630">
        <v>0.64449999999999996</v>
      </c>
      <c r="C391" s="1630">
        <v>0.64449999999999996</v>
      </c>
      <c r="D391" s="1630">
        <v>0.60580000000000001</v>
      </c>
      <c r="E391" s="1630">
        <v>0.60580000000000001</v>
      </c>
      <c r="F391" s="1630">
        <v>0.60580000000000001</v>
      </c>
      <c r="G391" s="1630">
        <v>0.53190000000000004</v>
      </c>
      <c r="H391" s="1630">
        <v>0.53190000000000004</v>
      </c>
      <c r="I391" s="1630">
        <v>0.45429999999999998</v>
      </c>
      <c r="J391" s="1630">
        <v>0.45429999999999998</v>
      </c>
      <c r="K391" s="1630">
        <v>0.45429999999999998</v>
      </c>
      <c r="L391" s="1630">
        <v>0.45429999999999998</v>
      </c>
      <c r="M391" s="1630">
        <v>0.45429999999999998</v>
      </c>
    </row>
    <row r="392" spans="1:13">
      <c r="A392" s="1621">
        <v>8.4</v>
      </c>
      <c r="B392" s="1630">
        <v>0.64349999999999996</v>
      </c>
      <c r="C392" s="1630">
        <v>0.64349999999999996</v>
      </c>
      <c r="D392" s="1630">
        <v>0.60450000000000004</v>
      </c>
      <c r="E392" s="1630">
        <v>0.60450000000000004</v>
      </c>
      <c r="F392" s="1630">
        <v>0.60450000000000004</v>
      </c>
      <c r="G392" s="1630">
        <v>0.53039999999999998</v>
      </c>
      <c r="H392" s="1630">
        <v>0.53039999999999998</v>
      </c>
      <c r="I392" s="1630">
        <v>0.45290000000000002</v>
      </c>
      <c r="J392" s="1630">
        <v>0.45290000000000002</v>
      </c>
      <c r="K392" s="1630">
        <v>0.45290000000000002</v>
      </c>
      <c r="L392" s="1630">
        <v>0.45290000000000002</v>
      </c>
      <c r="M392" s="1630">
        <v>0.45290000000000002</v>
      </c>
    </row>
    <row r="393" spans="1:13">
      <c r="A393" s="1621">
        <v>8.5</v>
      </c>
      <c r="B393" s="1630">
        <v>0.64249999999999996</v>
      </c>
      <c r="C393" s="1630">
        <v>0.64249999999999996</v>
      </c>
      <c r="D393" s="1630">
        <v>0.60319999999999996</v>
      </c>
      <c r="E393" s="1630">
        <v>0.60319999999999996</v>
      </c>
      <c r="F393" s="1630">
        <v>0.60319999999999996</v>
      </c>
      <c r="G393" s="1630">
        <v>0.52900000000000003</v>
      </c>
      <c r="H393" s="1630">
        <v>0.52900000000000003</v>
      </c>
      <c r="I393" s="1630">
        <v>0.45140000000000002</v>
      </c>
      <c r="J393" s="1630">
        <v>0.45140000000000002</v>
      </c>
      <c r="K393" s="1630">
        <v>0.45140000000000002</v>
      </c>
      <c r="L393" s="1630">
        <v>0.45140000000000002</v>
      </c>
      <c r="M393" s="1630">
        <v>0.45140000000000002</v>
      </c>
    </row>
    <row r="394" spans="1:13">
      <c r="A394" s="1621">
        <v>8.6</v>
      </c>
      <c r="B394" s="1630">
        <v>0.64149999999999996</v>
      </c>
      <c r="C394" s="1630">
        <v>0.64149999999999996</v>
      </c>
      <c r="D394" s="1630">
        <v>0.60189999999999999</v>
      </c>
      <c r="E394" s="1630">
        <v>0.60189999999999999</v>
      </c>
      <c r="F394" s="1630">
        <v>0.60189999999999999</v>
      </c>
      <c r="G394" s="1630">
        <v>0.52749999999999997</v>
      </c>
      <c r="H394" s="1630">
        <v>0.52749999999999997</v>
      </c>
      <c r="I394" s="1630">
        <v>0.45</v>
      </c>
      <c r="J394" s="1630">
        <v>0.45</v>
      </c>
      <c r="K394" s="1630">
        <v>0.45</v>
      </c>
      <c r="L394" s="1630">
        <v>0.45</v>
      </c>
      <c r="M394" s="1630">
        <v>0.45</v>
      </c>
    </row>
    <row r="395" spans="1:13">
      <c r="A395" s="1621">
        <v>8.6999999999999993</v>
      </c>
      <c r="B395" s="1630">
        <v>0.64049999999999996</v>
      </c>
      <c r="C395" s="1630">
        <v>0.64049999999999996</v>
      </c>
      <c r="D395" s="1630">
        <v>0.60060000000000002</v>
      </c>
      <c r="E395" s="1630">
        <v>0.60060000000000002</v>
      </c>
      <c r="F395" s="1630">
        <v>0.60060000000000002</v>
      </c>
      <c r="G395" s="1630">
        <v>0.52610000000000001</v>
      </c>
      <c r="H395" s="1630">
        <v>0.52610000000000001</v>
      </c>
      <c r="I395" s="1630">
        <v>0.44850000000000001</v>
      </c>
      <c r="J395" s="1630">
        <v>0.44850000000000001</v>
      </c>
      <c r="K395" s="1630">
        <v>0.44850000000000001</v>
      </c>
      <c r="L395" s="1630">
        <v>0.44850000000000001</v>
      </c>
      <c r="M395" s="1630">
        <v>0.44850000000000001</v>
      </c>
    </row>
    <row r="396" spans="1:13">
      <c r="A396" s="1621">
        <v>8.8000000000000007</v>
      </c>
      <c r="B396" s="1630">
        <v>0.63949999999999996</v>
      </c>
      <c r="C396" s="1630">
        <v>0.63949999999999996</v>
      </c>
      <c r="D396" s="1630">
        <v>0.59930000000000005</v>
      </c>
      <c r="E396" s="1630">
        <v>0.59930000000000005</v>
      </c>
      <c r="F396" s="1630">
        <v>0.59930000000000005</v>
      </c>
      <c r="G396" s="1630">
        <v>0.52459999999999996</v>
      </c>
      <c r="H396" s="1630">
        <v>0.52459999999999996</v>
      </c>
      <c r="I396" s="1630">
        <v>0.4471</v>
      </c>
      <c r="J396" s="1630">
        <v>0.4471</v>
      </c>
      <c r="K396" s="1630">
        <v>0.4471</v>
      </c>
      <c r="L396" s="1630">
        <v>0.4471</v>
      </c>
      <c r="M396" s="1630">
        <v>0.4471</v>
      </c>
    </row>
    <row r="397" spans="1:13">
      <c r="A397" s="1621">
        <v>8.9</v>
      </c>
      <c r="B397" s="1630">
        <v>0.63849999999999996</v>
      </c>
      <c r="C397" s="1630">
        <v>0.63849999999999996</v>
      </c>
      <c r="D397" s="1630">
        <v>0.59799999999999998</v>
      </c>
      <c r="E397" s="1630">
        <v>0.59799999999999998</v>
      </c>
      <c r="F397" s="1630">
        <v>0.59799999999999998</v>
      </c>
      <c r="G397" s="1630">
        <v>0.5232</v>
      </c>
      <c r="H397" s="1630">
        <v>0.5232</v>
      </c>
      <c r="I397" s="1630">
        <v>0.4456</v>
      </c>
      <c r="J397" s="1630">
        <v>0.4456</v>
      </c>
      <c r="K397" s="1630">
        <v>0.4456</v>
      </c>
      <c r="L397" s="1630">
        <v>0.4456</v>
      </c>
      <c r="M397" s="1630">
        <v>0.4456</v>
      </c>
    </row>
    <row r="398" spans="1:13">
      <c r="A398" s="1644">
        <v>9</v>
      </c>
      <c r="B398" s="1630">
        <v>0.63749999999999996</v>
      </c>
      <c r="C398" s="1630">
        <v>0.63749999999999996</v>
      </c>
      <c r="D398" s="1630">
        <v>0.59670000000000001</v>
      </c>
      <c r="E398" s="1630">
        <v>0.59670000000000001</v>
      </c>
      <c r="F398" s="1630">
        <v>0.59670000000000001</v>
      </c>
      <c r="G398" s="1630">
        <v>0.52170000000000005</v>
      </c>
      <c r="H398" s="1630">
        <v>0.52170000000000005</v>
      </c>
      <c r="I398" s="1630">
        <v>0.44429999999999997</v>
      </c>
      <c r="J398" s="1630">
        <v>0.44429999999999997</v>
      </c>
      <c r="K398" s="1630">
        <v>0.44429999999999997</v>
      </c>
      <c r="L398" s="1630">
        <v>0.44429999999999997</v>
      </c>
      <c r="M398" s="1630">
        <v>0.44429999999999997</v>
      </c>
    </row>
    <row r="399" spans="1:13">
      <c r="A399" s="1644">
        <v>9.1</v>
      </c>
      <c r="B399" s="1630">
        <v>0.63649999999999995</v>
      </c>
      <c r="C399" s="1630">
        <v>0.63649999999999995</v>
      </c>
      <c r="D399" s="1630">
        <v>0.59540000000000004</v>
      </c>
      <c r="E399" s="1630">
        <v>0.59540000000000004</v>
      </c>
      <c r="F399" s="1630">
        <v>0.59540000000000004</v>
      </c>
      <c r="G399" s="1630">
        <v>0.52029999999999998</v>
      </c>
      <c r="H399" s="1630">
        <v>0.52029999999999998</v>
      </c>
      <c r="I399" s="1630">
        <v>0.44290000000000002</v>
      </c>
      <c r="J399" s="1630">
        <v>0.44290000000000002</v>
      </c>
      <c r="K399" s="1630">
        <v>0.44290000000000002</v>
      </c>
      <c r="L399" s="1630">
        <v>0.44290000000000002</v>
      </c>
      <c r="M399" s="1630">
        <v>0.44290000000000002</v>
      </c>
    </row>
    <row r="400" spans="1:13">
      <c r="A400" s="1644">
        <v>9.1999999999999993</v>
      </c>
      <c r="B400" s="1630">
        <v>0.63549999999999995</v>
      </c>
      <c r="C400" s="1630">
        <v>0.63549999999999995</v>
      </c>
      <c r="D400" s="1630">
        <v>0.59409999999999996</v>
      </c>
      <c r="E400" s="1630">
        <v>0.59409999999999996</v>
      </c>
      <c r="F400" s="1630">
        <v>0.59409999999999996</v>
      </c>
      <c r="G400" s="1630">
        <v>0.51880000000000004</v>
      </c>
      <c r="H400" s="1630">
        <v>0.51880000000000004</v>
      </c>
      <c r="I400" s="1630">
        <v>0.44159999999999999</v>
      </c>
      <c r="J400" s="1630">
        <v>0.44159999999999999</v>
      </c>
      <c r="K400" s="1630">
        <v>0.44159999999999999</v>
      </c>
      <c r="L400" s="1630">
        <v>0.44159999999999999</v>
      </c>
      <c r="M400" s="1630">
        <v>0.44159999999999999</v>
      </c>
    </row>
    <row r="401" spans="1:13">
      <c r="A401" s="1644">
        <v>9.3000000000000007</v>
      </c>
      <c r="B401" s="1630">
        <v>0.63449999999999995</v>
      </c>
      <c r="C401" s="1630">
        <v>0.63449999999999995</v>
      </c>
      <c r="D401" s="1630">
        <v>0.59279999999999999</v>
      </c>
      <c r="E401" s="1630">
        <v>0.59279999999999999</v>
      </c>
      <c r="F401" s="1630">
        <v>0.59279999999999999</v>
      </c>
      <c r="G401" s="1630">
        <v>0.51739999999999997</v>
      </c>
      <c r="H401" s="1630">
        <v>0.51739999999999997</v>
      </c>
      <c r="I401" s="1630">
        <v>0.44019999999999998</v>
      </c>
      <c r="J401" s="1630">
        <v>0.44019999999999998</v>
      </c>
      <c r="K401" s="1630">
        <v>0.44019999999999998</v>
      </c>
      <c r="L401" s="1630">
        <v>0.44019999999999998</v>
      </c>
      <c r="M401" s="1630">
        <v>0.44019999999999998</v>
      </c>
    </row>
    <row r="402" spans="1:13">
      <c r="A402" s="1644">
        <v>9.4</v>
      </c>
      <c r="B402" s="1630">
        <v>0.63349999999999995</v>
      </c>
      <c r="C402" s="1630">
        <v>0.63349999999999995</v>
      </c>
      <c r="D402" s="1630">
        <v>0.59150000000000003</v>
      </c>
      <c r="E402" s="1630">
        <v>0.59150000000000003</v>
      </c>
      <c r="F402" s="1630">
        <v>0.59150000000000003</v>
      </c>
      <c r="G402" s="1630">
        <v>0.51600000000000001</v>
      </c>
      <c r="H402" s="1630">
        <v>0.51600000000000001</v>
      </c>
      <c r="I402" s="1630">
        <v>0.43880000000000002</v>
      </c>
      <c r="J402" s="1630">
        <v>0.43880000000000002</v>
      </c>
      <c r="K402" s="1630">
        <v>0.43880000000000002</v>
      </c>
      <c r="L402" s="1630">
        <v>0.43880000000000002</v>
      </c>
      <c r="M402" s="1630">
        <v>0.43880000000000002</v>
      </c>
    </row>
    <row r="403" spans="1:13">
      <c r="A403" s="1644">
        <v>9.5</v>
      </c>
      <c r="B403" s="1630">
        <v>0.63249999999999995</v>
      </c>
      <c r="C403" s="1630">
        <v>0.63249999999999995</v>
      </c>
      <c r="D403" s="1630">
        <v>0.59030000000000005</v>
      </c>
      <c r="E403" s="1630">
        <v>0.59030000000000005</v>
      </c>
      <c r="F403" s="1630">
        <v>0.59030000000000005</v>
      </c>
      <c r="G403" s="1630">
        <v>0.51470000000000005</v>
      </c>
      <c r="H403" s="1630">
        <v>0.51470000000000005</v>
      </c>
      <c r="I403" s="1630">
        <v>0.4375</v>
      </c>
      <c r="J403" s="1630">
        <v>0.4375</v>
      </c>
      <c r="K403" s="1630">
        <v>0.4375</v>
      </c>
      <c r="L403" s="1630">
        <v>0.4375</v>
      </c>
      <c r="M403" s="1630">
        <v>0.4375</v>
      </c>
    </row>
    <row r="404" spans="1:13">
      <c r="A404" s="1644">
        <v>9.6</v>
      </c>
      <c r="B404" s="1630">
        <v>0.63149999999999995</v>
      </c>
      <c r="C404" s="1630">
        <v>0.63149999999999995</v>
      </c>
      <c r="D404" s="1630">
        <v>0.58909999999999996</v>
      </c>
      <c r="E404" s="1630">
        <v>0.58909999999999996</v>
      </c>
      <c r="F404" s="1630">
        <v>0.58909999999999996</v>
      </c>
      <c r="G404" s="1630">
        <v>0.51329999999999998</v>
      </c>
      <c r="H404" s="1630">
        <v>0.51329999999999998</v>
      </c>
      <c r="I404" s="1630">
        <v>0.43609999999999999</v>
      </c>
      <c r="J404" s="1630">
        <v>0.43609999999999999</v>
      </c>
      <c r="K404" s="1630">
        <v>0.43609999999999999</v>
      </c>
      <c r="L404" s="1630">
        <v>0.43609999999999999</v>
      </c>
      <c r="M404" s="1630">
        <v>0.43609999999999999</v>
      </c>
    </row>
    <row r="405" spans="1:13">
      <c r="A405" s="1644">
        <v>9.6999999999999993</v>
      </c>
      <c r="B405" s="1630">
        <v>0.63049999999999995</v>
      </c>
      <c r="C405" s="1630">
        <v>0.63049999999999995</v>
      </c>
      <c r="D405" s="1630">
        <v>0.58789999999999998</v>
      </c>
      <c r="E405" s="1630">
        <v>0.58789999999999998</v>
      </c>
      <c r="F405" s="1630">
        <v>0.58789999999999998</v>
      </c>
      <c r="G405" s="1630">
        <v>0.51200000000000001</v>
      </c>
      <c r="H405" s="1630">
        <v>0.51200000000000001</v>
      </c>
      <c r="I405" s="1630">
        <v>0.43480000000000002</v>
      </c>
      <c r="J405" s="1630">
        <v>0.43480000000000002</v>
      </c>
      <c r="K405" s="1630">
        <v>0.43480000000000002</v>
      </c>
      <c r="L405" s="1630">
        <v>0.43480000000000002</v>
      </c>
      <c r="M405" s="1630">
        <v>0.43480000000000002</v>
      </c>
    </row>
    <row r="406" spans="1:13">
      <c r="A406" s="1644">
        <v>9.8000000000000007</v>
      </c>
      <c r="B406" s="1630">
        <v>0.62949999999999995</v>
      </c>
      <c r="C406" s="1630">
        <v>0.62949999999999995</v>
      </c>
      <c r="D406" s="1630">
        <v>0.5867</v>
      </c>
      <c r="E406" s="1630">
        <v>0.5867</v>
      </c>
      <c r="F406" s="1630">
        <v>0.5867</v>
      </c>
      <c r="G406" s="1630">
        <v>0.51060000000000005</v>
      </c>
      <c r="H406" s="1630">
        <v>0.51060000000000005</v>
      </c>
      <c r="I406" s="1630">
        <v>0.43340000000000001</v>
      </c>
      <c r="J406" s="1630">
        <v>0.43340000000000001</v>
      </c>
      <c r="K406" s="1630">
        <v>0.43340000000000001</v>
      </c>
      <c r="L406" s="1630">
        <v>0.43340000000000001</v>
      </c>
      <c r="M406" s="1630">
        <v>0.43340000000000001</v>
      </c>
    </row>
    <row r="407" spans="1:13">
      <c r="A407" s="1644">
        <v>9.9</v>
      </c>
      <c r="B407" s="1630">
        <v>0.62849999999999995</v>
      </c>
      <c r="C407" s="1630">
        <v>0.62849999999999995</v>
      </c>
      <c r="D407" s="1630">
        <v>0.58550000000000002</v>
      </c>
      <c r="E407" s="1630">
        <v>0.58550000000000002</v>
      </c>
      <c r="F407" s="1630">
        <v>0.58550000000000002</v>
      </c>
      <c r="G407" s="1630">
        <v>0.50919999999999999</v>
      </c>
      <c r="H407" s="1630">
        <v>0.50919999999999999</v>
      </c>
      <c r="I407" s="1630">
        <v>0.432</v>
      </c>
      <c r="J407" s="1630">
        <v>0.432</v>
      </c>
      <c r="K407" s="1630">
        <v>0.432</v>
      </c>
      <c r="L407" s="1630">
        <v>0.432</v>
      </c>
      <c r="M407" s="1630">
        <v>0.432</v>
      </c>
    </row>
    <row r="408" spans="1:13">
      <c r="A408" s="1644">
        <v>10</v>
      </c>
      <c r="B408" s="1630">
        <v>0.62749999999999995</v>
      </c>
      <c r="C408" s="1630">
        <v>0.62749999999999995</v>
      </c>
      <c r="D408" s="1630">
        <v>0.58430000000000004</v>
      </c>
      <c r="E408" s="1630">
        <v>0.58430000000000004</v>
      </c>
      <c r="F408" s="1630">
        <v>0.58430000000000004</v>
      </c>
      <c r="G408" s="1630">
        <v>0.50790000000000002</v>
      </c>
      <c r="H408" s="1630">
        <v>0.50790000000000002</v>
      </c>
      <c r="I408" s="1630">
        <v>0.43070000000000003</v>
      </c>
      <c r="J408" s="1630">
        <v>0.43070000000000003</v>
      </c>
      <c r="K408" s="1630">
        <v>0.43070000000000003</v>
      </c>
      <c r="L408" s="1630">
        <v>0.43070000000000003</v>
      </c>
      <c r="M408" s="1630">
        <v>0.43070000000000003</v>
      </c>
    </row>
  </sheetData>
  <sheetProtection password="C66D" sheet="1" objects="1" scenarios="1" formatCells="0" formatColumns="0" formatRows="0"/>
  <phoneticPr fontId="1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702" t="s">
        <v>3122</v>
      </c>
      <c r="C1" s="3702"/>
      <c r="D1" s="3702"/>
      <c r="E1" s="3702"/>
      <c r="F1" s="3702"/>
      <c r="G1" s="3701" t="s">
        <v>3123</v>
      </c>
      <c r="H1" s="3701"/>
      <c r="I1" s="3701"/>
      <c r="J1" s="3701"/>
      <c r="K1" s="3701"/>
      <c r="L1" s="3701"/>
      <c r="N1" s="3701" t="s">
        <v>3124</v>
      </c>
      <c r="O1" s="3701"/>
      <c r="P1" s="3701"/>
      <c r="Q1" s="3701"/>
      <c r="R1" s="2940"/>
      <c r="S1" s="3701" t="s">
        <v>3125</v>
      </c>
      <c r="T1" s="3701"/>
      <c r="U1" s="3701"/>
      <c r="V1" s="3701"/>
      <c r="X1" s="3700" t="s">
        <v>3126</v>
      </c>
      <c r="Y1" s="3701"/>
      <c r="Z1" s="3701"/>
      <c r="AA1" s="3701"/>
      <c r="AB1" s="3701"/>
      <c r="AD1" s="3700" t="s">
        <v>3127</v>
      </c>
      <c r="AE1" s="3701"/>
      <c r="AF1" s="3701"/>
      <c r="AG1" s="3701"/>
      <c r="AH1" s="3701"/>
    </row>
    <row r="2" spans="1:34" s="2941" customFormat="1" ht="14.25" thickBot="1">
      <c r="B2" s="2942" t="s">
        <v>3128</v>
      </c>
      <c r="C2" s="2942" t="s">
        <v>3129</v>
      </c>
      <c r="D2" s="2943" t="s">
        <v>3130</v>
      </c>
      <c r="E2" s="2943" t="s">
        <v>3131</v>
      </c>
      <c r="F2" s="2942" t="s">
        <v>3132</v>
      </c>
      <c r="G2" s="2944"/>
      <c r="H2" s="2945"/>
      <c r="I2" s="2945"/>
      <c r="J2" s="2945"/>
      <c r="K2" s="2945"/>
      <c r="L2" s="2945"/>
      <c r="N2" s="2944"/>
      <c r="O2" s="2945"/>
      <c r="P2" s="2945"/>
      <c r="Q2" s="2945"/>
      <c r="R2" s="2946"/>
      <c r="S2" s="2944"/>
      <c r="T2" s="2945"/>
      <c r="U2" s="2945"/>
      <c r="V2" s="2945"/>
      <c r="X2" s="2942" t="s">
        <v>3128</v>
      </c>
      <c r="Y2" s="2942" t="s">
        <v>3129</v>
      </c>
      <c r="Z2" s="2943" t="s">
        <v>3130</v>
      </c>
      <c r="AA2" s="2943" t="s">
        <v>3131</v>
      </c>
      <c r="AB2" s="2942" t="s">
        <v>3132</v>
      </c>
      <c r="AD2" s="2942" t="s">
        <v>3128</v>
      </c>
      <c r="AE2" s="2942" t="s">
        <v>3129</v>
      </c>
      <c r="AF2" s="2943" t="s">
        <v>3130</v>
      </c>
      <c r="AG2" s="2943" t="s">
        <v>3131</v>
      </c>
      <c r="AH2" s="2942" t="s">
        <v>3132</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3133</v>
      </c>
      <c r="B4" s="2956"/>
      <c r="C4" s="2956"/>
      <c r="D4" s="2956"/>
      <c r="E4" s="2956"/>
      <c r="F4" s="2956"/>
      <c r="G4" s="3703">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3134</v>
      </c>
      <c r="B5" s="2956"/>
      <c r="C5" s="2956"/>
      <c r="D5" s="2956"/>
      <c r="E5" s="2956"/>
      <c r="F5" s="2956"/>
      <c r="G5" s="3698"/>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3135</v>
      </c>
      <c r="B6" s="2962">
        <f>B7*(1+N6)</f>
        <v>415.21602360000003</v>
      </c>
      <c r="C6" s="2962">
        <f>C7*(1+O6)</f>
        <v>312.63083488000001</v>
      </c>
      <c r="D6" s="2962">
        <f>C6</f>
        <v>312.63083488000001</v>
      </c>
      <c r="E6" s="3274">
        <f>E7*(1+P6)</f>
        <v>589.96402416000001</v>
      </c>
      <c r="F6" s="3274">
        <f>F7*(1+Q6)</f>
        <v>273.82351752000005</v>
      </c>
      <c r="G6" s="3698"/>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3137</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3136</v>
      </c>
      <c r="B7" s="2976">
        <f>B8*(1+N7)</f>
        <v>405.524</v>
      </c>
      <c r="C7" s="2976">
        <f>C8*(1+O7)</f>
        <v>307.79840000000002</v>
      </c>
      <c r="D7" s="2976">
        <f>C7</f>
        <v>307.79840000000002</v>
      </c>
      <c r="E7" s="2976">
        <f>E8*(1+P7)</f>
        <v>574.67759999999998</v>
      </c>
      <c r="F7" s="2976">
        <f>F8*(1+Q7)</f>
        <v>270.20280000000002</v>
      </c>
      <c r="G7" s="3699"/>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1516</v>
      </c>
      <c r="B8" s="2968">
        <v>392</v>
      </c>
      <c r="C8" s="2968">
        <v>302</v>
      </c>
      <c r="D8" s="2968">
        <f>C8</f>
        <v>302</v>
      </c>
      <c r="E8" s="2968">
        <v>553</v>
      </c>
      <c r="F8" s="2969">
        <v>266</v>
      </c>
      <c r="G8" s="3703">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1515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698"/>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1505</v>
      </c>
      <c r="B10" s="2976">
        <f t="shared" si="8"/>
        <v>360.06949782209392</v>
      </c>
      <c r="C10" s="2976">
        <f t="shared" si="8"/>
        <v>289.84672674747821</v>
      </c>
      <c r="D10" s="2976">
        <f t="shared" si="9"/>
        <v>289.84672674747821</v>
      </c>
      <c r="E10" s="2976">
        <f t="shared" si="10"/>
        <v>501.06543001181495</v>
      </c>
      <c r="F10" s="2976">
        <f t="shared" si="10"/>
        <v>256.82882500744967</v>
      </c>
      <c r="G10" s="3698"/>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1514</v>
      </c>
      <c r="B11" s="2976">
        <f t="shared" si="8"/>
        <v>346.720748986128</v>
      </c>
      <c r="C11" s="2976">
        <f t="shared" si="8"/>
        <v>284.30282172386285</v>
      </c>
      <c r="D11" s="2976">
        <f t="shared" si="9"/>
        <v>284.30282172386285</v>
      </c>
      <c r="E11" s="2976">
        <f t="shared" si="10"/>
        <v>479.58023546306947</v>
      </c>
      <c r="F11" s="2976">
        <f t="shared" si="10"/>
        <v>253.25788877571213</v>
      </c>
      <c r="G11" s="3699"/>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1513</v>
      </c>
      <c r="B12" s="2968">
        <v>333</v>
      </c>
      <c r="C12" s="2968">
        <v>277</v>
      </c>
      <c r="D12" s="2968">
        <f t="shared" si="9"/>
        <v>277</v>
      </c>
      <c r="E12" s="2968">
        <v>459</v>
      </c>
      <c r="F12" s="2969">
        <v>249</v>
      </c>
      <c r="G12" s="3697">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1512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698"/>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1511</v>
      </c>
      <c r="B14" s="2976">
        <f t="shared" si="12"/>
        <v>322.34053690220776</v>
      </c>
      <c r="C14" s="2976">
        <f t="shared" si="12"/>
        <v>271.46160770422546</v>
      </c>
      <c r="D14" s="2976">
        <f t="shared" si="9"/>
        <v>271.46160770422546</v>
      </c>
      <c r="E14" s="2976">
        <f t="shared" si="13"/>
        <v>442.69434542172456</v>
      </c>
      <c r="F14" s="2976">
        <f t="shared" si="13"/>
        <v>241.34030753190925</v>
      </c>
      <c r="G14" s="3698"/>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1510</v>
      </c>
      <c r="B15" s="2976">
        <f t="shared" si="12"/>
        <v>319.87748030386797</v>
      </c>
      <c r="C15" s="2976">
        <f t="shared" si="12"/>
        <v>269.60135833173649</v>
      </c>
      <c r="D15" s="2976">
        <f t="shared" si="9"/>
        <v>269.60135833173649</v>
      </c>
      <c r="E15" s="2976">
        <f t="shared" si="13"/>
        <v>439.18089823583784</v>
      </c>
      <c r="F15" s="2976">
        <f t="shared" si="13"/>
        <v>239.23503918706311</v>
      </c>
      <c r="G15" s="3699"/>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1509</v>
      </c>
      <c r="B16" s="2989">
        <v>318</v>
      </c>
      <c r="C16" s="2989">
        <v>268</v>
      </c>
      <c r="D16" s="2989">
        <f t="shared" si="9"/>
        <v>268</v>
      </c>
      <c r="E16" s="2989">
        <v>437</v>
      </c>
      <c r="F16" s="2990">
        <v>237</v>
      </c>
      <c r="G16" s="3697">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1508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698"/>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1507</v>
      </c>
      <c r="B18" s="2976">
        <f t="shared" si="14"/>
        <v>314.72141172386546</v>
      </c>
      <c r="C18" s="2976">
        <f t="shared" si="14"/>
        <v>263.03901319069001</v>
      </c>
      <c r="D18" s="2976">
        <f t="shared" si="9"/>
        <v>263.03901319069001</v>
      </c>
      <c r="E18" s="2976">
        <f t="shared" si="15"/>
        <v>433.65745506782821</v>
      </c>
      <c r="F18" s="2976">
        <f t="shared" si="15"/>
        <v>233.23005080045735</v>
      </c>
      <c r="G18" s="3698"/>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1506</v>
      </c>
      <c r="B19" s="2994">
        <f t="shared" si="14"/>
        <v>307.34512863658733</v>
      </c>
      <c r="C19" s="2994">
        <f t="shared" si="14"/>
        <v>257.80556031626975</v>
      </c>
      <c r="D19" s="2994">
        <f t="shared" si="9"/>
        <v>257.80556031626975</v>
      </c>
      <c r="E19" s="2994">
        <f t="shared" si="15"/>
        <v>422.70928459677179</v>
      </c>
      <c r="F19" s="2994">
        <f t="shared" si="15"/>
        <v>229.73803270336617</v>
      </c>
      <c r="G19" s="3699"/>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3138</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3139</v>
      </c>
      <c r="B20" s="2968">
        <v>299</v>
      </c>
      <c r="C20" s="2968">
        <v>252</v>
      </c>
      <c r="D20" s="2968">
        <f t="shared" si="9"/>
        <v>252</v>
      </c>
      <c r="E20" s="2968">
        <v>409</v>
      </c>
      <c r="F20" s="2969">
        <v>227</v>
      </c>
      <c r="G20" s="3704">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3140</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705"/>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3141</v>
      </c>
      <c r="B22" s="2976">
        <f t="shared" si="18"/>
        <v>288.2649053828776</v>
      </c>
      <c r="C22" s="2976">
        <f t="shared" si="18"/>
        <v>243.64564425013293</v>
      </c>
      <c r="D22" s="2976">
        <f t="shared" si="9"/>
        <v>243.64564425013293</v>
      </c>
      <c r="E22" s="2976">
        <f t="shared" si="19"/>
        <v>393.31080825986544</v>
      </c>
      <c r="F22" s="2976">
        <f t="shared" si="19"/>
        <v>223.07903790551154</v>
      </c>
      <c r="G22" s="3705"/>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3142</v>
      </c>
      <c r="B23" s="2976">
        <f t="shared" si="18"/>
        <v>282.50186729015837</v>
      </c>
      <c r="C23" s="2976">
        <f t="shared" si="18"/>
        <v>238.09796174155468</v>
      </c>
      <c r="D23" s="2976">
        <f t="shared" si="9"/>
        <v>238.09796174155468</v>
      </c>
      <c r="E23" s="2976">
        <f t="shared" si="19"/>
        <v>385.33438646014054</v>
      </c>
      <c r="F23" s="2976">
        <f t="shared" si="19"/>
        <v>221.55034055567739</v>
      </c>
      <c r="G23" s="3706"/>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3143</v>
      </c>
      <c r="B24" s="3010">
        <v>278</v>
      </c>
      <c r="C24" s="3010">
        <v>234</v>
      </c>
      <c r="D24" s="3010">
        <f t="shared" si="9"/>
        <v>234</v>
      </c>
      <c r="E24" s="3010">
        <v>379</v>
      </c>
      <c r="F24" s="3011">
        <v>220</v>
      </c>
      <c r="G24" s="3697">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3144</v>
      </c>
      <c r="B25" s="2976">
        <f>B24/(1+N24)</f>
        <v>275.49301357645425</v>
      </c>
      <c r="C25" s="2976">
        <f>C24/(1+O24)</f>
        <v>232.41954707985698</v>
      </c>
      <c r="D25" s="2976">
        <f t="shared" si="9"/>
        <v>232.41954707985698</v>
      </c>
      <c r="E25" s="2976">
        <f t="shared" ref="E25:F27" si="20">E24/(1+P24)</f>
        <v>375.32184591008121</v>
      </c>
      <c r="F25" s="2976">
        <f t="shared" si="20"/>
        <v>218.03766105054513</v>
      </c>
      <c r="G25" s="3698"/>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3145</v>
      </c>
      <c r="B26" s="2976">
        <f>B25/(1+N25)</f>
        <v>275.24529281292263</v>
      </c>
      <c r="C26" s="2976">
        <f>C25/(1+O25)</f>
        <v>231.74747938962707</v>
      </c>
      <c r="D26" s="2976">
        <f t="shared" si="9"/>
        <v>231.74747938962707</v>
      </c>
      <c r="E26" s="2976">
        <f t="shared" si="20"/>
        <v>375.35938184826603</v>
      </c>
      <c r="F26" s="2976">
        <f t="shared" si="20"/>
        <v>216.78033510692495</v>
      </c>
      <c r="G26" s="3698"/>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3146</v>
      </c>
      <c r="B27" s="2976">
        <f>B26/(1+N26)</f>
        <v>275.19025476197027</v>
      </c>
      <c r="C27" s="3012">
        <v>232</v>
      </c>
      <c r="D27" s="3012">
        <f t="shared" si="9"/>
        <v>232</v>
      </c>
      <c r="E27" s="2976">
        <f t="shared" si="20"/>
        <v>375.65990977608692</v>
      </c>
      <c r="F27" s="2976">
        <f t="shared" si="20"/>
        <v>214.12518283971252</v>
      </c>
      <c r="G27" s="3699"/>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3147</v>
      </c>
      <c r="B28" s="2968">
        <v>275</v>
      </c>
      <c r="C28" s="2968">
        <v>232</v>
      </c>
      <c r="D28" s="2968">
        <f t="shared" si="9"/>
        <v>232</v>
      </c>
      <c r="E28" s="2968">
        <v>376</v>
      </c>
      <c r="F28" s="2969">
        <v>213</v>
      </c>
      <c r="G28" s="3697">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3148</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698">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3149</v>
      </c>
      <c r="B30" s="2976">
        <f t="shared" si="21"/>
        <v>275.19335084830601</v>
      </c>
      <c r="C30" s="2976">
        <f t="shared" si="21"/>
        <v>230.18088050139744</v>
      </c>
      <c r="D30" s="2976">
        <f t="shared" si="9"/>
        <v>230.18088050139744</v>
      </c>
      <c r="E30" s="2976">
        <f t="shared" si="22"/>
        <v>377.58482925212331</v>
      </c>
      <c r="F30" s="2976">
        <f t="shared" si="22"/>
        <v>210.90687997847917</v>
      </c>
      <c r="G30" s="3698">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3150</v>
      </c>
      <c r="B31" s="2976">
        <f t="shared" si="21"/>
        <v>276.29854502841971</v>
      </c>
      <c r="C31" s="2976">
        <f t="shared" si="21"/>
        <v>229.79023709833027</v>
      </c>
      <c r="D31" s="2976">
        <f t="shared" si="9"/>
        <v>229.79023709833027</v>
      </c>
      <c r="E31" s="2976">
        <f t="shared" si="22"/>
        <v>379.78759731655936</v>
      </c>
      <c r="F31" s="2976">
        <f t="shared" si="22"/>
        <v>211.32953905659235</v>
      </c>
      <c r="G31" s="3699">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3151</v>
      </c>
      <c r="B32" s="2968">
        <v>269</v>
      </c>
      <c r="C32" s="2968">
        <v>221</v>
      </c>
      <c r="D32" s="2968">
        <f t="shared" si="9"/>
        <v>221</v>
      </c>
      <c r="E32" s="2968">
        <v>373</v>
      </c>
      <c r="F32" s="2969">
        <v>196</v>
      </c>
      <c r="G32" s="3697">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3152</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698">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3153</v>
      </c>
      <c r="B34" s="2976">
        <f t="shared" si="23"/>
        <v>242.95398227588385</v>
      </c>
      <c r="C34" s="2976">
        <f t="shared" si="23"/>
        <v>199.59137053614126</v>
      </c>
      <c r="D34" s="2976">
        <f t="shared" si="9"/>
        <v>199.59137053614126</v>
      </c>
      <c r="E34" s="2976">
        <f t="shared" si="24"/>
        <v>335.92189522342125</v>
      </c>
      <c r="F34" s="2976">
        <f t="shared" si="24"/>
        <v>183.10139991109489</v>
      </c>
      <c r="G34" s="3698">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3154</v>
      </c>
      <c r="B35" s="2976">
        <f t="shared" si="23"/>
        <v>232.06990378821649</v>
      </c>
      <c r="C35" s="2976">
        <f t="shared" si="23"/>
        <v>192.74878854286936</v>
      </c>
      <c r="D35" s="2976">
        <f t="shared" si="9"/>
        <v>192.74878854286936</v>
      </c>
      <c r="E35" s="2976">
        <f t="shared" si="24"/>
        <v>319.71247284992984</v>
      </c>
      <c r="F35" s="2976">
        <f t="shared" si="24"/>
        <v>175.67053622862409</v>
      </c>
      <c r="G35" s="3699">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3155</v>
      </c>
      <c r="B36" s="2968">
        <v>220</v>
      </c>
      <c r="C36" s="2968">
        <v>187</v>
      </c>
      <c r="D36" s="2968">
        <f t="shared" si="9"/>
        <v>187</v>
      </c>
      <c r="E36" s="2968">
        <v>301</v>
      </c>
      <c r="F36" s="2969">
        <v>168</v>
      </c>
      <c r="G36" s="3697">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3156</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698">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3157</v>
      </c>
      <c r="B38" s="2976">
        <f t="shared" si="25"/>
        <v>210.630522469011</v>
      </c>
      <c r="C38" s="2976">
        <f t="shared" si="25"/>
        <v>181.69567812247232</v>
      </c>
      <c r="D38" s="2976">
        <f t="shared" si="9"/>
        <v>181.69567812247232</v>
      </c>
      <c r="E38" s="2976">
        <f t="shared" si="26"/>
        <v>286.13517466736738</v>
      </c>
      <c r="F38" s="2976">
        <f t="shared" si="26"/>
        <v>165.47535084591149</v>
      </c>
      <c r="G38" s="3698">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3158</v>
      </c>
      <c r="B39" s="2976">
        <f t="shared" si="25"/>
        <v>208.83454537875372</v>
      </c>
      <c r="C39" s="2976">
        <f t="shared" si="25"/>
        <v>183.77230517090351</v>
      </c>
      <c r="D39" s="2976">
        <f t="shared" si="9"/>
        <v>183.77230517090351</v>
      </c>
      <c r="E39" s="2976">
        <f t="shared" si="26"/>
        <v>281.10342338870947</v>
      </c>
      <c r="F39" s="2976">
        <f t="shared" si="26"/>
        <v>168.97309388942256</v>
      </c>
      <c r="G39" s="3699">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3159</v>
      </c>
      <c r="B40" s="3010">
        <v>214</v>
      </c>
      <c r="C40" s="3010">
        <v>188</v>
      </c>
      <c r="D40" s="3010">
        <f t="shared" si="9"/>
        <v>188</v>
      </c>
      <c r="E40" s="3010">
        <v>289</v>
      </c>
      <c r="F40" s="3011">
        <v>166</v>
      </c>
      <c r="G40" s="3697">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3160</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698">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3161</v>
      </c>
      <c r="B42" s="2976">
        <f t="shared" si="27"/>
        <v>206.31694671589116</v>
      </c>
      <c r="C42" s="2976">
        <f t="shared" si="27"/>
        <v>183.61041121036101</v>
      </c>
      <c r="D42" s="2976">
        <f t="shared" si="9"/>
        <v>183.61041121036101</v>
      </c>
      <c r="E42" s="2976">
        <f t="shared" si="28"/>
        <v>276.66850301795557</v>
      </c>
      <c r="F42" s="2976">
        <f t="shared" si="28"/>
        <v>165.1360938278614</v>
      </c>
      <c r="G42" s="3698">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3162</v>
      </c>
      <c r="B43" s="3013">
        <f t="shared" si="27"/>
        <v>196.62341248059772</v>
      </c>
      <c r="C43" s="3013">
        <f t="shared" si="27"/>
        <v>170.99125648199012</v>
      </c>
      <c r="D43" s="3013">
        <f t="shared" si="9"/>
        <v>170.99125648199012</v>
      </c>
      <c r="E43" s="3013">
        <f t="shared" si="28"/>
        <v>266.07857570490052</v>
      </c>
      <c r="F43" s="3013">
        <f t="shared" si="28"/>
        <v>154.53499328828505</v>
      </c>
      <c r="G43" s="3699">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3163</v>
      </c>
      <c r="B44" s="2968">
        <v>188</v>
      </c>
      <c r="C44" s="2968">
        <v>165</v>
      </c>
      <c r="D44" s="2968">
        <f t="shared" si="9"/>
        <v>165</v>
      </c>
      <c r="E44" s="2968">
        <v>254</v>
      </c>
      <c r="F44" s="2969">
        <v>148</v>
      </c>
      <c r="G44" s="3697">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3164</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698">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3165</v>
      </c>
      <c r="B46" s="2976">
        <f t="shared" si="31"/>
        <v>168.82017748715555</v>
      </c>
      <c r="C46" s="2976">
        <f t="shared" si="31"/>
        <v>148.06267029972753</v>
      </c>
      <c r="D46" s="2976">
        <f t="shared" si="9"/>
        <v>148.06267029972753</v>
      </c>
      <c r="E46" s="2976">
        <f t="shared" si="32"/>
        <v>216.46288379323747</v>
      </c>
      <c r="F46" s="2976">
        <f t="shared" si="32"/>
        <v>134.23529411764704</v>
      </c>
      <c r="G46" s="3698">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3166</v>
      </c>
      <c r="B47" s="2976">
        <f t="shared" si="31"/>
        <v>163.84913591779542</v>
      </c>
      <c r="C47" s="2976">
        <f t="shared" si="31"/>
        <v>145.0283378746594</v>
      </c>
      <c r="D47" s="2976">
        <f t="shared" si="9"/>
        <v>145.0283378746594</v>
      </c>
      <c r="E47" s="2976">
        <f t="shared" si="32"/>
        <v>204.95180722891567</v>
      </c>
      <c r="F47" s="2976">
        <f t="shared" si="32"/>
        <v>125.95920303605313</v>
      </c>
      <c r="G47" s="3699">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3167</v>
      </c>
      <c r="B48" s="2989">
        <v>159</v>
      </c>
      <c r="C48" s="2989">
        <v>141</v>
      </c>
      <c r="D48" s="2989">
        <f t="shared" si="9"/>
        <v>141</v>
      </c>
      <c r="E48" s="2989">
        <v>195</v>
      </c>
      <c r="F48" s="2990">
        <v>122</v>
      </c>
      <c r="G48" s="3697">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3168</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698">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3169</v>
      </c>
      <c r="B50" s="2976">
        <f t="shared" si="35"/>
        <v>146.57412060301507</v>
      </c>
      <c r="C50" s="2976">
        <f t="shared" si="35"/>
        <v>136.46831955922866</v>
      </c>
      <c r="D50" s="2976">
        <f t="shared" si="9"/>
        <v>136.46831955922866</v>
      </c>
      <c r="E50" s="2976">
        <f t="shared" si="36"/>
        <v>166.73864894795128</v>
      </c>
      <c r="F50" s="2976">
        <f t="shared" si="36"/>
        <v>115.05882352941177</v>
      </c>
      <c r="G50" s="3698">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3170</v>
      </c>
      <c r="B51" s="2976">
        <f t="shared" si="35"/>
        <v>144.04145728643215</v>
      </c>
      <c r="C51" s="2976">
        <f t="shared" si="35"/>
        <v>136.12396694214877</v>
      </c>
      <c r="D51" s="2976">
        <f t="shared" si="9"/>
        <v>136.12396694214877</v>
      </c>
      <c r="E51" s="2976">
        <f t="shared" si="36"/>
        <v>158.32225913621264</v>
      </c>
      <c r="F51" s="2976">
        <f t="shared" si="36"/>
        <v>114.04278074866311</v>
      </c>
      <c r="G51" s="3699">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3171</v>
      </c>
      <c r="B52" s="2989">
        <v>138</v>
      </c>
      <c r="C52" s="2989">
        <v>131</v>
      </c>
      <c r="D52" s="2989">
        <f t="shared" si="9"/>
        <v>131</v>
      </c>
      <c r="E52" s="2989">
        <v>155</v>
      </c>
      <c r="F52" s="2990">
        <v>114</v>
      </c>
      <c r="G52" s="3697">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3172</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698">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3173</v>
      </c>
      <c r="B54" s="2976">
        <f t="shared" si="39"/>
        <v>124.29032258064517</v>
      </c>
      <c r="C54" s="2976">
        <f t="shared" si="39"/>
        <v>123.8968609865471</v>
      </c>
      <c r="D54" s="2976">
        <f t="shared" si="9"/>
        <v>123.8968609865471</v>
      </c>
      <c r="E54" s="2976">
        <f t="shared" si="40"/>
        <v>138.00507614213197</v>
      </c>
      <c r="F54" s="2976">
        <f t="shared" si="40"/>
        <v>107.96106557377048</v>
      </c>
      <c r="G54" s="3698">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3174</v>
      </c>
      <c r="B55" s="2976">
        <f t="shared" si="39"/>
        <v>122.57204301075269</v>
      </c>
      <c r="C55" s="2976">
        <f t="shared" si="39"/>
        <v>123.4932735426009</v>
      </c>
      <c r="D55" s="2976">
        <f t="shared" si="9"/>
        <v>123.4932735426009</v>
      </c>
      <c r="E55" s="2976">
        <f t="shared" si="40"/>
        <v>129.82233502538071</v>
      </c>
      <c r="F55" s="2976">
        <f t="shared" si="40"/>
        <v>107.39446721311475</v>
      </c>
      <c r="G55" s="3699">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3175</v>
      </c>
      <c r="B56" s="3010">
        <v>121</v>
      </c>
      <c r="C56" s="3010">
        <v>122</v>
      </c>
      <c r="D56" s="3010">
        <f t="shared" si="9"/>
        <v>122</v>
      </c>
      <c r="E56" s="3010">
        <v>124</v>
      </c>
      <c r="F56" s="3011">
        <v>107</v>
      </c>
      <c r="G56" s="3697">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3176</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698">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3177</v>
      </c>
      <c r="B58" s="2976">
        <f t="shared" si="43"/>
        <v>116.99099099099099</v>
      </c>
      <c r="C58" s="2976">
        <f t="shared" si="43"/>
        <v>118.84848484848486</v>
      </c>
      <c r="D58" s="2976">
        <f t="shared" si="9"/>
        <v>118.84848484848486</v>
      </c>
      <c r="E58" s="2976">
        <f t="shared" si="44"/>
        <v>117.60960960960961</v>
      </c>
      <c r="F58" s="2976">
        <f t="shared" si="44"/>
        <v>104</v>
      </c>
      <c r="G58" s="3698">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3178</v>
      </c>
      <c r="B59" s="3013">
        <f t="shared" si="43"/>
        <v>112.48648648648648</v>
      </c>
      <c r="C59" s="3013">
        <f t="shared" si="43"/>
        <v>115.21212121212122</v>
      </c>
      <c r="D59" s="3013">
        <f t="shared" si="9"/>
        <v>115.21212121212122</v>
      </c>
      <c r="E59" s="3013">
        <f t="shared" si="44"/>
        <v>110.4024024024024</v>
      </c>
      <c r="F59" s="3013">
        <f t="shared" si="44"/>
        <v>104</v>
      </c>
      <c r="G59" s="3699">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3179</v>
      </c>
      <c r="B60" s="3031">
        <v>111</v>
      </c>
      <c r="C60" s="3031">
        <v>114</v>
      </c>
      <c r="D60" s="3031">
        <f t="shared" si="9"/>
        <v>114</v>
      </c>
      <c r="E60" s="3031">
        <v>108</v>
      </c>
      <c r="F60" s="3032">
        <v>104</v>
      </c>
      <c r="G60" s="3697">
        <v>2003</v>
      </c>
      <c r="H60" s="3021">
        <v>4</v>
      </c>
      <c r="I60" s="3033"/>
      <c r="J60" s="3033"/>
      <c r="K60" s="3033"/>
      <c r="L60" s="3033"/>
      <c r="N60" s="3034"/>
      <c r="O60" s="3033"/>
      <c r="P60" s="3033"/>
      <c r="Q60" s="3033"/>
      <c r="S60" s="3034"/>
      <c r="T60" s="3033"/>
      <c r="U60" s="3033"/>
      <c r="V60" s="3033"/>
      <c r="X60" s="3025"/>
      <c r="Y60" s="3025"/>
      <c r="Z60" s="3025"/>
    </row>
    <row r="61" spans="1:26">
      <c r="A61" s="2955" t="s">
        <v>3180</v>
      </c>
      <c r="B61" s="3035">
        <f t="shared" ref="B61:C63" si="45">B62+(B$60-B$64)/4</f>
        <v>109.75</v>
      </c>
      <c r="C61" s="3035">
        <f t="shared" si="45"/>
        <v>112.25</v>
      </c>
      <c r="D61" s="3035">
        <f t="shared" si="9"/>
        <v>112.25</v>
      </c>
      <c r="E61" s="3035">
        <f t="shared" ref="E61:F63" si="46">E62+(E$60-E$64)/4</f>
        <v>107.25</v>
      </c>
      <c r="F61" s="3035">
        <f t="shared" si="46"/>
        <v>103.5</v>
      </c>
      <c r="G61" s="3698">
        <v>2003</v>
      </c>
      <c r="H61" s="2986">
        <v>3</v>
      </c>
      <c r="I61" s="3033"/>
      <c r="J61" s="3033"/>
      <c r="K61" s="3033"/>
      <c r="L61" s="3033"/>
      <c r="X61" s="3025"/>
      <c r="Y61" s="3025"/>
      <c r="Z61" s="3025"/>
    </row>
    <row r="62" spans="1:26">
      <c r="A62" s="2955" t="s">
        <v>3181</v>
      </c>
      <c r="B62" s="3035">
        <f t="shared" si="45"/>
        <v>108.5</v>
      </c>
      <c r="C62" s="3035">
        <f t="shared" si="45"/>
        <v>110.5</v>
      </c>
      <c r="D62" s="3035">
        <f t="shared" si="9"/>
        <v>110.5</v>
      </c>
      <c r="E62" s="3035">
        <f t="shared" si="46"/>
        <v>106.5</v>
      </c>
      <c r="F62" s="3035">
        <f t="shared" si="46"/>
        <v>103</v>
      </c>
      <c r="G62" s="3698">
        <v>2003</v>
      </c>
      <c r="H62" s="2961">
        <v>2</v>
      </c>
      <c r="I62" s="3033"/>
      <c r="J62" s="3033"/>
      <c r="K62" s="3033"/>
      <c r="L62" s="3033"/>
      <c r="X62" s="3025"/>
      <c r="Y62" s="3025"/>
      <c r="Z62" s="3025"/>
    </row>
    <row r="63" spans="1:26" ht="13.5" thickBot="1">
      <c r="A63" s="2955" t="s">
        <v>3182</v>
      </c>
      <c r="B63" s="3035">
        <f t="shared" si="45"/>
        <v>107.25</v>
      </c>
      <c r="C63" s="3035">
        <f t="shared" si="45"/>
        <v>108.75</v>
      </c>
      <c r="D63" s="3035">
        <f t="shared" si="9"/>
        <v>108.75</v>
      </c>
      <c r="E63" s="3035">
        <f t="shared" si="46"/>
        <v>105.75</v>
      </c>
      <c r="F63" s="3035">
        <f t="shared" si="46"/>
        <v>102.5</v>
      </c>
      <c r="G63" s="3699">
        <v>2003</v>
      </c>
      <c r="H63" s="3036">
        <v>1</v>
      </c>
      <c r="I63" s="3033"/>
      <c r="J63" s="3033"/>
      <c r="K63" s="3033"/>
      <c r="L63" s="3033"/>
      <c r="S63" s="2971"/>
      <c r="T63" s="2972"/>
      <c r="U63" s="2972"/>
      <c r="X63" s="3025"/>
      <c r="Y63" s="3025"/>
      <c r="Z63" s="3025"/>
    </row>
    <row r="64" spans="1:26" ht="13.5" thickBot="1">
      <c r="A64" s="2955" t="s">
        <v>3183</v>
      </c>
      <c r="B64" s="3037">
        <v>106</v>
      </c>
      <c r="C64" s="3037">
        <v>107</v>
      </c>
      <c r="D64" s="3037">
        <f t="shared" si="9"/>
        <v>107</v>
      </c>
      <c r="E64" s="3037">
        <v>105</v>
      </c>
      <c r="F64" s="3038">
        <v>102</v>
      </c>
      <c r="G64" s="3697">
        <v>2002</v>
      </c>
      <c r="H64" s="2981">
        <v>4</v>
      </c>
      <c r="I64" s="3033"/>
      <c r="J64" s="3033"/>
      <c r="K64" s="3033"/>
      <c r="L64" s="3033"/>
      <c r="N64" s="3034"/>
      <c r="O64" s="3033"/>
      <c r="P64" s="3033"/>
      <c r="Q64" s="3033"/>
      <c r="S64" s="3034"/>
      <c r="T64" s="3033"/>
      <c r="U64" s="3033"/>
      <c r="V64" s="3033"/>
      <c r="X64" s="3025"/>
      <c r="Y64" s="3025"/>
      <c r="Z64" s="3025"/>
    </row>
    <row r="65" spans="1:26">
      <c r="A65" s="2955" t="s">
        <v>3184</v>
      </c>
      <c r="B65" s="3035">
        <f t="shared" ref="B65:C67" si="47">B66+(B$64-B$68)/4</f>
        <v>105</v>
      </c>
      <c r="C65" s="3035">
        <f t="shared" si="47"/>
        <v>106</v>
      </c>
      <c r="D65" s="3035">
        <f t="shared" si="9"/>
        <v>106</v>
      </c>
      <c r="E65" s="3035">
        <f t="shared" ref="E65:F67" si="48">E66+(E$64-E$68)/4</f>
        <v>104.5</v>
      </c>
      <c r="F65" s="3035">
        <f t="shared" si="48"/>
        <v>101.5</v>
      </c>
      <c r="G65" s="3698">
        <v>2002</v>
      </c>
      <c r="H65" s="2986">
        <v>3</v>
      </c>
      <c r="I65" s="3033"/>
      <c r="J65" s="3033"/>
      <c r="K65" s="3033"/>
      <c r="L65" s="3033"/>
      <c r="X65" s="3025"/>
      <c r="Y65" s="3025"/>
      <c r="Z65" s="3025"/>
    </row>
    <row r="66" spans="1:26">
      <c r="A66" s="2955" t="s">
        <v>3185</v>
      </c>
      <c r="B66" s="3035">
        <f t="shared" si="47"/>
        <v>104</v>
      </c>
      <c r="C66" s="3035">
        <f t="shared" si="47"/>
        <v>105</v>
      </c>
      <c r="D66" s="3035">
        <f t="shared" si="9"/>
        <v>105</v>
      </c>
      <c r="E66" s="3035">
        <f t="shared" si="48"/>
        <v>104</v>
      </c>
      <c r="F66" s="3035">
        <f t="shared" si="48"/>
        <v>101</v>
      </c>
      <c r="G66" s="3698">
        <v>2002</v>
      </c>
      <c r="H66" s="2961">
        <v>2</v>
      </c>
      <c r="I66" s="3033"/>
      <c r="J66" s="3033"/>
      <c r="K66" s="3033"/>
      <c r="L66" s="3033"/>
      <c r="X66" s="3025"/>
      <c r="Y66" s="3025"/>
      <c r="Z66" s="3025"/>
    </row>
    <row r="67" spans="1:26" s="2997" customFormat="1" ht="13.5" thickBot="1">
      <c r="A67" s="2993" t="s">
        <v>3186</v>
      </c>
      <c r="B67" s="3039">
        <f t="shared" si="47"/>
        <v>103</v>
      </c>
      <c r="C67" s="3039">
        <f t="shared" si="47"/>
        <v>104</v>
      </c>
      <c r="D67" s="3039">
        <f t="shared" si="9"/>
        <v>104</v>
      </c>
      <c r="E67" s="3039">
        <f t="shared" si="48"/>
        <v>103.5</v>
      </c>
      <c r="F67" s="3039">
        <f t="shared" si="48"/>
        <v>100.5</v>
      </c>
      <c r="G67" s="3699">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3187</v>
      </c>
      <c r="G70" s="3049"/>
      <c r="N70" s="3049"/>
      <c r="S70" s="3049"/>
    </row>
    <row r="71" spans="1:26" s="3048" customFormat="1">
      <c r="A71" s="3048" t="s">
        <v>3188</v>
      </c>
      <c r="G71" s="3049"/>
      <c r="N71" s="3049"/>
      <c r="S71" s="3049"/>
    </row>
    <row r="72" spans="1:26" s="3048" customFormat="1">
      <c r="A72" s="3048" t="s">
        <v>3189</v>
      </c>
      <c r="G72" s="3049"/>
      <c r="I72" s="3050"/>
      <c r="J72" s="3050"/>
      <c r="K72" s="3050"/>
      <c r="L72" s="3050"/>
      <c r="N72" s="3051"/>
      <c r="O72" s="3050"/>
      <c r="P72" s="3050"/>
      <c r="Q72" s="3050"/>
      <c r="S72" s="3051"/>
      <c r="T72" s="3050"/>
      <c r="U72" s="3050"/>
      <c r="V72" s="3050"/>
    </row>
    <row r="73" spans="1:26" s="3048" customFormat="1">
      <c r="A73" s="3048" t="s">
        <v>3190</v>
      </c>
      <c r="G73" s="3049"/>
      <c r="N73" s="3049"/>
      <c r="S73" s="3049"/>
    </row>
    <row r="80" spans="1:26" ht="13.5" thickBot="1"/>
    <row r="81" spans="14:22" s="2970" customFormat="1">
      <c r="N81" s="2985"/>
      <c r="S81" s="3052" t="s">
        <v>3191</v>
      </c>
      <c r="T81" s="3053" t="s">
        <v>3192</v>
      </c>
      <c r="U81" s="3053" t="s">
        <v>3193</v>
      </c>
      <c r="V81" s="3053" t="s">
        <v>3194</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68" t="s">
        <v>2757</v>
      </c>
      <c r="C1" s="3710" t="s">
        <v>2758</v>
      </c>
      <c r="D1" s="3711"/>
      <c r="E1" s="3711"/>
      <c r="F1" s="3711"/>
      <c r="G1" s="3711"/>
      <c r="H1" s="3711"/>
      <c r="I1" s="3711"/>
      <c r="J1" s="3711"/>
      <c r="K1" s="3711"/>
      <c r="L1" s="3711"/>
      <c r="M1" s="3711"/>
      <c r="N1" s="3711"/>
      <c r="O1" s="3711"/>
      <c r="P1" s="3711"/>
      <c r="Q1" s="3711"/>
      <c r="R1" s="3711"/>
      <c r="S1" s="3712"/>
      <c r="T1" s="2468" t="s">
        <v>2759</v>
      </c>
    </row>
    <row r="2" spans="1:45" s="1122" customFormat="1" ht="25.5">
      <c r="A2" s="2469"/>
      <c r="B2" s="1118" t="s">
        <v>2760</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0"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1"/>
      <c r="B3" s="1123"/>
      <c r="C3" s="1124">
        <v>0</v>
      </c>
      <c r="D3" s="1125">
        <v>50</v>
      </c>
      <c r="E3" s="1125">
        <v>100</v>
      </c>
      <c r="F3" s="3250"/>
      <c r="G3" s="3250"/>
      <c r="H3" s="3250"/>
      <c r="I3" s="3250"/>
      <c r="J3" s="3250"/>
      <c r="K3" s="3250"/>
      <c r="L3" s="3251"/>
      <c r="M3" s="3252"/>
      <c r="N3" s="3252"/>
      <c r="O3" s="3250"/>
      <c r="P3" s="3250"/>
      <c r="Q3" s="3250"/>
      <c r="R3" s="3250"/>
      <c r="S3" s="3253"/>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79"/>
      <c r="B5" s="2480" t="s">
        <v>2761</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79"/>
      <c r="B7" s="2225" t="s">
        <v>2762</v>
      </c>
      <c r="C7" s="2232"/>
      <c r="D7" s="2226"/>
      <c r="E7" s="2226"/>
      <c r="F7" s="3262"/>
      <c r="G7" s="3262"/>
      <c r="H7" s="3262"/>
      <c r="I7" s="3262"/>
      <c r="J7" s="3262"/>
      <c r="K7" s="3262"/>
      <c r="L7" s="3262"/>
      <c r="M7" s="3263"/>
      <c r="N7" s="3264"/>
      <c r="O7" s="3265"/>
      <c r="P7" s="3266"/>
      <c r="Q7" s="3267"/>
      <c r="R7" s="3268"/>
      <c r="S7" s="3269"/>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79"/>
      <c r="B9" s="2225" t="s">
        <v>2763</v>
      </c>
      <c r="C9" s="2232">
        <v>311</v>
      </c>
      <c r="D9" s="2226">
        <v>312</v>
      </c>
      <c r="E9" s="2226">
        <v>313</v>
      </c>
      <c r="F9" s="3262">
        <v>314</v>
      </c>
      <c r="G9" s="3262">
        <v>315</v>
      </c>
      <c r="H9" s="3262"/>
      <c r="I9" s="3262"/>
      <c r="J9" s="3262"/>
      <c r="K9" s="3262"/>
      <c r="L9" s="3270"/>
      <c r="M9" s="3263"/>
      <c r="N9" s="3264"/>
      <c r="O9" s="3265"/>
      <c r="P9" s="3266"/>
      <c r="Q9" s="3267"/>
      <c r="R9" s="3268"/>
      <c r="S9" s="3269"/>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79"/>
      <c r="B11" s="2480" t="s">
        <v>2764</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79"/>
      <c r="B13" s="2480" t="s">
        <v>2765</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79"/>
      <c r="B15" s="2480" t="s">
        <v>2766</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2" t="s">
        <v>2767</v>
      </c>
      <c r="B17" s="2513" t="s">
        <v>2768</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91"/>
      <c r="AS17" s="1491"/>
    </row>
    <row r="18" spans="1:45" s="1122"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749</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750</v>
      </c>
      <c r="B21" s="678">
        <f>R22</f>
        <v>10000</v>
      </c>
      <c r="C21" s="505"/>
      <c r="D21" s="505"/>
      <c r="E21" s="505"/>
      <c r="F21" s="505"/>
      <c r="G21" s="505"/>
      <c r="H21" s="505"/>
      <c r="I21" s="505"/>
      <c r="J21" s="505"/>
      <c r="K21" s="505"/>
      <c r="L21" s="505"/>
      <c r="M21" s="505"/>
      <c r="N21" s="505"/>
      <c r="O21" s="505"/>
      <c r="P21" s="505"/>
      <c r="Q21" s="505"/>
      <c r="R21" s="1422"/>
      <c r="S21" s="474"/>
    </row>
    <row r="22" spans="1:45">
      <c r="A22" s="703" t="s">
        <v>751</v>
      </c>
      <c r="B22" s="319">
        <f>SUM(B24:B524)</f>
        <v>100</v>
      </c>
      <c r="C22" s="3707" t="s">
        <v>336</v>
      </c>
      <c r="D22" s="3708"/>
      <c r="E22" s="3708"/>
      <c r="F22" s="3708"/>
      <c r="G22" s="3708"/>
      <c r="H22" s="3708"/>
      <c r="I22" s="3708"/>
      <c r="J22" s="3708"/>
      <c r="K22" s="3708"/>
      <c r="L22" s="3708"/>
      <c r="M22" s="3708"/>
      <c r="N22" s="3708"/>
      <c r="O22" s="3708"/>
      <c r="P22" s="3708"/>
      <c r="Q22" s="3709"/>
      <c r="R22" s="1131">
        <f>ROUND(S22*10000/B22,0)</f>
        <v>10000</v>
      </c>
      <c r="S22" s="319">
        <f>SUM(S24:S524)</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2" t="s">
        <v>755</v>
      </c>
      <c r="S23" s="305" t="s">
        <v>756</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757</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1059</v>
      </c>
      <c r="B1" s="578"/>
      <c r="C1" s="579"/>
      <c r="D1" s="579"/>
      <c r="E1" s="579"/>
      <c r="F1" s="579"/>
      <c r="G1" s="580"/>
    </row>
    <row r="2" spans="1:7" s="581" customFormat="1" ht="18" customHeight="1">
      <c r="A2" s="582" t="s">
        <v>1060</v>
      </c>
      <c r="B2" s="583">
        <f ca="1">C52</f>
        <v>35503</v>
      </c>
      <c r="C2" s="85" t="s">
        <v>1109</v>
      </c>
      <c r="D2" s="580"/>
      <c r="E2" s="580"/>
      <c r="F2" s="580"/>
      <c r="G2" s="580"/>
    </row>
    <row r="3" spans="1:7" s="581" customFormat="1" ht="18" customHeight="1" thickBot="1">
      <c r="A3" s="584" t="s">
        <v>1061</v>
      </c>
      <c r="B3" s="585">
        <f ca="1">ROUND(B2*10000/'数据-汇总表'!E3,0)</f>
        <v>31208</v>
      </c>
      <c r="C3" s="85" t="s">
        <v>1110</v>
      </c>
      <c r="D3" s="580"/>
      <c r="E3" s="580"/>
      <c r="F3" s="580"/>
      <c r="G3" s="580"/>
    </row>
    <row r="4" spans="1:7" s="589" customFormat="1" ht="15.75">
      <c r="A4" s="586" t="s">
        <v>1062</v>
      </c>
      <c r="B4" s="587"/>
      <c r="C4" s="587"/>
      <c r="D4" s="587"/>
      <c r="E4" s="587"/>
      <c r="F4" s="587"/>
      <c r="G4" s="588"/>
    </row>
    <row r="5" spans="1:7" s="595" customFormat="1" ht="13.5" customHeight="1">
      <c r="A5" s="636" t="s">
        <v>2912</v>
      </c>
      <c r="B5" s="591" t="s">
        <v>1063</v>
      </c>
      <c r="C5" s="592">
        <f>C6+C7+C8</f>
        <v>20610</v>
      </c>
      <c r="D5" s="592" t="s">
        <v>1064</v>
      </c>
      <c r="E5" s="593" t="s">
        <v>1065</v>
      </c>
      <c r="F5" s="593" t="s">
        <v>1066</v>
      </c>
      <c r="G5" s="594"/>
    </row>
    <row r="6" spans="1:7" s="595" customFormat="1" ht="13.5" customHeight="1">
      <c r="A6" s="1825" t="s">
        <v>2281</v>
      </c>
      <c r="B6" s="596" t="s">
        <v>1067</v>
      </c>
      <c r="C6" s="597">
        <v>20000</v>
      </c>
      <c r="D6" s="598"/>
      <c r="E6" s="599"/>
      <c r="F6" s="599"/>
      <c r="G6" s="600"/>
    </row>
    <row r="7" spans="1:7" s="595" customFormat="1" ht="13.5" customHeight="1">
      <c r="A7" s="1825" t="s">
        <v>2282</v>
      </c>
      <c r="B7" s="596" t="s">
        <v>516</v>
      </c>
      <c r="C7" s="601">
        <f>ROUND(C6*F7,0)</f>
        <v>610</v>
      </c>
      <c r="D7" s="601"/>
      <c r="E7" s="599"/>
      <c r="F7" s="602">
        <f>'数据-取费表'!B48+'数据-取费表'!B49</f>
        <v>3.0499999999999999E-2</v>
      </c>
      <c r="G7" s="600"/>
    </row>
    <row r="8" spans="1:7" s="604" customFormat="1">
      <c r="A8" s="1825" t="s">
        <v>2283</v>
      </c>
      <c r="B8" s="596" t="s">
        <v>1068</v>
      </c>
      <c r="C8" s="601" t="str">
        <f>IF(G8="已包含在土地购买价格中","0",'数据-取费表'!B29)</f>
        <v>0</v>
      </c>
      <c r="D8" s="603"/>
      <c r="E8" s="601"/>
      <c r="F8" s="602"/>
      <c r="G8" s="84" t="s">
        <v>3091</v>
      </c>
    </row>
    <row r="9" spans="1:7" s="595" customFormat="1" ht="13.5" customHeight="1">
      <c r="A9" s="1826" t="s">
        <v>2290</v>
      </c>
      <c r="B9" s="605" t="s">
        <v>1069</v>
      </c>
      <c r="C9" s="606">
        <f>ROUND(D9*E9/10000,0)</f>
        <v>0</v>
      </c>
      <c r="D9" s="1930">
        <f>'数据-汇总表'!E5</f>
        <v>0</v>
      </c>
      <c r="E9" s="606">
        <f>'数据-取费表'!B27</f>
        <v>160</v>
      </c>
      <c r="F9" s="602"/>
      <c r="G9" s="607"/>
    </row>
    <row r="10" spans="1:7" s="595" customFormat="1" ht="13.5" customHeight="1">
      <c r="A10" s="1826" t="s">
        <v>2291</v>
      </c>
      <c r="B10" s="605" t="s">
        <v>1070</v>
      </c>
      <c r="C10" s="606">
        <f>ROUND(D10*E10/10000,0)</f>
        <v>228</v>
      </c>
      <c r="D10" s="1930">
        <f>'数据-汇总表'!E6</f>
        <v>11376.31</v>
      </c>
      <c r="E10" s="606">
        <f>'数据-取费表'!B28</f>
        <v>200</v>
      </c>
      <c r="F10" s="602"/>
      <c r="G10" s="607"/>
    </row>
    <row r="11" spans="1:7" s="595" customFormat="1" ht="13.5" hidden="1" customHeight="1">
      <c r="A11" s="608" t="s">
        <v>45</v>
      </c>
      <c r="B11" s="596" t="s">
        <v>1071</v>
      </c>
      <c r="C11" s="592"/>
      <c r="D11" s="1932"/>
      <c r="E11" s="599"/>
      <c r="F11" s="599"/>
      <c r="G11" s="600"/>
    </row>
    <row r="12" spans="1:7" s="595" customFormat="1" ht="13.5" hidden="1" customHeight="1">
      <c r="A12" s="608" t="s">
        <v>46</v>
      </c>
      <c r="B12" s="596" t="s">
        <v>1072</v>
      </c>
      <c r="C12" s="592">
        <v>0</v>
      </c>
      <c r="D12" s="1932"/>
      <c r="E12" s="609"/>
      <c r="F12" s="602">
        <v>3.0499999999999999E-2</v>
      </c>
      <c r="G12" s="600"/>
    </row>
    <row r="13" spans="1:7" s="595" customFormat="1" ht="13.5" hidden="1" customHeight="1">
      <c r="A13" s="608" t="s">
        <v>47</v>
      </c>
      <c r="B13" s="596" t="s">
        <v>1073</v>
      </c>
      <c r="C13" s="592"/>
      <c r="D13" s="1932"/>
      <c r="E13" s="599"/>
      <c r="F13" s="599"/>
      <c r="G13" s="600"/>
    </row>
    <row r="14" spans="1:7" s="595" customFormat="1" ht="13.5" hidden="1" customHeight="1">
      <c r="A14" s="608" t="s">
        <v>48</v>
      </c>
      <c r="B14" s="596" t="s">
        <v>1068</v>
      </c>
      <c r="C14" s="592"/>
      <c r="D14" s="1932"/>
      <c r="E14" s="599"/>
      <c r="F14" s="599"/>
      <c r="G14" s="600" t="s">
        <v>1074</v>
      </c>
    </row>
    <row r="15" spans="1:7" s="595" customFormat="1" ht="13.5" hidden="1" customHeight="1">
      <c r="A15" s="608" t="s">
        <v>49</v>
      </c>
      <c r="B15" s="596" t="s">
        <v>1075</v>
      </c>
      <c r="C15" s="601"/>
      <c r="D15" s="1932"/>
      <c r="E15" s="599"/>
      <c r="F15" s="599"/>
      <c r="G15" s="600" t="s">
        <v>1076</v>
      </c>
    </row>
    <row r="16" spans="1:7"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2913</v>
      </c>
      <c r="B19" s="591" t="s">
        <v>1087</v>
      </c>
      <c r="C19" s="592">
        <f>IF(G19="已包含在土地取得成本中","0",ROUND(D19*E19/10000,0))</f>
        <v>228</v>
      </c>
      <c r="D19" s="1934">
        <f>'数据-汇总表'!E3</f>
        <v>11376.31</v>
      </c>
      <c r="E19" s="592">
        <f>'数据-取费表'!B31</f>
        <v>200</v>
      </c>
      <c r="F19" s="612"/>
      <c r="G19" s="84" t="s">
        <v>2935</v>
      </c>
    </row>
    <row r="20" spans="1:7" s="595" customFormat="1" ht="13.5" customHeight="1">
      <c r="A20" s="1824" t="s">
        <v>2915</v>
      </c>
      <c r="B20" s="591" t="s">
        <v>1080</v>
      </c>
      <c r="C20" s="613">
        <f>ROUND((C5+C19)*F20,0)</f>
        <v>417</v>
      </c>
      <c r="D20" s="613"/>
      <c r="E20" s="613"/>
      <c r="F20" s="614">
        <f>'数据-取费表'!B37</f>
        <v>0.02</v>
      </c>
      <c r="G20" s="2655" t="s">
        <v>2926</v>
      </c>
    </row>
    <row r="21" spans="1:7" s="595" customFormat="1" ht="13.5" customHeight="1">
      <c r="A21" s="1824" t="s">
        <v>2917</v>
      </c>
      <c r="B21" s="591" t="s">
        <v>1081</v>
      </c>
      <c r="C21" s="616">
        <f>F21</f>
        <v>0.03</v>
      </c>
      <c r="D21" s="617" t="s">
        <v>1102</v>
      </c>
      <c r="E21" s="613"/>
      <c r="F21" s="614">
        <f>'数据-取费表'!B38</f>
        <v>0.03</v>
      </c>
      <c r="G21" s="615" t="s">
        <v>1082</v>
      </c>
    </row>
    <row r="22" spans="1:7" s="595" customFormat="1" ht="13.5" customHeight="1">
      <c r="A22" s="1824" t="s">
        <v>2276</v>
      </c>
      <c r="B22" s="591" t="s">
        <v>1083</v>
      </c>
      <c r="C22" s="2735">
        <f ca="1">ROUND(SUM(C23:C25),0)</f>
        <v>2046</v>
      </c>
      <c r="D22" s="616">
        <f ca="1">C26</f>
        <v>1.4E-3</v>
      </c>
      <c r="E22" s="617" t="s">
        <v>1102</v>
      </c>
      <c r="F22" s="618">
        <f ca="1">'数据-取费表'!B40</f>
        <v>4.7500000000000001E-2</v>
      </c>
      <c r="G22" s="2655" t="str">
        <f>IF('数据-取费表'!B22&lt;=1,"单利计息","复利计息")</f>
        <v>复利计息</v>
      </c>
    </row>
    <row r="23" spans="1:7" s="595" customFormat="1" ht="13.5" customHeight="1">
      <c r="A23" s="1827" t="s">
        <v>2284</v>
      </c>
      <c r="B23" s="596" t="s">
        <v>2919</v>
      </c>
      <c r="C23" s="2736">
        <f ca="1">ROUND(IF('数据-取费表'!B22&lt;=1,C5*F22*'数据-取费表'!B23,C5*(POWER((1+F22),'数据-取费表'!B23)-1)),0)</f>
        <v>2004</v>
      </c>
      <c r="D23" s="619"/>
      <c r="E23" s="619"/>
      <c r="F23" s="620"/>
      <c r="G23" s="621" t="s">
        <v>1084</v>
      </c>
    </row>
    <row r="24" spans="1:7" s="595" customFormat="1" ht="13.5" customHeight="1">
      <c r="A24" s="1827" t="s">
        <v>2282</v>
      </c>
      <c r="B24" s="596" t="s">
        <v>2914</v>
      </c>
      <c r="C24" s="2736">
        <f ca="1">ROUND(IF('数据-取费表'!B22&lt;=1,C19*F22*('数据-取费表'!B19/2+'数据-取费表'!B21),C19*(POWER((1+F22),('数据-取费表'!B19/2+'数据-取费表'!B21))-1)),0)</f>
        <v>22</v>
      </c>
      <c r="D24" s="619"/>
      <c r="E24" s="619"/>
      <c r="F24" s="620"/>
      <c r="G24" s="621" t="s">
        <v>1085</v>
      </c>
    </row>
    <row r="25" spans="1:7" s="595" customFormat="1" ht="24">
      <c r="A25" s="1827" t="s">
        <v>2283</v>
      </c>
      <c r="B25" s="596" t="s">
        <v>2916</v>
      </c>
      <c r="C25" s="2736">
        <f ca="1">ROUND(IF('数据-取费表'!B22&lt;=1,C20*F22*'数据-取费表'!B23/2,C20*(POWER((1+F22),'数据-取费表'!B23/2)-1)),0)</f>
        <v>20</v>
      </c>
      <c r="D25" s="619"/>
      <c r="E25" s="622"/>
      <c r="F25" s="620"/>
      <c r="G25" s="623" t="s">
        <v>1086</v>
      </c>
    </row>
    <row r="26" spans="1:7" s="595" customFormat="1">
      <c r="A26" s="1827" t="s">
        <v>2285</v>
      </c>
      <c r="B26" s="596" t="s">
        <v>2918</v>
      </c>
      <c r="C26" s="619">
        <f ca="1">ROUND(IF('数据-取费表'!B22&lt;=1,F21*F22*'数据-取费表'!B23/2,F21*(POWER((1+F22),'数据-取费表'!B23/2)-1)),4)</f>
        <v>1.4E-3</v>
      </c>
      <c r="D26" s="619"/>
      <c r="E26" s="622"/>
      <c r="F26" s="620"/>
      <c r="G26" s="624"/>
    </row>
    <row r="27" spans="1:7" s="595" customFormat="1" ht="24.75">
      <c r="A27" s="1824" t="s">
        <v>2277</v>
      </c>
      <c r="B27" s="625" t="s">
        <v>1088</v>
      </c>
      <c r="C27" s="626">
        <f>C28</f>
        <v>3401</v>
      </c>
      <c r="D27" s="616">
        <f>C29</f>
        <v>4.7999999999999996E-3</v>
      </c>
      <c r="E27" s="617" t="s">
        <v>1102</v>
      </c>
      <c r="F27" s="627">
        <f>'数据-取费表'!Q16</f>
        <v>0.16</v>
      </c>
      <c r="G27" s="628" t="s">
        <v>2927</v>
      </c>
    </row>
    <row r="28" spans="1:7" s="595" customFormat="1" ht="13.5" customHeight="1">
      <c r="A28" s="1827" t="s">
        <v>2284</v>
      </c>
      <c r="B28" s="629" t="s">
        <v>2920</v>
      </c>
      <c r="C28" s="630">
        <f>ROUND((C5+C19+C20)*F27*'数据-取费表'!B21/'数据-取费表'!B20,0)</f>
        <v>3401</v>
      </c>
      <c r="D28" s="616"/>
      <c r="E28" s="617"/>
      <c r="F28" s="627"/>
      <c r="G28" s="628"/>
    </row>
    <row r="29" spans="1:7" s="595" customFormat="1" ht="13.5" customHeight="1">
      <c r="A29" s="1827" t="s">
        <v>2282</v>
      </c>
      <c r="B29" s="629" t="s">
        <v>2921</v>
      </c>
      <c r="C29" s="619">
        <f>ROUND(C21*F27*'数据-取费表'!B21/'数据-取费表'!B20,4)</f>
        <v>4.7999999999999996E-3</v>
      </c>
      <c r="D29" s="616"/>
      <c r="E29" s="617"/>
      <c r="F29" s="627"/>
      <c r="G29" s="628"/>
    </row>
    <row r="30" spans="1:7" s="595" customFormat="1" ht="13.5" customHeight="1">
      <c r="A30" s="1824" t="s">
        <v>2278</v>
      </c>
      <c r="B30" s="591" t="s">
        <v>517</v>
      </c>
      <c r="C30" s="616">
        <f>F30</f>
        <v>5.6000000000000001E-2</v>
      </c>
      <c r="D30" s="617" t="s">
        <v>1103</v>
      </c>
      <c r="E30" s="622"/>
      <c r="F30" s="618">
        <f>'数据-取费表'!B41</f>
        <v>5.6000000000000001E-2</v>
      </c>
      <c r="G30" s="615" t="s">
        <v>1089</v>
      </c>
    </row>
    <row r="31" spans="1:7" ht="16.5" customHeight="1">
      <c r="A31" s="590">
        <v>1</v>
      </c>
      <c r="B31" s="591" t="s">
        <v>1104</v>
      </c>
      <c r="C31" s="592">
        <f ca="1">ROUND((C5+C19+C20+C22+C27)/(1-C21-D22-D27-C30/(1+'数据-取费表'!B42)),0)</f>
        <v>29328</v>
      </c>
      <c r="D31" s="611"/>
      <c r="E31" s="592"/>
      <c r="F31" s="631"/>
      <c r="G31" s="615" t="s">
        <v>2928</v>
      </c>
    </row>
    <row r="32" spans="1:7" s="589" customFormat="1" ht="15.75">
      <c r="A32" s="633" t="s">
        <v>1090</v>
      </c>
      <c r="B32" s="634"/>
      <c r="C32" s="634"/>
      <c r="D32" s="634"/>
      <c r="E32" s="634"/>
      <c r="F32" s="634"/>
      <c r="G32" s="635"/>
    </row>
    <row r="33" spans="1:7" s="595" customFormat="1" ht="13.5" customHeight="1">
      <c r="A33" s="636" t="s">
        <v>2272</v>
      </c>
      <c r="B33" s="591" t="s">
        <v>1091</v>
      </c>
      <c r="C33" s="637">
        <f>SUM(C34:C38)</f>
        <v>5187</v>
      </c>
      <c r="D33" s="613"/>
      <c r="E33" s="593"/>
      <c r="F33" s="622"/>
      <c r="G33" s="615"/>
    </row>
    <row r="34" spans="1:7" s="639" customFormat="1" ht="13.5" customHeight="1">
      <c r="A34" s="1827" t="s">
        <v>2284</v>
      </c>
      <c r="B34" s="596" t="s">
        <v>518</v>
      </c>
      <c r="C34" s="601">
        <f>IF(F34=100%,'数据-取费表'!M16-SUMIF('数据-取费表'!C:C,"公共配套",'数据-取费表'!M:M),'数据-取费表'!O16-SUMIF('数据-取费表'!C:C,"公共配套",'数据-取费表'!O:O))</f>
        <v>4746</v>
      </c>
      <c r="D34" s="598"/>
      <c r="E34" s="601"/>
      <c r="F34" s="638">
        <f>IF('数据-取费表'!B24=0,1,'数据-取费表'!N16)</f>
        <v>1</v>
      </c>
      <c r="G34" s="600" t="s">
        <v>1092</v>
      </c>
    </row>
    <row r="35" spans="1:7" ht="13.5" customHeight="1">
      <c r="A35" s="1827" t="s">
        <v>2286</v>
      </c>
      <c r="B35" s="596" t="s">
        <v>519</v>
      </c>
      <c r="C35" s="601">
        <f>ROUND(C34*F35,0)</f>
        <v>142</v>
      </c>
      <c r="D35" s="601"/>
      <c r="E35" s="601"/>
      <c r="F35" s="640">
        <f>'数据-取费表'!B33</f>
        <v>0.03</v>
      </c>
      <c r="G35" s="600" t="s">
        <v>1093</v>
      </c>
    </row>
    <row r="36" spans="1:7" ht="24">
      <c r="A36" s="1827" t="s">
        <v>2287</v>
      </c>
      <c r="B36" s="596" t="s">
        <v>520</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521</v>
      </c>
    </row>
    <row r="37" spans="1:7" s="639" customFormat="1" ht="13.5" customHeight="1">
      <c r="A37" s="1827" t="s">
        <v>2288</v>
      </c>
      <c r="B37" s="596" t="s">
        <v>1094</v>
      </c>
      <c r="C37" s="630">
        <f>ROUND(E37*D37*F34/10000,0)</f>
        <v>228</v>
      </c>
      <c r="D37" s="598">
        <f>'数据-汇总表'!E3</f>
        <v>11376.31</v>
      </c>
      <c r="E37" s="630">
        <f>'数据-取费表'!B35</f>
        <v>200</v>
      </c>
      <c r="F37" s="640"/>
      <c r="G37" s="642" t="s">
        <v>1095</v>
      </c>
    </row>
    <row r="38" spans="1:7" ht="13.5" customHeight="1">
      <c r="A38" s="1827" t="s">
        <v>2289</v>
      </c>
      <c r="B38" s="596" t="s">
        <v>522</v>
      </c>
      <c r="C38" s="601">
        <f>ROUND(C34*F38,0)</f>
        <v>71</v>
      </c>
      <c r="D38" s="601"/>
      <c r="E38" s="601"/>
      <c r="F38" s="640">
        <f>'数据-取费表'!B36</f>
        <v>1.4999999999999999E-2</v>
      </c>
      <c r="G38" s="600" t="s">
        <v>1093</v>
      </c>
    </row>
    <row r="39" spans="1:7" s="595" customFormat="1" ht="13.5" customHeight="1">
      <c r="A39" s="1824" t="s">
        <v>2273</v>
      </c>
      <c r="B39" s="591" t="s">
        <v>1080</v>
      </c>
      <c r="C39" s="613">
        <f>ROUND(C33*F20,0)</f>
        <v>104</v>
      </c>
      <c r="D39" s="613"/>
      <c r="E39" s="613"/>
      <c r="F39" s="614"/>
      <c r="G39" s="2655" t="s">
        <v>2929</v>
      </c>
    </row>
    <row r="40" spans="1:7" s="595" customFormat="1" ht="13.5" customHeight="1">
      <c r="A40" s="1824" t="s">
        <v>2274</v>
      </c>
      <c r="B40" s="591" t="s">
        <v>1081</v>
      </c>
      <c r="C40" s="643">
        <f>F21</f>
        <v>0.03</v>
      </c>
      <c r="D40" s="617" t="s">
        <v>1105</v>
      </c>
      <c r="E40" s="613"/>
      <c r="F40" s="614"/>
      <c r="G40" s="615" t="s">
        <v>1096</v>
      </c>
    </row>
    <row r="41" spans="1:7" s="595" customFormat="1" ht="13.5" customHeight="1">
      <c r="A41" s="1824" t="s">
        <v>2275</v>
      </c>
      <c r="B41" s="591" t="s">
        <v>1083</v>
      </c>
      <c r="C41" s="613">
        <f ca="1">ROUND(SUM(C42:C43),0)</f>
        <v>251</v>
      </c>
      <c r="D41" s="616">
        <f ca="1">C44</f>
        <v>1.4E-3</v>
      </c>
      <c r="E41" s="617" t="s">
        <v>1105</v>
      </c>
      <c r="F41" s="618"/>
      <c r="G41" s="2655" t="str">
        <f>IF('数据-取费表'!B22&lt;=1,"单利计息","复利计息")</f>
        <v>复利计息</v>
      </c>
    </row>
    <row r="42" spans="1:7" ht="13.5" customHeight="1">
      <c r="A42" s="1827" t="s">
        <v>2284</v>
      </c>
      <c r="B42" s="596" t="s">
        <v>2919</v>
      </c>
      <c r="C42" s="619">
        <f ca="1">ROUND(IF('数据-取费表'!B22&lt;=1,C33*F22*'数据-取费表'!B21/2,C33*(POWER((1+F22),'数据-取费表'!B21/2)-1)),0)</f>
        <v>246</v>
      </c>
      <c r="D42" s="619"/>
      <c r="E42" s="619"/>
      <c r="F42" s="620"/>
      <c r="G42" s="3538" t="s">
        <v>1097</v>
      </c>
    </row>
    <row r="43" spans="1:7" ht="13.5" customHeight="1">
      <c r="A43" s="1827" t="s">
        <v>2282</v>
      </c>
      <c r="B43" s="596" t="s">
        <v>2922</v>
      </c>
      <c r="C43" s="619">
        <f ca="1">ROUND(IF('数据-取费表'!B22&lt;=1,C39*F22*'数据-取费表'!B21/2,C39*(POWER((1+F22),'数据-取费表'!B21/2)-1)),0)</f>
        <v>5</v>
      </c>
      <c r="D43" s="619"/>
      <c r="E43" s="619"/>
      <c r="F43" s="620"/>
      <c r="G43" s="3539"/>
    </row>
    <row r="44" spans="1:7" ht="13.5" customHeight="1">
      <c r="A44" s="1827" t="s">
        <v>2283</v>
      </c>
      <c r="B44" s="596" t="s">
        <v>2924</v>
      </c>
      <c r="C44" s="619">
        <f ca="1">ROUND(IF('数据-取费表'!B22&lt;=1,C40*F22*'数据-取费表'!B21/2,C40*(POWER((1+F22),'数据-取费表'!B21/2)-1)),4)</f>
        <v>1.4E-3</v>
      </c>
      <c r="D44" s="619"/>
      <c r="E44" s="619"/>
      <c r="F44" s="620"/>
      <c r="G44" s="3540"/>
    </row>
    <row r="45" spans="1:7" s="595" customFormat="1" ht="13.5" customHeight="1">
      <c r="A45" s="1824" t="s">
        <v>2276</v>
      </c>
      <c r="B45" s="625" t="s">
        <v>1088</v>
      </c>
      <c r="C45" s="626">
        <f>C46</f>
        <v>847</v>
      </c>
      <c r="D45" s="616">
        <f>C47</f>
        <v>4.7999999999999996E-3</v>
      </c>
      <c r="E45" s="617" t="s">
        <v>1105</v>
      </c>
      <c r="F45" s="627"/>
      <c r="G45" s="628" t="s">
        <v>2930</v>
      </c>
    </row>
    <row r="46" spans="1:7" s="595" customFormat="1" ht="13.5" customHeight="1">
      <c r="A46" s="1827" t="s">
        <v>2284</v>
      </c>
      <c r="B46" s="629" t="s">
        <v>2923</v>
      </c>
      <c r="C46" s="630">
        <f>ROUND((C33+C39)*F27,0)</f>
        <v>847</v>
      </c>
      <c r="D46" s="644"/>
      <c r="E46" s="617"/>
      <c r="F46" s="627"/>
      <c r="G46" s="628"/>
    </row>
    <row r="47" spans="1:7" s="595" customFormat="1" ht="13.5" customHeight="1">
      <c r="A47" s="1827" t="s">
        <v>2282</v>
      </c>
      <c r="B47" s="629" t="s">
        <v>2925</v>
      </c>
      <c r="C47" s="619">
        <f>ROUND(C40*F27,4)</f>
        <v>4.7999999999999996E-3</v>
      </c>
      <c r="D47" s="644"/>
      <c r="E47" s="617"/>
      <c r="F47" s="627"/>
      <c r="G47" s="628"/>
    </row>
    <row r="48" spans="1:7" s="595" customFormat="1" ht="13.5" customHeight="1">
      <c r="A48" s="1824" t="s">
        <v>2277</v>
      </c>
      <c r="B48" s="591" t="s">
        <v>1098</v>
      </c>
      <c r="C48" s="643">
        <f>F30</f>
        <v>5.6000000000000001E-2</v>
      </c>
      <c r="D48" s="617" t="s">
        <v>1106</v>
      </c>
      <c r="E48" s="613"/>
      <c r="F48" s="618"/>
      <c r="G48" s="615" t="s">
        <v>1099</v>
      </c>
    </row>
    <row r="49" spans="1:7" ht="16.5" customHeight="1">
      <c r="A49" s="1824" t="s">
        <v>2278</v>
      </c>
      <c r="B49" s="591" t="s">
        <v>1107</v>
      </c>
      <c r="C49" s="613">
        <f ca="1">ROUND((C33+C39+C41+C45)/(1-C40-D41-D45-C48/(1+'数据-取费表'!B42)),0)</f>
        <v>7017</v>
      </c>
      <c r="D49" s="613"/>
      <c r="E49" s="613"/>
      <c r="F49" s="645"/>
      <c r="G49" s="615" t="s">
        <v>2931</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6175</v>
      </c>
      <c r="D51" s="613"/>
      <c r="E51" s="613"/>
      <c r="F51" s="645"/>
      <c r="G51" s="615" t="s">
        <v>523</v>
      </c>
    </row>
    <row r="52" spans="1:7" s="589" customFormat="1" ht="16.5" thickBot="1">
      <c r="A52" s="646" t="s">
        <v>524</v>
      </c>
      <c r="B52" s="647"/>
      <c r="C52" s="648">
        <f ca="1">C31+C51</f>
        <v>35503</v>
      </c>
      <c r="D52" s="647"/>
      <c r="E52" s="647"/>
      <c r="F52" s="647"/>
      <c r="G52" s="649"/>
    </row>
    <row r="55" spans="1:7" ht="15">
      <c r="B55" s="651" t="s">
        <v>525</v>
      </c>
      <c r="C55" s="652"/>
    </row>
    <row r="56" spans="1:7">
      <c r="B56" s="654" t="s">
        <v>526</v>
      </c>
      <c r="C56" s="655">
        <f ca="1">ROUND(C51/C52,3)</f>
        <v>0.17399999999999999</v>
      </c>
    </row>
    <row r="57" spans="1:7">
      <c r="B57" s="654" t="s">
        <v>527</v>
      </c>
      <c r="C57" s="656">
        <f ca="1">1-C56</f>
        <v>0.82600000000000007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68" customWidth="1"/>
    <col min="2" max="5" width="10.25" style="1513" customWidth="1"/>
    <col min="6" max="6" width="9" style="1513"/>
    <col min="7" max="8" width="9" style="1541"/>
    <col min="9" max="16384" width="9" style="1513"/>
  </cols>
  <sheetData>
    <row r="1" spans="1:19">
      <c r="A1" s="3713" t="s">
        <v>1526</v>
      </c>
      <c r="B1" s="3713"/>
      <c r="C1" s="3713"/>
      <c r="D1" s="3713"/>
      <c r="E1" s="3713"/>
      <c r="F1" s="3713"/>
      <c r="H1" s="1543" t="s">
        <v>1527</v>
      </c>
      <c r="I1" s="1544" t="s">
        <v>1528</v>
      </c>
      <c r="J1" s="1544" t="s">
        <v>1529</v>
      </c>
      <c r="K1" s="1544" t="s">
        <v>1530</v>
      </c>
      <c r="L1" s="1544" t="s">
        <v>1531</v>
      </c>
      <c r="M1" s="1544" t="s">
        <v>1532</v>
      </c>
      <c r="N1" s="1544" t="s">
        <v>1533</v>
      </c>
      <c r="O1" s="1544" t="s">
        <v>1534</v>
      </c>
      <c r="P1" s="1544" t="s">
        <v>1535</v>
      </c>
      <c r="Q1" s="1544" t="s">
        <v>1536</v>
      </c>
      <c r="R1" s="1544" t="s">
        <v>1537</v>
      </c>
      <c r="S1" s="1545" t="s">
        <v>1538</v>
      </c>
    </row>
    <row r="2" spans="1:19" ht="14.25" thickBot="1">
      <c r="A2" s="3714" t="s">
        <v>1539</v>
      </c>
      <c r="B2" s="3714"/>
      <c r="C2" s="3714"/>
      <c r="D2" s="3714"/>
      <c r="E2" s="3714"/>
      <c r="F2" s="3714"/>
      <c r="H2" s="1546" t="s">
        <v>1540</v>
      </c>
      <c r="I2" s="1547" t="s">
        <v>1541</v>
      </c>
      <c r="J2" s="1547" t="s">
        <v>1542</v>
      </c>
      <c r="K2" s="1547" t="s">
        <v>1543</v>
      </c>
      <c r="L2" s="1547" t="s">
        <v>1544</v>
      </c>
      <c r="M2" s="1547" t="s">
        <v>1545</v>
      </c>
      <c r="N2" s="1547" t="s">
        <v>1546</v>
      </c>
      <c r="O2" s="1547" t="s">
        <v>1547</v>
      </c>
      <c r="P2" s="1547" t="s">
        <v>1548</v>
      </c>
      <c r="Q2" s="1547" t="s">
        <v>1549</v>
      </c>
      <c r="R2" s="1547" t="s">
        <v>1550</v>
      </c>
      <c r="S2" s="1547" t="s">
        <v>1551</v>
      </c>
    </row>
    <row r="3" spans="1:19" s="1542" customFormat="1" ht="19.5" customHeight="1">
      <c r="A3" s="3715" t="s">
        <v>1552</v>
      </c>
      <c r="B3" s="1548"/>
      <c r="C3" s="1549" t="s">
        <v>1553</v>
      </c>
      <c r="D3" s="1549" t="s">
        <v>1554</v>
      </c>
      <c r="E3" s="1549" t="s">
        <v>2202</v>
      </c>
      <c r="F3" s="1549" t="s">
        <v>1556</v>
      </c>
      <c r="G3" s="1550"/>
      <c r="H3" s="1546" t="s">
        <v>1557</v>
      </c>
      <c r="I3" s="1547" t="s">
        <v>1558</v>
      </c>
      <c r="J3" s="1547" t="s">
        <v>1559</v>
      </c>
      <c r="K3" s="1547" t="s">
        <v>1560</v>
      </c>
      <c r="L3" s="1547" t="s">
        <v>1561</v>
      </c>
      <c r="M3" s="1547" t="s">
        <v>1562</v>
      </c>
      <c r="N3" s="1547" t="s">
        <v>1563</v>
      </c>
      <c r="O3" s="1547" t="s">
        <v>1564</v>
      </c>
      <c r="P3" s="1547" t="s">
        <v>1565</v>
      </c>
      <c r="Q3" s="1547" t="s">
        <v>1566</v>
      </c>
      <c r="R3" s="1547" t="s">
        <v>1567</v>
      </c>
      <c r="S3" s="1547" t="s">
        <v>1568</v>
      </c>
    </row>
    <row r="4" spans="1:19" s="1542" customFormat="1" ht="19.5" customHeight="1" thickBot="1">
      <c r="A4" s="3716"/>
      <c r="B4" s="1551" t="s">
        <v>1569</v>
      </c>
      <c r="C4" s="1551" t="s">
        <v>1570</v>
      </c>
      <c r="D4" s="1551" t="s">
        <v>1570</v>
      </c>
      <c r="E4" s="1551" t="s">
        <v>1570</v>
      </c>
      <c r="F4" s="1552" t="s">
        <v>1570</v>
      </c>
      <c r="G4" s="1550"/>
      <c r="H4" s="1546" t="s">
        <v>1571</v>
      </c>
      <c r="I4" s="1547" t="s">
        <v>1494</v>
      </c>
      <c r="J4" s="1547" t="s">
        <v>1572</v>
      </c>
      <c r="K4" s="1547" t="s">
        <v>1573</v>
      </c>
      <c r="L4" s="1547" t="s">
        <v>1574</v>
      </c>
      <c r="M4" s="1547" t="s">
        <v>1575</v>
      </c>
      <c r="N4" s="1547" t="s">
        <v>1576</v>
      </c>
      <c r="O4" s="1547" t="s">
        <v>1577</v>
      </c>
      <c r="P4" s="1547" t="s">
        <v>1578</v>
      </c>
      <c r="Q4" s="1547" t="s">
        <v>1579</v>
      </c>
      <c r="R4" s="1547" t="s">
        <v>1580</v>
      </c>
      <c r="S4" s="1547" t="s">
        <v>1581</v>
      </c>
    </row>
    <row r="5" spans="1:19" ht="14.25" customHeight="1" thickBot="1">
      <c r="A5" s="1553" t="s">
        <v>2312</v>
      </c>
      <c r="B5" s="1554" t="s">
        <v>2313</v>
      </c>
      <c r="C5" s="1554">
        <v>29530</v>
      </c>
      <c r="D5" s="1554">
        <v>28130</v>
      </c>
      <c r="E5" s="1554">
        <v>27930</v>
      </c>
      <c r="F5" s="1555">
        <v>11300</v>
      </c>
      <c r="G5" s="1550"/>
      <c r="H5" s="1546" t="s">
        <v>1583</v>
      </c>
      <c r="I5" s="1547" t="s">
        <v>1584</v>
      </c>
      <c r="J5" s="1547" t="s">
        <v>1585</v>
      </c>
      <c r="K5" s="1547" t="s">
        <v>1586</v>
      </c>
      <c r="L5" s="1547" t="s">
        <v>1587</v>
      </c>
      <c r="M5" s="1547" t="s">
        <v>1588</v>
      </c>
      <c r="N5" s="1547" t="s">
        <v>1589</v>
      </c>
      <c r="O5" s="1547" t="s">
        <v>1590</v>
      </c>
      <c r="P5" s="1547" t="s">
        <v>1591</v>
      </c>
      <c r="Q5" s="1547" t="s">
        <v>1592</v>
      </c>
      <c r="R5" s="1547" t="s">
        <v>1593</v>
      </c>
      <c r="S5" s="1547" t="s">
        <v>1594</v>
      </c>
    </row>
    <row r="6" spans="1:19" ht="14.25" customHeight="1" thickBot="1">
      <c r="A6" s="1553" t="s">
        <v>1582</v>
      </c>
      <c r="B6" s="1547" t="s">
        <v>1557</v>
      </c>
      <c r="C6" s="1547">
        <v>30290</v>
      </c>
      <c r="D6" s="1547">
        <v>29210</v>
      </c>
      <c r="E6" s="1547">
        <v>28860</v>
      </c>
      <c r="F6" s="1556">
        <v>12600</v>
      </c>
      <c r="G6" s="1550"/>
      <c r="H6" s="1546" t="s">
        <v>1595</v>
      </c>
      <c r="I6" s="1547" t="s">
        <v>1596</v>
      </c>
      <c r="J6" s="1547" t="s">
        <v>1597</v>
      </c>
      <c r="K6" s="1547" t="s">
        <v>1598</v>
      </c>
      <c r="L6" s="1547" t="s">
        <v>1599</v>
      </c>
      <c r="M6" s="1547" t="s">
        <v>1600</v>
      </c>
      <c r="N6" s="1547" t="s">
        <v>1601</v>
      </c>
      <c r="O6" s="1547" t="s">
        <v>1602</v>
      </c>
      <c r="P6" s="1547" t="s">
        <v>1603</v>
      </c>
      <c r="Q6" s="1547" t="s">
        <v>1604</v>
      </c>
      <c r="R6" s="1547" t="s">
        <v>1605</v>
      </c>
      <c r="S6" s="1547" t="s">
        <v>1606</v>
      </c>
    </row>
    <row r="7" spans="1:19" ht="14.25" customHeight="1" thickBot="1">
      <c r="A7" s="1553" t="s">
        <v>1582</v>
      </c>
      <c r="B7" s="1557" t="s">
        <v>1571</v>
      </c>
      <c r="C7" s="1547">
        <v>29350</v>
      </c>
      <c r="D7" s="1547">
        <v>28410</v>
      </c>
      <c r="E7" s="1547">
        <v>27990</v>
      </c>
      <c r="F7" s="1556">
        <v>12300</v>
      </c>
      <c r="G7" s="1550"/>
      <c r="I7" s="1547" t="s">
        <v>1607</v>
      </c>
      <c r="J7" s="1547" t="s">
        <v>1608</v>
      </c>
      <c r="K7" s="1547" t="s">
        <v>1609</v>
      </c>
      <c r="L7" s="1547" t="s">
        <v>1610</v>
      </c>
      <c r="M7" s="1547" t="s">
        <v>1611</v>
      </c>
      <c r="N7" s="1547" t="s">
        <v>1612</v>
      </c>
      <c r="O7" s="1547" t="s">
        <v>1613</v>
      </c>
      <c r="P7" s="1547" t="s">
        <v>1614</v>
      </c>
      <c r="Q7" s="1547" t="s">
        <v>1615</v>
      </c>
      <c r="R7" s="1547" t="s">
        <v>1616</v>
      </c>
      <c r="S7" s="1557" t="s">
        <v>1617</v>
      </c>
    </row>
    <row r="8" spans="1:19" ht="14.25" customHeight="1" thickBot="1">
      <c r="A8" s="1553" t="s">
        <v>1582</v>
      </c>
      <c r="B8" s="1547" t="s">
        <v>1583</v>
      </c>
      <c r="C8" s="1547">
        <v>30890</v>
      </c>
      <c r="D8" s="1547">
        <v>29780</v>
      </c>
      <c r="E8" s="1547">
        <v>29270</v>
      </c>
      <c r="F8" s="1556">
        <v>11600</v>
      </c>
      <c r="G8" s="1550"/>
      <c r="I8" s="1547" t="s">
        <v>1618</v>
      </c>
      <c r="J8" s="1547" t="s">
        <v>1619</v>
      </c>
      <c r="K8" s="1547" t="s">
        <v>1620</v>
      </c>
      <c r="L8" s="1547" t="s">
        <v>1621</v>
      </c>
      <c r="M8" s="1547" t="s">
        <v>1622</v>
      </c>
      <c r="N8" s="1547" t="s">
        <v>1623</v>
      </c>
      <c r="O8" s="1547" t="s">
        <v>1624</v>
      </c>
      <c r="P8" s="1547" t="s">
        <v>1625</v>
      </c>
      <c r="Q8" s="1547" t="s">
        <v>1626</v>
      </c>
      <c r="R8" s="1547" t="s">
        <v>1627</v>
      </c>
      <c r="S8" s="1547" t="s">
        <v>1628</v>
      </c>
    </row>
    <row r="9" spans="1:19" ht="14.25" customHeight="1" thickBot="1">
      <c r="A9" s="1553" t="s">
        <v>1582</v>
      </c>
      <c r="B9" s="1558" t="s">
        <v>1595</v>
      </c>
      <c r="C9" s="1559">
        <v>28140</v>
      </c>
      <c r="D9" s="1559"/>
      <c r="E9" s="1559"/>
      <c r="F9" s="1560"/>
      <c r="G9" s="1550"/>
      <c r="I9" s="1547" t="s">
        <v>1629</v>
      </c>
      <c r="J9" s="1547" t="s">
        <v>1630</v>
      </c>
      <c r="K9" s="1547" t="s">
        <v>1631</v>
      </c>
      <c r="L9" s="1547" t="s">
        <v>1632</v>
      </c>
      <c r="M9" s="1547" t="s">
        <v>1633</v>
      </c>
      <c r="N9" s="1547" t="s">
        <v>1634</v>
      </c>
      <c r="O9" s="1547" t="s">
        <v>1635</v>
      </c>
      <c r="P9" s="1547" t="s">
        <v>1636</v>
      </c>
      <c r="Q9" s="1547" t="s">
        <v>1637</v>
      </c>
      <c r="R9" s="1547" t="s">
        <v>1638</v>
      </c>
    </row>
    <row r="10" spans="1:19" ht="14.25" customHeight="1" thickBot="1">
      <c r="A10" s="1553" t="s">
        <v>1639</v>
      </c>
      <c r="B10" s="1554" t="s">
        <v>1640</v>
      </c>
      <c r="C10" s="1554">
        <v>27450</v>
      </c>
      <c r="D10" s="1554">
        <v>26180</v>
      </c>
      <c r="E10" s="1554">
        <v>25980</v>
      </c>
      <c r="F10" s="1555">
        <v>8910</v>
      </c>
      <c r="G10" s="1550"/>
      <c r="I10" s="1547" t="s">
        <v>1641</v>
      </c>
      <c r="J10" s="1547" t="s">
        <v>1642</v>
      </c>
      <c r="K10" s="1547" t="s">
        <v>1643</v>
      </c>
      <c r="L10" s="1547" t="s">
        <v>1644</v>
      </c>
      <c r="M10" s="1547" t="s">
        <v>1645</v>
      </c>
      <c r="N10" s="1547" t="s">
        <v>1646</v>
      </c>
      <c r="O10" s="1547" t="s">
        <v>1647</v>
      </c>
      <c r="P10" s="1547" t="s">
        <v>1648</v>
      </c>
      <c r="Q10" s="1547" t="s">
        <v>1649</v>
      </c>
      <c r="R10" s="1547" t="s">
        <v>1650</v>
      </c>
    </row>
    <row r="11" spans="1:19" ht="14.25" customHeight="1" thickBot="1">
      <c r="A11" s="1553" t="s">
        <v>1639</v>
      </c>
      <c r="B11" s="1557" t="s">
        <v>1558</v>
      </c>
      <c r="C11" s="1547">
        <v>22950</v>
      </c>
      <c r="D11" s="1547">
        <v>22630</v>
      </c>
      <c r="E11" s="1547">
        <v>22030</v>
      </c>
      <c r="F11" s="1561">
        <v>8330</v>
      </c>
      <c r="G11" s="1550"/>
      <c r="I11" s="1547" t="s">
        <v>1651</v>
      </c>
      <c r="J11" s="1547" t="s">
        <v>1652</v>
      </c>
      <c r="K11" s="1547" t="s">
        <v>1653</v>
      </c>
      <c r="L11" s="1547" t="s">
        <v>1654</v>
      </c>
      <c r="M11" s="1547" t="s">
        <v>1655</v>
      </c>
      <c r="N11" s="1547" t="s">
        <v>1656</v>
      </c>
      <c r="O11" s="1547" t="s">
        <v>1657</v>
      </c>
      <c r="P11" s="1547" t="s">
        <v>1658</v>
      </c>
      <c r="Q11" s="1547" t="s">
        <v>1659</v>
      </c>
      <c r="R11" s="1547" t="s">
        <v>1660</v>
      </c>
    </row>
    <row r="12" spans="1:19" ht="14.25" customHeight="1" thickBot="1">
      <c r="A12" s="1553" t="s">
        <v>1639</v>
      </c>
      <c r="B12" s="1557" t="s">
        <v>1494</v>
      </c>
      <c r="C12" s="1547">
        <v>24940</v>
      </c>
      <c r="D12" s="1547">
        <v>23180</v>
      </c>
      <c r="E12" s="1547">
        <v>22910</v>
      </c>
      <c r="F12" s="1561">
        <v>7180</v>
      </c>
      <c r="G12" s="1550"/>
      <c r="I12" s="1547" t="s">
        <v>1661</v>
      </c>
      <c r="J12" s="1547" t="s">
        <v>1662</v>
      </c>
      <c r="K12" s="1547" t="s">
        <v>1663</v>
      </c>
      <c r="L12" s="1547" t="s">
        <v>1664</v>
      </c>
      <c r="M12" s="1547" t="s">
        <v>1665</v>
      </c>
      <c r="N12" s="1547" t="s">
        <v>1666</v>
      </c>
      <c r="O12" s="1547" t="s">
        <v>1667</v>
      </c>
      <c r="P12" s="1547" t="s">
        <v>1668</v>
      </c>
      <c r="Q12" s="1547" t="s">
        <v>1669</v>
      </c>
      <c r="R12" s="1547" t="s">
        <v>1670</v>
      </c>
    </row>
    <row r="13" spans="1:19" ht="14.25" customHeight="1" thickBot="1">
      <c r="A13" s="1553" t="s">
        <v>1639</v>
      </c>
      <c r="B13" s="1557" t="s">
        <v>1584</v>
      </c>
      <c r="C13" s="1547">
        <v>24140</v>
      </c>
      <c r="D13" s="1547">
        <v>22270</v>
      </c>
      <c r="E13" s="1547">
        <v>21950</v>
      </c>
      <c r="F13" s="1561">
        <v>7600</v>
      </c>
      <c r="G13" s="1550"/>
      <c r="I13" s="1547" t="s">
        <v>1671</v>
      </c>
      <c r="J13" s="1547" t="s">
        <v>1672</v>
      </c>
      <c r="K13" s="1547" t="s">
        <v>1673</v>
      </c>
      <c r="L13" s="1547" t="s">
        <v>1674</v>
      </c>
      <c r="M13" s="1547" t="s">
        <v>1675</v>
      </c>
      <c r="N13" s="1547" t="s">
        <v>1676</v>
      </c>
      <c r="O13" s="1547" t="s">
        <v>1677</v>
      </c>
      <c r="P13" s="1547" t="s">
        <v>1678</v>
      </c>
      <c r="Q13" s="1547" t="s">
        <v>1679</v>
      </c>
      <c r="R13" s="1547" t="s">
        <v>1680</v>
      </c>
    </row>
    <row r="14" spans="1:19" ht="14.25" customHeight="1" thickBot="1">
      <c r="A14" s="1553" t="s">
        <v>1639</v>
      </c>
      <c r="B14" s="1557" t="s">
        <v>1596</v>
      </c>
      <c r="C14" s="1547">
        <v>25600</v>
      </c>
      <c r="D14" s="1547">
        <v>22260</v>
      </c>
      <c r="E14" s="1547">
        <v>22110</v>
      </c>
      <c r="F14" s="1561">
        <v>7630</v>
      </c>
      <c r="G14" s="1550"/>
      <c r="I14" s="1547" t="s">
        <v>1681</v>
      </c>
      <c r="J14" s="1547" t="s">
        <v>1682</v>
      </c>
      <c r="K14" s="1547" t="s">
        <v>1683</v>
      </c>
      <c r="L14" s="1547" t="s">
        <v>1684</v>
      </c>
      <c r="M14" s="1547" t="s">
        <v>1685</v>
      </c>
      <c r="N14" s="1547" t="s">
        <v>1686</v>
      </c>
      <c r="O14" s="1547" t="s">
        <v>1687</v>
      </c>
      <c r="P14" s="1547" t="s">
        <v>1688</v>
      </c>
      <c r="Q14" s="1547" t="s">
        <v>1689</v>
      </c>
      <c r="R14" s="1547" t="s">
        <v>1690</v>
      </c>
    </row>
    <row r="15" spans="1:19" ht="14.25" customHeight="1" thickBot="1">
      <c r="A15" s="1553" t="s">
        <v>1639</v>
      </c>
      <c r="B15" s="1557" t="s">
        <v>1607</v>
      </c>
      <c r="C15" s="1547">
        <v>24760</v>
      </c>
      <c r="D15" s="1547">
        <v>24440</v>
      </c>
      <c r="E15" s="1547">
        <v>24130</v>
      </c>
      <c r="F15" s="1561">
        <v>9480</v>
      </c>
      <c r="G15" s="1550"/>
      <c r="I15" s="1547" t="s">
        <v>1692</v>
      </c>
      <c r="J15" s="1547" t="s">
        <v>1693</v>
      </c>
      <c r="K15" s="1547" t="s">
        <v>1694</v>
      </c>
      <c r="L15" s="1547" t="s">
        <v>1695</v>
      </c>
      <c r="M15" s="1547" t="s">
        <v>1696</v>
      </c>
      <c r="N15" s="1547" t="s">
        <v>1697</v>
      </c>
      <c r="O15" s="1547" t="s">
        <v>1698</v>
      </c>
      <c r="P15" s="1547" t="s">
        <v>1699</v>
      </c>
      <c r="Q15" s="1547" t="s">
        <v>1700</v>
      </c>
      <c r="R15" s="1547" t="s">
        <v>1701</v>
      </c>
    </row>
    <row r="16" spans="1:19" ht="14.25" customHeight="1" thickBot="1">
      <c r="A16" s="1553" t="s">
        <v>1639</v>
      </c>
      <c r="B16" s="1557" t="s">
        <v>1618</v>
      </c>
      <c r="C16" s="1547">
        <v>22220</v>
      </c>
      <c r="D16" s="1547">
        <v>22310</v>
      </c>
      <c r="E16" s="1547">
        <v>22000</v>
      </c>
      <c r="F16" s="1561">
        <v>8900</v>
      </c>
      <c r="G16" s="1550"/>
      <c r="I16" s="1547" t="s">
        <v>1703</v>
      </c>
      <c r="J16" s="1547" t="s">
        <v>1704</v>
      </c>
      <c r="K16" s="1547" t="s">
        <v>1705</v>
      </c>
      <c r="L16" s="1547" t="s">
        <v>1706</v>
      </c>
      <c r="M16" s="1547" t="s">
        <v>1707</v>
      </c>
      <c r="N16" s="1547" t="s">
        <v>1708</v>
      </c>
      <c r="O16" s="1547" t="s">
        <v>1709</v>
      </c>
      <c r="P16" s="1547" t="s">
        <v>1710</v>
      </c>
      <c r="Q16" s="1547" t="s">
        <v>1711</v>
      </c>
      <c r="R16" s="1547" t="s">
        <v>1712</v>
      </c>
    </row>
    <row r="17" spans="1:18" ht="14.25" customHeight="1" thickBot="1">
      <c r="A17" s="1553" t="s">
        <v>1639</v>
      </c>
      <c r="B17" s="1557" t="s">
        <v>1629</v>
      </c>
      <c r="C17" s="1547">
        <v>24700</v>
      </c>
      <c r="D17" s="1547">
        <v>25150</v>
      </c>
      <c r="E17" s="1547">
        <v>24700</v>
      </c>
      <c r="F17" s="1562"/>
      <c r="G17" s="1550"/>
      <c r="I17" s="1547" t="s">
        <v>1713</v>
      </c>
      <c r="J17" s="1547" t="s">
        <v>1714</v>
      </c>
      <c r="K17" s="1547" t="s">
        <v>1715</v>
      </c>
      <c r="L17" s="1547" t="s">
        <v>1716</v>
      </c>
      <c r="M17" s="1547" t="s">
        <v>1717</v>
      </c>
      <c r="N17" s="1547" t="s">
        <v>1718</v>
      </c>
      <c r="O17" s="1547" t="s">
        <v>1719</v>
      </c>
      <c r="P17" s="1547" t="s">
        <v>1720</v>
      </c>
      <c r="Q17" s="1547" t="s">
        <v>1721</v>
      </c>
      <c r="R17" s="1547" t="s">
        <v>1722</v>
      </c>
    </row>
    <row r="18" spans="1:18" ht="14.25" customHeight="1" thickBot="1">
      <c r="A18" s="1553" t="s">
        <v>1639</v>
      </c>
      <c r="B18" s="1557" t="s">
        <v>1641</v>
      </c>
      <c r="C18" s="1547">
        <v>22350</v>
      </c>
      <c r="D18" s="1547">
        <v>24340</v>
      </c>
      <c r="E18" s="1547">
        <v>24100</v>
      </c>
      <c r="F18" s="1562"/>
      <c r="G18" s="1550"/>
      <c r="I18" s="1547" t="s">
        <v>1723</v>
      </c>
      <c r="J18" s="1547" t="s">
        <v>1724</v>
      </c>
      <c r="K18" s="1547" t="s">
        <v>1725</v>
      </c>
      <c r="L18" s="1547" t="s">
        <v>1726</v>
      </c>
      <c r="M18" s="1547" t="s">
        <v>1727</v>
      </c>
      <c r="N18" s="1547" t="s">
        <v>1728</v>
      </c>
      <c r="O18" s="1547" t="s">
        <v>1729</v>
      </c>
      <c r="P18" s="1547" t="s">
        <v>1730</v>
      </c>
      <c r="Q18" s="1547" t="s">
        <v>1731</v>
      </c>
      <c r="R18" s="1547" t="s">
        <v>1732</v>
      </c>
    </row>
    <row r="19" spans="1:18" ht="14.25" customHeight="1" thickBot="1">
      <c r="A19" s="1553" t="s">
        <v>1639</v>
      </c>
      <c r="B19" s="1557" t="s">
        <v>1651</v>
      </c>
      <c r="C19" s="1547">
        <v>23430</v>
      </c>
      <c r="D19" s="1547">
        <v>21580</v>
      </c>
      <c r="E19" s="1547">
        <v>21350</v>
      </c>
      <c r="F19" s="1562"/>
      <c r="G19" s="1550"/>
      <c r="I19" s="1547" t="s">
        <v>1733</v>
      </c>
      <c r="J19" s="1547" t="s">
        <v>1734</v>
      </c>
      <c r="K19" s="1547" t="s">
        <v>1735</v>
      </c>
      <c r="L19" s="1547" t="s">
        <v>1736</v>
      </c>
      <c r="M19" s="1547" t="s">
        <v>1737</v>
      </c>
      <c r="N19" s="1547" t="s">
        <v>1738</v>
      </c>
      <c r="O19" s="1547" t="s">
        <v>1739</v>
      </c>
      <c r="P19" s="1547" t="s">
        <v>1740</v>
      </c>
      <c r="Q19" s="1547" t="s">
        <v>1741</v>
      </c>
      <c r="R19" s="1547" t="s">
        <v>1742</v>
      </c>
    </row>
    <row r="20" spans="1:18" ht="14.25" customHeight="1" thickBot="1">
      <c r="A20" s="1553" t="s">
        <v>1639</v>
      </c>
      <c r="B20" s="1557" t="s">
        <v>1661</v>
      </c>
      <c r="C20" s="1547">
        <v>27660</v>
      </c>
      <c r="D20" s="1547">
        <v>24240</v>
      </c>
      <c r="E20" s="1547">
        <v>24020</v>
      </c>
      <c r="F20" s="1562"/>
      <c r="I20" s="1547" t="s">
        <v>1743</v>
      </c>
      <c r="J20" s="1547" t="s">
        <v>1744</v>
      </c>
      <c r="K20" s="1547" t="s">
        <v>1745</v>
      </c>
      <c r="L20" s="1547" t="s">
        <v>1746</v>
      </c>
      <c r="M20" s="1547" t="s">
        <v>1747</v>
      </c>
      <c r="N20" s="1547" t="s">
        <v>1748</v>
      </c>
      <c r="O20" s="1547" t="s">
        <v>1749</v>
      </c>
      <c r="P20" s="1547" t="s">
        <v>1750</v>
      </c>
      <c r="Q20" s="1547" t="s">
        <v>1751</v>
      </c>
      <c r="R20" s="1547" t="s">
        <v>1752</v>
      </c>
    </row>
    <row r="21" spans="1:18" ht="14.25" customHeight="1" thickBot="1">
      <c r="A21" s="1553" t="s">
        <v>1639</v>
      </c>
      <c r="B21" s="1557" t="s">
        <v>1671</v>
      </c>
      <c r="C21" s="1547">
        <v>24720</v>
      </c>
      <c r="D21" s="1547">
        <v>21670</v>
      </c>
      <c r="E21" s="1547">
        <v>21510</v>
      </c>
      <c r="F21" s="1562"/>
      <c r="J21" s="1547" t="s">
        <v>1753</v>
      </c>
      <c r="K21" s="1547" t="s">
        <v>1754</v>
      </c>
      <c r="L21" s="1547" t="s">
        <v>1755</v>
      </c>
      <c r="M21" s="1547" t="s">
        <v>1756</v>
      </c>
      <c r="N21" s="1547" t="s">
        <v>1757</v>
      </c>
      <c r="O21" s="1547" t="s">
        <v>1758</v>
      </c>
      <c r="P21" s="1547" t="s">
        <v>1759</v>
      </c>
      <c r="Q21" s="1547" t="s">
        <v>1760</v>
      </c>
      <c r="R21" s="1547" t="s">
        <v>1761</v>
      </c>
    </row>
    <row r="22" spans="1:18" ht="14.25" customHeight="1" thickBot="1">
      <c r="A22" s="1553" t="s">
        <v>1639</v>
      </c>
      <c r="B22" s="1557" t="s">
        <v>1762</v>
      </c>
      <c r="C22" s="1547">
        <v>26530</v>
      </c>
      <c r="D22" s="1547">
        <v>22980</v>
      </c>
      <c r="E22" s="1547">
        <v>22650</v>
      </c>
      <c r="F22" s="1562"/>
      <c r="K22" s="1547" t="s">
        <v>1763</v>
      </c>
      <c r="L22" s="1547" t="s">
        <v>1764</v>
      </c>
      <c r="M22" s="1547" t="s">
        <v>1765</v>
      </c>
      <c r="N22" s="1547" t="s">
        <v>1766</v>
      </c>
      <c r="O22" s="1547" t="s">
        <v>1767</v>
      </c>
      <c r="P22" s="1547" t="s">
        <v>1768</v>
      </c>
      <c r="Q22" s="1547" t="s">
        <v>1769</v>
      </c>
      <c r="R22" s="1557" t="s">
        <v>1770</v>
      </c>
    </row>
    <row r="23" spans="1:18" ht="14.25" customHeight="1" thickBot="1">
      <c r="A23" s="1553" t="s">
        <v>1639</v>
      </c>
      <c r="B23" s="1557" t="s">
        <v>1692</v>
      </c>
      <c r="C23" s="1547">
        <v>24700</v>
      </c>
      <c r="D23" s="1547">
        <v>27290</v>
      </c>
      <c r="E23" s="1547">
        <v>26710</v>
      </c>
      <c r="F23" s="1562"/>
      <c r="K23" s="1547" t="s">
        <v>1771</v>
      </c>
      <c r="L23" s="1547" t="s">
        <v>1772</v>
      </c>
      <c r="M23" s="1547" t="s">
        <v>1773</v>
      </c>
      <c r="N23" s="1547" t="s">
        <v>1774</v>
      </c>
      <c r="O23" s="1547" t="s">
        <v>1775</v>
      </c>
      <c r="P23" s="1547" t="s">
        <v>1776</v>
      </c>
      <c r="Q23" s="1547" t="s">
        <v>1777</v>
      </c>
    </row>
    <row r="24" spans="1:18" ht="14.25" customHeight="1" thickBot="1">
      <c r="A24" s="1553" t="s">
        <v>1639</v>
      </c>
      <c r="B24" s="1557" t="s">
        <v>1703</v>
      </c>
      <c r="C24" s="1547">
        <v>23070</v>
      </c>
      <c r="D24" s="1547">
        <v>24130</v>
      </c>
      <c r="E24" s="1547">
        <v>23860</v>
      </c>
      <c r="F24" s="1562"/>
      <c r="K24" s="1547" t="s">
        <v>1778</v>
      </c>
      <c r="L24" s="1547" t="s">
        <v>1779</v>
      </c>
      <c r="M24" s="1547" t="s">
        <v>1780</v>
      </c>
      <c r="N24" s="1547" t="s">
        <v>1781</v>
      </c>
      <c r="O24" s="1547" t="s">
        <v>1782</v>
      </c>
      <c r="P24" s="1547" t="s">
        <v>1783</v>
      </c>
      <c r="Q24" s="1547" t="s">
        <v>1784</v>
      </c>
    </row>
    <row r="25" spans="1:18" ht="14.25" customHeight="1" thickBot="1">
      <c r="A25" s="1553" t="s">
        <v>1639</v>
      </c>
      <c r="B25" s="1557" t="s">
        <v>1713</v>
      </c>
      <c r="C25" s="1547">
        <v>27550</v>
      </c>
      <c r="D25" s="1547">
        <v>25850</v>
      </c>
      <c r="E25" s="1547">
        <v>25340</v>
      </c>
      <c r="F25" s="1562"/>
      <c r="K25" s="1547" t="s">
        <v>1785</v>
      </c>
      <c r="L25" s="1547" t="s">
        <v>1786</v>
      </c>
      <c r="M25" s="1547" t="s">
        <v>1787</v>
      </c>
      <c r="N25" s="1547" t="s">
        <v>1788</v>
      </c>
      <c r="O25" s="1547" t="s">
        <v>1789</v>
      </c>
      <c r="P25" s="1547" t="s">
        <v>1790</v>
      </c>
      <c r="Q25" s="1547" t="s">
        <v>1791</v>
      </c>
    </row>
    <row r="26" spans="1:18" ht="14.25" customHeight="1" thickBot="1">
      <c r="A26" s="1553" t="s">
        <v>1639</v>
      </c>
      <c r="B26" s="1557" t="s">
        <v>1723</v>
      </c>
      <c r="C26" s="1547"/>
      <c r="D26" s="1547">
        <v>23900</v>
      </c>
      <c r="E26" s="1547">
        <v>23590</v>
      </c>
      <c r="F26" s="1562"/>
      <c r="K26" s="1547" t="s">
        <v>1792</v>
      </c>
      <c r="L26" s="1547" t="s">
        <v>1793</v>
      </c>
      <c r="M26" s="1547" t="s">
        <v>1794</v>
      </c>
      <c r="N26" s="1547" t="s">
        <v>1795</v>
      </c>
      <c r="O26" s="1547" t="s">
        <v>1796</v>
      </c>
      <c r="P26" s="1547" t="s">
        <v>1797</v>
      </c>
      <c r="Q26" s="1547" t="s">
        <v>1798</v>
      </c>
    </row>
    <row r="27" spans="1:18" ht="14.25" customHeight="1" thickBot="1">
      <c r="A27" s="1553" t="s">
        <v>1639</v>
      </c>
      <c r="B27" s="1557" t="s">
        <v>1733</v>
      </c>
      <c r="C27" s="1547"/>
      <c r="D27" s="1547">
        <v>22850</v>
      </c>
      <c r="E27" s="1547">
        <v>21920</v>
      </c>
      <c r="F27" s="1562"/>
      <c r="K27" s="1547" t="s">
        <v>1799</v>
      </c>
      <c r="L27" s="1547" t="s">
        <v>1800</v>
      </c>
      <c r="M27" s="1547" t="s">
        <v>1801</v>
      </c>
      <c r="N27" s="1547" t="s">
        <v>1802</v>
      </c>
      <c r="O27" s="1547" t="s">
        <v>1803</v>
      </c>
      <c r="P27" s="1547" t="s">
        <v>1804</v>
      </c>
      <c r="Q27" s="1547" t="s">
        <v>1805</v>
      </c>
    </row>
    <row r="28" spans="1:18" ht="14.25" customHeight="1" thickBot="1">
      <c r="A28" s="1563" t="s">
        <v>1639</v>
      </c>
      <c r="B28" s="1558" t="s">
        <v>1743</v>
      </c>
      <c r="C28" s="1559"/>
      <c r="D28" s="1559">
        <v>26610</v>
      </c>
      <c r="E28" s="1559">
        <v>26370</v>
      </c>
      <c r="F28" s="1560"/>
      <c r="K28" s="1547" t="s">
        <v>1806</v>
      </c>
      <c r="L28" s="1547" t="s">
        <v>1807</v>
      </c>
      <c r="M28" s="1547" t="s">
        <v>1808</v>
      </c>
      <c r="N28" s="1547" t="s">
        <v>1809</v>
      </c>
      <c r="O28" s="1547" t="s">
        <v>1810</v>
      </c>
      <c r="P28" s="1547" t="s">
        <v>1811</v>
      </c>
    </row>
    <row r="29" spans="1:18" ht="14.25" customHeight="1" thickBot="1">
      <c r="A29" s="1553" t="s">
        <v>1812</v>
      </c>
      <c r="B29" s="1554" t="s">
        <v>1813</v>
      </c>
      <c r="C29" s="1554">
        <v>22090</v>
      </c>
      <c r="D29" s="1554">
        <v>21860</v>
      </c>
      <c r="E29" s="1554">
        <v>19380</v>
      </c>
      <c r="F29" s="1555">
        <v>6610</v>
      </c>
      <c r="L29" s="1547" t="s">
        <v>1814</v>
      </c>
      <c r="M29" s="1547" t="s">
        <v>1815</v>
      </c>
      <c r="N29" s="1547" t="s">
        <v>1816</v>
      </c>
      <c r="O29" s="1547" t="s">
        <v>1817</v>
      </c>
      <c r="P29" s="1547" t="s">
        <v>1818</v>
      </c>
    </row>
    <row r="30" spans="1:18" ht="14.25" customHeight="1" thickBot="1">
      <c r="A30" s="1553" t="s">
        <v>1812</v>
      </c>
      <c r="B30" s="1557" t="s">
        <v>1559</v>
      </c>
      <c r="C30" s="1547">
        <v>21380</v>
      </c>
      <c r="D30" s="1547">
        <v>19930</v>
      </c>
      <c r="E30" s="1547">
        <v>19860</v>
      </c>
      <c r="F30" s="1561">
        <v>6010</v>
      </c>
      <c r="L30" s="1547" t="s">
        <v>1819</v>
      </c>
      <c r="M30" s="1547" t="s">
        <v>1820</v>
      </c>
      <c r="N30" s="1547" t="s">
        <v>1821</v>
      </c>
      <c r="O30" s="1547" t="s">
        <v>2895</v>
      </c>
      <c r="P30" s="1547" t="s">
        <v>1822</v>
      </c>
    </row>
    <row r="31" spans="1:18" ht="14.25" customHeight="1" thickBot="1">
      <c r="A31" s="1553" t="s">
        <v>1812</v>
      </c>
      <c r="B31" s="1557" t="s">
        <v>1572</v>
      </c>
      <c r="C31" s="1547">
        <v>21670</v>
      </c>
      <c r="D31" s="1547">
        <v>20660</v>
      </c>
      <c r="E31" s="1547">
        <v>20290</v>
      </c>
      <c r="F31" s="1561">
        <v>5840</v>
      </c>
      <c r="L31" s="1547" t="s">
        <v>1823</v>
      </c>
      <c r="M31" s="1547" t="s">
        <v>1824</v>
      </c>
      <c r="N31" s="1547" t="s">
        <v>1825</v>
      </c>
      <c r="O31" s="1547" t="s">
        <v>1826</v>
      </c>
      <c r="P31" s="1547" t="s">
        <v>1827</v>
      </c>
    </row>
    <row r="32" spans="1:18" ht="14.25" customHeight="1" thickBot="1">
      <c r="A32" s="1553" t="s">
        <v>1812</v>
      </c>
      <c r="B32" s="1557" t="s">
        <v>1585</v>
      </c>
      <c r="C32" s="1547">
        <v>22280</v>
      </c>
      <c r="D32" s="1547">
        <v>21800</v>
      </c>
      <c r="E32" s="1547">
        <v>17650</v>
      </c>
      <c r="F32" s="1561">
        <v>4690</v>
      </c>
      <c r="L32" s="1547" t="s">
        <v>1828</v>
      </c>
      <c r="M32" s="1547" t="s">
        <v>1829</v>
      </c>
      <c r="N32" s="1547" t="s">
        <v>1830</v>
      </c>
      <c r="O32" s="1547" t="s">
        <v>1831</v>
      </c>
      <c r="P32" s="1547" t="s">
        <v>1832</v>
      </c>
    </row>
    <row r="33" spans="1:16" ht="14.25" customHeight="1" thickBot="1">
      <c r="A33" s="1553" t="s">
        <v>1812</v>
      </c>
      <c r="B33" s="1557" t="s">
        <v>1597</v>
      </c>
      <c r="C33" s="1547">
        <v>22130</v>
      </c>
      <c r="D33" s="1547">
        <v>20460</v>
      </c>
      <c r="E33" s="1547">
        <v>18500</v>
      </c>
      <c r="F33" s="1561">
        <v>5340</v>
      </c>
      <c r="L33" s="1547" t="s">
        <v>1833</v>
      </c>
      <c r="M33" s="1547" t="s">
        <v>1834</v>
      </c>
      <c r="N33" s="1547" t="s">
        <v>1835</v>
      </c>
      <c r="O33" s="1547" t="s">
        <v>1836</v>
      </c>
      <c r="P33" s="1547" t="s">
        <v>1837</v>
      </c>
    </row>
    <row r="34" spans="1:16" ht="14.25" customHeight="1" thickBot="1">
      <c r="A34" s="1553" t="s">
        <v>1812</v>
      </c>
      <c r="B34" s="1557" t="s">
        <v>1608</v>
      </c>
      <c r="C34" s="1547">
        <v>22070</v>
      </c>
      <c r="D34" s="1547">
        <v>20110</v>
      </c>
      <c r="E34" s="1547">
        <v>18830</v>
      </c>
      <c r="F34" s="1561">
        <v>5190</v>
      </c>
      <c r="L34" s="1547" t="s">
        <v>1838</v>
      </c>
      <c r="M34" s="1547" t="s">
        <v>1839</v>
      </c>
      <c r="N34" s="1547" t="s">
        <v>1840</v>
      </c>
      <c r="O34" s="1547" t="s">
        <v>1841</v>
      </c>
      <c r="P34" s="1547" t="s">
        <v>1842</v>
      </c>
    </row>
    <row r="35" spans="1:16" ht="14.25" customHeight="1" thickBot="1">
      <c r="A35" s="1553" t="s">
        <v>1812</v>
      </c>
      <c r="B35" s="1557" t="s">
        <v>1619</v>
      </c>
      <c r="C35" s="1547">
        <v>22240</v>
      </c>
      <c r="D35" s="1547">
        <v>19550</v>
      </c>
      <c r="E35" s="1547">
        <v>19220</v>
      </c>
      <c r="F35" s="1561">
        <v>5800</v>
      </c>
      <c r="L35" s="1547" t="s">
        <v>1843</v>
      </c>
      <c r="M35" s="1547" t="s">
        <v>1844</v>
      </c>
      <c r="N35" s="1547" t="s">
        <v>1845</v>
      </c>
      <c r="O35" s="1547" t="s">
        <v>1846</v>
      </c>
      <c r="P35" s="1547" t="s">
        <v>1847</v>
      </c>
    </row>
    <row r="36" spans="1:16" ht="14.25" customHeight="1" thickBot="1">
      <c r="A36" s="1553" t="s">
        <v>1812</v>
      </c>
      <c r="B36" s="1557" t="s">
        <v>1630</v>
      </c>
      <c r="C36" s="1547">
        <v>19750</v>
      </c>
      <c r="D36" s="1547">
        <v>19790</v>
      </c>
      <c r="E36" s="1547">
        <v>18510</v>
      </c>
      <c r="F36" s="1561">
        <v>6520</v>
      </c>
      <c r="M36" s="1547" t="s">
        <v>1848</v>
      </c>
      <c r="N36" s="1547" t="s">
        <v>1849</v>
      </c>
      <c r="O36" s="1547" t="s">
        <v>1850</v>
      </c>
      <c r="P36" s="1547" t="s">
        <v>1851</v>
      </c>
    </row>
    <row r="37" spans="1:16" ht="14.25" customHeight="1" thickBot="1">
      <c r="A37" s="1553" t="s">
        <v>1812</v>
      </c>
      <c r="B37" s="1557" t="s">
        <v>1642</v>
      </c>
      <c r="C37" s="1547">
        <v>22380</v>
      </c>
      <c r="D37" s="1547">
        <v>18530</v>
      </c>
      <c r="E37" s="1547">
        <v>17930</v>
      </c>
      <c r="F37" s="1561">
        <v>6270</v>
      </c>
      <c r="M37" s="1547" t="s">
        <v>1852</v>
      </c>
      <c r="N37" s="1547" t="s">
        <v>1853</v>
      </c>
      <c r="O37" s="1547" t="s">
        <v>1854</v>
      </c>
      <c r="P37" s="1547" t="s">
        <v>1855</v>
      </c>
    </row>
    <row r="38" spans="1:16" ht="14.25" customHeight="1" thickBot="1">
      <c r="A38" s="1553" t="s">
        <v>1812</v>
      </c>
      <c r="B38" s="1557" t="s">
        <v>1652</v>
      </c>
      <c r="C38" s="1547">
        <v>20200</v>
      </c>
      <c r="D38" s="1547">
        <v>20070</v>
      </c>
      <c r="E38" s="1547">
        <v>19950</v>
      </c>
      <c r="F38" s="1561"/>
      <c r="M38" s="1547" t="s">
        <v>1856</v>
      </c>
      <c r="N38" s="1547" t="s">
        <v>1857</v>
      </c>
      <c r="O38" s="1547" t="s">
        <v>1858</v>
      </c>
      <c r="P38" s="1547" t="s">
        <v>1859</v>
      </c>
    </row>
    <row r="39" spans="1:16" ht="14.25" customHeight="1" thickBot="1">
      <c r="A39" s="1553" t="s">
        <v>1812</v>
      </c>
      <c r="B39" s="1557" t="s">
        <v>1662</v>
      </c>
      <c r="C39" s="1547">
        <v>19300</v>
      </c>
      <c r="D39" s="1547">
        <v>20360</v>
      </c>
      <c r="E39" s="1547">
        <v>20230</v>
      </c>
      <c r="F39" s="1561"/>
      <c r="M39" s="1547" t="s">
        <v>1860</v>
      </c>
      <c r="N39" s="1547" t="s">
        <v>1861</v>
      </c>
      <c r="O39" s="1547" t="s">
        <v>1862</v>
      </c>
      <c r="P39" s="1547" t="s">
        <v>1863</v>
      </c>
    </row>
    <row r="40" spans="1:16" ht="14.25" customHeight="1" thickBot="1">
      <c r="A40" s="1553" t="s">
        <v>1812</v>
      </c>
      <c r="B40" s="1557" t="s">
        <v>1672</v>
      </c>
      <c r="C40" s="1547">
        <v>20210</v>
      </c>
      <c r="D40" s="1547">
        <v>19060</v>
      </c>
      <c r="E40" s="1547">
        <v>18890</v>
      </c>
      <c r="F40" s="1561"/>
      <c r="M40" s="1547" t="s">
        <v>1864</v>
      </c>
      <c r="N40" s="1547" t="s">
        <v>1865</v>
      </c>
      <c r="O40" s="1547" t="s">
        <v>1866</v>
      </c>
      <c r="P40" s="1547" t="s">
        <v>1867</v>
      </c>
    </row>
    <row r="41" spans="1:16" ht="14.25" customHeight="1" thickBot="1">
      <c r="A41" s="1553" t="s">
        <v>1812</v>
      </c>
      <c r="B41" s="1557" t="s">
        <v>1682</v>
      </c>
      <c r="C41" s="1547">
        <v>20560</v>
      </c>
      <c r="D41" s="1547">
        <v>21040</v>
      </c>
      <c r="E41" s="1547">
        <v>20740</v>
      </c>
      <c r="F41" s="1561"/>
      <c r="M41" s="1557" t="s">
        <v>1868</v>
      </c>
      <c r="N41" s="1557" t="s">
        <v>1869</v>
      </c>
      <c r="P41" s="1557" t="s">
        <v>1870</v>
      </c>
    </row>
    <row r="42" spans="1:16" ht="14.25" customHeight="1" thickBot="1">
      <c r="A42" s="1553" t="s">
        <v>1812</v>
      </c>
      <c r="B42" s="1557" t="s">
        <v>1693</v>
      </c>
      <c r="C42" s="1547">
        <v>19280</v>
      </c>
      <c r="D42" s="1547">
        <v>22940</v>
      </c>
      <c r="E42" s="1547">
        <v>22500</v>
      </c>
      <c r="F42" s="1561"/>
      <c r="M42" s="1547" t="s">
        <v>1871</v>
      </c>
      <c r="N42" s="1547" t="s">
        <v>1872</v>
      </c>
      <c r="P42" s="1547" t="s">
        <v>1873</v>
      </c>
    </row>
    <row r="43" spans="1:16" ht="14.25" customHeight="1" thickBot="1">
      <c r="A43" s="1553" t="s">
        <v>1812</v>
      </c>
      <c r="B43" s="1557" t="s">
        <v>1704</v>
      </c>
      <c r="C43" s="1547">
        <v>21520</v>
      </c>
      <c r="D43" s="1547">
        <v>19230</v>
      </c>
      <c r="E43" s="1547">
        <v>18540</v>
      </c>
      <c r="F43" s="1561"/>
      <c r="M43" s="1547" t="s">
        <v>1874</v>
      </c>
      <c r="N43" s="1547" t="s">
        <v>1875</v>
      </c>
      <c r="P43" s="1547" t="s">
        <v>1876</v>
      </c>
    </row>
    <row r="44" spans="1:16" ht="14.25" customHeight="1" thickBot="1">
      <c r="A44" s="1553" t="s">
        <v>1812</v>
      </c>
      <c r="B44" s="1557" t="s">
        <v>1714</v>
      </c>
      <c r="C44" s="1547">
        <v>23260</v>
      </c>
      <c r="D44" s="1547">
        <v>21180</v>
      </c>
      <c r="E44" s="1547">
        <v>20730</v>
      </c>
      <c r="F44" s="1561"/>
      <c r="M44" s="1547" t="s">
        <v>1877</v>
      </c>
      <c r="N44" s="1547" t="s">
        <v>1878</v>
      </c>
      <c r="P44" s="1547" t="s">
        <v>1879</v>
      </c>
    </row>
    <row r="45" spans="1:16" ht="14.25" customHeight="1" thickBot="1">
      <c r="A45" s="1553" t="s">
        <v>1812</v>
      </c>
      <c r="B45" s="1557" t="s">
        <v>1724</v>
      </c>
      <c r="C45" s="1547">
        <v>19610</v>
      </c>
      <c r="D45" s="1547">
        <v>18090</v>
      </c>
      <c r="E45" s="1547">
        <v>17970</v>
      </c>
      <c r="F45" s="1561"/>
      <c r="M45" s="1547" t="s">
        <v>1880</v>
      </c>
      <c r="N45" s="1547" t="s">
        <v>1881</v>
      </c>
      <c r="P45" s="1547" t="s">
        <v>1882</v>
      </c>
    </row>
    <row r="46" spans="1:16" ht="14.25" customHeight="1" thickBot="1">
      <c r="A46" s="1553" t="s">
        <v>1812</v>
      </c>
      <c r="B46" s="1557" t="s">
        <v>1734</v>
      </c>
      <c r="C46" s="1547">
        <v>21660</v>
      </c>
      <c r="D46" s="1547">
        <v>19190</v>
      </c>
      <c r="E46" s="1547">
        <v>19790</v>
      </c>
      <c r="F46" s="1561"/>
      <c r="M46" s="1547" t="s">
        <v>1883</v>
      </c>
      <c r="N46" s="1547" t="s">
        <v>1884</v>
      </c>
      <c r="P46" s="1547" t="s">
        <v>1885</v>
      </c>
    </row>
    <row r="47" spans="1:16" ht="14.25" customHeight="1" thickBot="1">
      <c r="A47" s="1553" t="s">
        <v>1812</v>
      </c>
      <c r="B47" s="1557" t="s">
        <v>1744</v>
      </c>
      <c r="C47" s="1547">
        <v>18220</v>
      </c>
      <c r="D47" s="1547"/>
      <c r="E47" s="1547">
        <v>17220</v>
      </c>
      <c r="F47" s="1561"/>
      <c r="M47" s="1547" t="s">
        <v>1886</v>
      </c>
      <c r="N47" s="1547" t="s">
        <v>1887</v>
      </c>
    </row>
    <row r="48" spans="1:16" ht="14.25" customHeight="1" thickBot="1">
      <c r="A48" s="1553" t="s">
        <v>1812</v>
      </c>
      <c r="B48" s="1558" t="s">
        <v>1753</v>
      </c>
      <c r="C48" s="1559">
        <v>19430</v>
      </c>
      <c r="D48" s="1559"/>
      <c r="E48" s="1559">
        <v>17830</v>
      </c>
      <c r="F48" s="1564"/>
      <c r="M48" s="1547" t="s">
        <v>1888</v>
      </c>
      <c r="N48" s="1547" t="s">
        <v>1889</v>
      </c>
    </row>
    <row r="49" spans="1:14" ht="14.25" customHeight="1" thickBot="1">
      <c r="A49" s="1553" t="s">
        <v>1493</v>
      </c>
      <c r="B49" s="1554" t="s">
        <v>1890</v>
      </c>
      <c r="C49" s="1554">
        <v>17090</v>
      </c>
      <c r="D49" s="1554">
        <v>16950</v>
      </c>
      <c r="E49" s="1554">
        <v>16310</v>
      </c>
      <c r="F49" s="1555">
        <v>4540</v>
      </c>
      <c r="M49" s="1547" t="s">
        <v>1891</v>
      </c>
      <c r="N49" s="1547" t="s">
        <v>1892</v>
      </c>
    </row>
    <row r="50" spans="1:14" ht="14.25" customHeight="1" thickBot="1">
      <c r="A50" s="1553" t="s">
        <v>1493</v>
      </c>
      <c r="B50" s="1547" t="s">
        <v>1560</v>
      </c>
      <c r="C50" s="1547">
        <v>19040</v>
      </c>
      <c r="D50" s="1547">
        <v>16960</v>
      </c>
      <c r="E50" s="1547">
        <v>14800</v>
      </c>
      <c r="F50" s="1561">
        <v>3940</v>
      </c>
    </row>
    <row r="51" spans="1:14" ht="14.25" customHeight="1" thickBot="1">
      <c r="A51" s="1553" t="s">
        <v>1493</v>
      </c>
      <c r="B51" s="1547" t="s">
        <v>1573</v>
      </c>
      <c r="C51" s="1547">
        <v>17040</v>
      </c>
      <c r="D51" s="1547">
        <v>16930</v>
      </c>
      <c r="E51" s="1547">
        <v>15030</v>
      </c>
      <c r="F51" s="1561">
        <v>4120</v>
      </c>
    </row>
    <row r="52" spans="1:14" ht="14.25" customHeight="1" thickBot="1">
      <c r="A52" s="1553" t="s">
        <v>1493</v>
      </c>
      <c r="B52" s="1547" t="s">
        <v>1586</v>
      </c>
      <c r="C52" s="1547">
        <v>17110</v>
      </c>
      <c r="D52" s="1547">
        <v>17750</v>
      </c>
      <c r="E52" s="1547">
        <v>17310</v>
      </c>
      <c r="F52" s="1561">
        <v>3220</v>
      </c>
    </row>
    <row r="53" spans="1:14" ht="14.25" customHeight="1" thickBot="1">
      <c r="A53" s="1553" t="s">
        <v>1493</v>
      </c>
      <c r="B53" s="1547" t="s">
        <v>1598</v>
      </c>
      <c r="C53" s="1547">
        <v>17810</v>
      </c>
      <c r="D53" s="1547">
        <v>17260</v>
      </c>
      <c r="E53" s="1547">
        <v>17090</v>
      </c>
      <c r="F53" s="1561">
        <v>3520</v>
      </c>
    </row>
    <row r="54" spans="1:14" ht="14.25" customHeight="1" thickBot="1">
      <c r="A54" s="1553" t="s">
        <v>1493</v>
      </c>
      <c r="B54" s="1547" t="s">
        <v>1609</v>
      </c>
      <c r="C54" s="1547">
        <v>17410</v>
      </c>
      <c r="D54" s="1547">
        <v>16780</v>
      </c>
      <c r="E54" s="1547">
        <v>16370</v>
      </c>
      <c r="F54" s="1561">
        <v>3410</v>
      </c>
    </row>
    <row r="55" spans="1:14" ht="14.25" customHeight="1" thickBot="1">
      <c r="A55" s="1553" t="s">
        <v>1493</v>
      </c>
      <c r="B55" s="1547" t="s">
        <v>1620</v>
      </c>
      <c r="C55" s="1547">
        <v>16930</v>
      </c>
      <c r="D55" s="1547">
        <v>14720</v>
      </c>
      <c r="E55" s="1547">
        <v>15000</v>
      </c>
      <c r="F55" s="1561">
        <v>3710</v>
      </c>
    </row>
    <row r="56" spans="1:14" ht="14.25" customHeight="1" thickBot="1">
      <c r="A56" s="1553" t="s">
        <v>1493</v>
      </c>
      <c r="B56" s="1547" t="s">
        <v>1631</v>
      </c>
      <c r="C56" s="1547">
        <v>14930</v>
      </c>
      <c r="D56" s="1547">
        <v>15850</v>
      </c>
      <c r="E56" s="1547">
        <v>14320</v>
      </c>
      <c r="F56" s="1561">
        <v>3960</v>
      </c>
    </row>
    <row r="57" spans="1:14" ht="14.25" customHeight="1" thickBot="1">
      <c r="A57" s="1553" t="s">
        <v>1493</v>
      </c>
      <c r="B57" s="1547" t="s">
        <v>1643</v>
      </c>
      <c r="C57" s="1547">
        <v>16160</v>
      </c>
      <c r="D57" s="1547">
        <v>16190</v>
      </c>
      <c r="E57" s="1547">
        <v>15650</v>
      </c>
      <c r="F57" s="1561">
        <v>4200</v>
      </c>
    </row>
    <row r="58" spans="1:14" ht="14.25" customHeight="1" thickBot="1">
      <c r="A58" s="1553" t="s">
        <v>1493</v>
      </c>
      <c r="B58" s="1547" t="s">
        <v>1653</v>
      </c>
      <c r="C58" s="1547">
        <v>16360</v>
      </c>
      <c r="D58" s="1547">
        <v>14050</v>
      </c>
      <c r="E58" s="1547">
        <v>16070</v>
      </c>
      <c r="F58" s="1561">
        <v>3990</v>
      </c>
    </row>
    <row r="59" spans="1:14" ht="14.25" customHeight="1" thickBot="1">
      <c r="A59" s="1553" t="s">
        <v>1493</v>
      </c>
      <c r="B59" s="1547" t="s">
        <v>1663</v>
      </c>
      <c r="C59" s="1547">
        <v>14160</v>
      </c>
      <c r="D59" s="1547">
        <v>16620</v>
      </c>
      <c r="E59" s="1547">
        <v>13940</v>
      </c>
      <c r="F59" s="1561">
        <v>4260</v>
      </c>
    </row>
    <row r="60" spans="1:14" ht="14.25" customHeight="1" thickBot="1">
      <c r="A60" s="1553" t="s">
        <v>1493</v>
      </c>
      <c r="B60" s="1547" t="s">
        <v>1673</v>
      </c>
      <c r="C60" s="1547">
        <v>16750</v>
      </c>
      <c r="D60" s="1547">
        <v>13910</v>
      </c>
      <c r="E60" s="1547">
        <v>16550</v>
      </c>
      <c r="F60" s="1561">
        <v>4550</v>
      </c>
    </row>
    <row r="61" spans="1:14" ht="14.25" customHeight="1" thickBot="1">
      <c r="A61" s="1553" t="s">
        <v>1493</v>
      </c>
      <c r="B61" s="1547" t="s">
        <v>1683</v>
      </c>
      <c r="C61" s="1547">
        <v>14000</v>
      </c>
      <c r="D61" s="1547">
        <v>14550</v>
      </c>
      <c r="E61" s="1547">
        <v>13860</v>
      </c>
      <c r="F61" s="1565"/>
    </row>
    <row r="62" spans="1:14" ht="14.25" customHeight="1" thickBot="1">
      <c r="A62" s="1553" t="s">
        <v>1493</v>
      </c>
      <c r="B62" s="1547" t="s">
        <v>1694</v>
      </c>
      <c r="C62" s="1547">
        <v>14660</v>
      </c>
      <c r="D62" s="1547">
        <v>17450</v>
      </c>
      <c r="E62" s="1547">
        <v>14470</v>
      </c>
      <c r="F62" s="1565"/>
    </row>
    <row r="63" spans="1:14" ht="14.25" customHeight="1" thickBot="1">
      <c r="A63" s="1553" t="s">
        <v>1493</v>
      </c>
      <c r="B63" s="1547" t="s">
        <v>1705</v>
      </c>
      <c r="C63" s="1547">
        <v>17610</v>
      </c>
      <c r="D63" s="1547">
        <v>16500</v>
      </c>
      <c r="E63" s="1547">
        <v>17330</v>
      </c>
      <c r="F63" s="1565"/>
    </row>
    <row r="64" spans="1:14" ht="14.25" customHeight="1" thickBot="1">
      <c r="A64" s="1553" t="s">
        <v>1493</v>
      </c>
      <c r="B64" s="1547" t="s">
        <v>1715</v>
      </c>
      <c r="C64" s="1547">
        <v>16590</v>
      </c>
      <c r="D64" s="1547">
        <v>15130</v>
      </c>
      <c r="E64" s="1547">
        <v>16420</v>
      </c>
      <c r="F64" s="1565"/>
    </row>
    <row r="65" spans="1:6" s="1541" customFormat="1" ht="14.25" customHeight="1" thickBot="1">
      <c r="A65" s="1553" t="s">
        <v>1493</v>
      </c>
      <c r="B65" s="1547" t="s">
        <v>1725</v>
      </c>
      <c r="C65" s="1547">
        <v>15220</v>
      </c>
      <c r="D65" s="1547">
        <v>14660</v>
      </c>
      <c r="E65" s="1547">
        <v>15060</v>
      </c>
      <c r="F65" s="1561"/>
    </row>
    <row r="66" spans="1:6" s="1541" customFormat="1" ht="14.25" customHeight="1" thickBot="1">
      <c r="A66" s="1553" t="s">
        <v>1493</v>
      </c>
      <c r="B66" s="1547" t="s">
        <v>1735</v>
      </c>
      <c r="C66" s="1547">
        <v>14720</v>
      </c>
      <c r="D66" s="1547">
        <v>15970</v>
      </c>
      <c r="E66" s="1547">
        <v>14610</v>
      </c>
      <c r="F66" s="1561"/>
    </row>
    <row r="67" spans="1:6" s="1541" customFormat="1" ht="14.25" customHeight="1" thickBot="1">
      <c r="A67" s="1553" t="s">
        <v>1493</v>
      </c>
      <c r="B67" s="1547" t="s">
        <v>1745</v>
      </c>
      <c r="C67" s="1547">
        <v>16080</v>
      </c>
      <c r="D67" s="1547">
        <v>14840</v>
      </c>
      <c r="E67" s="1547">
        <v>15630</v>
      </c>
      <c r="F67" s="1561"/>
    </row>
    <row r="68" spans="1:6" s="1541" customFormat="1" ht="14.25" customHeight="1" thickBot="1">
      <c r="A68" s="1553" t="s">
        <v>1493</v>
      </c>
      <c r="B68" s="1547" t="s">
        <v>1754</v>
      </c>
      <c r="C68" s="1547">
        <v>14940</v>
      </c>
      <c r="D68" s="1547">
        <v>18000</v>
      </c>
      <c r="E68" s="1547">
        <v>14040</v>
      </c>
      <c r="F68" s="1561"/>
    </row>
    <row r="69" spans="1:6" s="1541" customFormat="1" ht="14.25" customHeight="1" thickBot="1">
      <c r="A69" s="1553" t="s">
        <v>1493</v>
      </c>
      <c r="B69" s="1547" t="s">
        <v>1763</v>
      </c>
      <c r="C69" s="1547">
        <v>18810</v>
      </c>
      <c r="D69" s="1547">
        <v>15100</v>
      </c>
      <c r="E69" s="1547">
        <v>14710</v>
      </c>
      <c r="F69" s="1561"/>
    </row>
    <row r="70" spans="1:6" s="1541" customFormat="1" ht="14.25" customHeight="1" thickBot="1">
      <c r="A70" s="1553" t="s">
        <v>1493</v>
      </c>
      <c r="B70" s="1547" t="s">
        <v>1771</v>
      </c>
      <c r="C70" s="1547">
        <v>18270</v>
      </c>
      <c r="D70" s="1547"/>
      <c r="E70" s="1547"/>
      <c r="F70" s="1561"/>
    </row>
    <row r="71" spans="1:6" s="1541" customFormat="1" ht="14.25" customHeight="1" thickBot="1">
      <c r="A71" s="1553" t="s">
        <v>1493</v>
      </c>
      <c r="B71" s="1547" t="s">
        <v>1778</v>
      </c>
      <c r="C71" s="1547">
        <v>15230</v>
      </c>
      <c r="D71" s="1547"/>
      <c r="E71" s="1547"/>
      <c r="F71" s="1561"/>
    </row>
    <row r="72" spans="1:6" s="1541" customFormat="1" ht="14.25" customHeight="1" thickBot="1">
      <c r="A72" s="1553" t="s">
        <v>1493</v>
      </c>
      <c r="B72" s="1547" t="s">
        <v>1785</v>
      </c>
      <c r="C72" s="1547"/>
      <c r="D72" s="1547"/>
      <c r="E72" s="1547"/>
      <c r="F72" s="1561">
        <v>4120</v>
      </c>
    </row>
    <row r="73" spans="1:6" s="1541" customFormat="1" ht="14.25" customHeight="1" thickBot="1">
      <c r="A73" s="1553" t="s">
        <v>1493</v>
      </c>
      <c r="B73" s="1547" t="s">
        <v>1792</v>
      </c>
      <c r="C73" s="1547"/>
      <c r="D73" s="1547"/>
      <c r="E73" s="1547"/>
      <c r="F73" s="1561">
        <v>3930</v>
      </c>
    </row>
    <row r="74" spans="1:6" s="1541" customFormat="1" ht="14.25" customHeight="1" thickBot="1">
      <c r="A74" s="1553" t="s">
        <v>1493</v>
      </c>
      <c r="B74" s="1547" t="s">
        <v>1799</v>
      </c>
      <c r="C74" s="1547"/>
      <c r="D74" s="1547"/>
      <c r="E74" s="1547"/>
      <c r="F74" s="1561">
        <v>4060</v>
      </c>
    </row>
    <row r="75" spans="1:6" s="1541" customFormat="1" ht="14.25" customHeight="1" thickBot="1">
      <c r="A75" s="1553" t="s">
        <v>1493</v>
      </c>
      <c r="B75" s="1559" t="s">
        <v>1806</v>
      </c>
      <c r="C75" s="1559"/>
      <c r="D75" s="1559"/>
      <c r="E75" s="1559"/>
      <c r="F75" s="1564">
        <v>3750</v>
      </c>
    </row>
    <row r="76" spans="1:6" s="1541" customFormat="1" ht="14.25" customHeight="1" thickBot="1">
      <c r="A76" s="1553" t="s">
        <v>1893</v>
      </c>
      <c r="B76" s="1554" t="s">
        <v>1894</v>
      </c>
      <c r="C76" s="1554">
        <v>14690</v>
      </c>
      <c r="D76" s="1554">
        <v>14640</v>
      </c>
      <c r="E76" s="1554">
        <v>14590</v>
      </c>
      <c r="F76" s="1555">
        <v>3060</v>
      </c>
    </row>
    <row r="77" spans="1:6" s="1541" customFormat="1" ht="14.25" customHeight="1" thickBot="1">
      <c r="A77" s="1553" t="s">
        <v>1893</v>
      </c>
      <c r="B77" s="1547" t="s">
        <v>1561</v>
      </c>
      <c r="C77" s="1547">
        <v>12550</v>
      </c>
      <c r="D77" s="1547">
        <v>12480</v>
      </c>
      <c r="E77" s="1547">
        <v>12450</v>
      </c>
      <c r="F77" s="1561">
        <v>2590</v>
      </c>
    </row>
    <row r="78" spans="1:6" s="1541" customFormat="1" ht="14.25" customHeight="1" thickBot="1">
      <c r="A78" s="1553" t="s">
        <v>1893</v>
      </c>
      <c r="B78" s="1547" t="s">
        <v>1574</v>
      </c>
      <c r="C78" s="1547">
        <v>14360</v>
      </c>
      <c r="D78" s="1547">
        <v>14320</v>
      </c>
      <c r="E78" s="1547">
        <v>12510</v>
      </c>
      <c r="F78" s="1561">
        <v>2700</v>
      </c>
    </row>
    <row r="79" spans="1:6" s="1541" customFormat="1" ht="14.25" customHeight="1" thickBot="1">
      <c r="A79" s="1553" t="s">
        <v>1893</v>
      </c>
      <c r="B79" s="1547" t="s">
        <v>1587</v>
      </c>
      <c r="C79" s="1547">
        <v>12590</v>
      </c>
      <c r="D79" s="1547">
        <v>12540</v>
      </c>
      <c r="E79" s="1547">
        <v>12350</v>
      </c>
      <c r="F79" s="1561">
        <v>2740</v>
      </c>
    </row>
    <row r="80" spans="1:6" s="1541" customFormat="1" ht="14.25" customHeight="1" thickBot="1">
      <c r="A80" s="1553" t="s">
        <v>1893</v>
      </c>
      <c r="B80" s="1547" t="s">
        <v>1599</v>
      </c>
      <c r="C80" s="1547">
        <v>12450</v>
      </c>
      <c r="D80" s="1547">
        <v>12370</v>
      </c>
      <c r="E80" s="1547">
        <v>10790</v>
      </c>
      <c r="F80" s="1561">
        <v>2290</v>
      </c>
    </row>
    <row r="81" spans="1:6" s="1541" customFormat="1" ht="14.25" customHeight="1" thickBot="1">
      <c r="A81" s="1553" t="s">
        <v>1893</v>
      </c>
      <c r="B81" s="1547" t="s">
        <v>1610</v>
      </c>
      <c r="C81" s="1547">
        <v>14210</v>
      </c>
      <c r="D81" s="1547">
        <v>14150</v>
      </c>
      <c r="E81" s="1547">
        <v>12730</v>
      </c>
      <c r="F81" s="1561">
        <v>2240</v>
      </c>
    </row>
    <row r="82" spans="1:6" s="1541" customFormat="1" ht="14.25" customHeight="1" thickBot="1">
      <c r="A82" s="1553" t="s">
        <v>1893</v>
      </c>
      <c r="B82" s="1547" t="s">
        <v>1621</v>
      </c>
      <c r="C82" s="1547">
        <v>10860</v>
      </c>
      <c r="D82" s="1547">
        <v>10820</v>
      </c>
      <c r="E82" s="1547">
        <v>14720</v>
      </c>
      <c r="F82" s="1561">
        <v>2490</v>
      </c>
    </row>
    <row r="83" spans="1:6" s="1541" customFormat="1" ht="14.25" customHeight="1" thickBot="1">
      <c r="A83" s="1553" t="s">
        <v>1893</v>
      </c>
      <c r="B83" s="1547" t="s">
        <v>1632</v>
      </c>
      <c r="C83" s="1547">
        <v>12810</v>
      </c>
      <c r="D83" s="1547">
        <v>12760</v>
      </c>
      <c r="E83" s="1547">
        <v>14830</v>
      </c>
      <c r="F83" s="1561">
        <v>2450</v>
      </c>
    </row>
    <row r="84" spans="1:6" s="1541" customFormat="1" ht="14.25" customHeight="1" thickBot="1">
      <c r="A84" s="1553" t="s">
        <v>1893</v>
      </c>
      <c r="B84" s="1547" t="s">
        <v>1644</v>
      </c>
      <c r="C84" s="1547">
        <v>14950</v>
      </c>
      <c r="D84" s="1547">
        <v>14810</v>
      </c>
      <c r="E84" s="1547">
        <v>12590</v>
      </c>
      <c r="F84" s="1561">
        <v>2540</v>
      </c>
    </row>
    <row r="85" spans="1:6" s="1541" customFormat="1" ht="14.25" customHeight="1" thickBot="1">
      <c r="A85" s="1553" t="s">
        <v>1893</v>
      </c>
      <c r="B85" s="1547" t="s">
        <v>1654</v>
      </c>
      <c r="C85" s="1547">
        <v>14960</v>
      </c>
      <c r="D85" s="1547">
        <v>14890</v>
      </c>
      <c r="E85" s="1547">
        <v>12840</v>
      </c>
      <c r="F85" s="1561">
        <v>2840</v>
      </c>
    </row>
    <row r="86" spans="1:6" s="1541" customFormat="1" ht="14.25" customHeight="1" thickBot="1">
      <c r="A86" s="1553" t="s">
        <v>1893</v>
      </c>
      <c r="B86" s="1547" t="s">
        <v>1664</v>
      </c>
      <c r="C86" s="1547">
        <v>12730</v>
      </c>
      <c r="D86" s="1547">
        <v>12660</v>
      </c>
      <c r="E86" s="1547">
        <v>13310</v>
      </c>
      <c r="F86" s="1561">
        <v>3140</v>
      </c>
    </row>
    <row r="87" spans="1:6" s="1541" customFormat="1" ht="14.25" customHeight="1" thickBot="1">
      <c r="A87" s="1553" t="s">
        <v>1893</v>
      </c>
      <c r="B87" s="1547" t="s">
        <v>1674</v>
      </c>
      <c r="C87" s="1547">
        <v>12940</v>
      </c>
      <c r="D87" s="1547">
        <v>12890</v>
      </c>
      <c r="E87" s="1547">
        <v>11580</v>
      </c>
      <c r="F87" s="1565"/>
    </row>
    <row r="88" spans="1:6" s="1541" customFormat="1" ht="14.25" customHeight="1" thickBot="1">
      <c r="A88" s="1553" t="s">
        <v>1893</v>
      </c>
      <c r="B88" s="1547" t="s">
        <v>1684</v>
      </c>
      <c r="C88" s="1547">
        <v>13430</v>
      </c>
      <c r="D88" s="1547">
        <v>13360</v>
      </c>
      <c r="E88" s="1547">
        <v>12790</v>
      </c>
      <c r="F88" s="1565"/>
    </row>
    <row r="89" spans="1:6" s="1541" customFormat="1" ht="14.25" customHeight="1" thickBot="1">
      <c r="A89" s="1553" t="s">
        <v>1893</v>
      </c>
      <c r="B89" s="1547" t="s">
        <v>1695</v>
      </c>
      <c r="C89" s="1547">
        <v>11680</v>
      </c>
      <c r="D89" s="1547">
        <v>11630</v>
      </c>
      <c r="E89" s="1547">
        <v>11320</v>
      </c>
      <c r="F89" s="1565"/>
    </row>
    <row r="90" spans="1:6" s="1541" customFormat="1" ht="14.25" customHeight="1" thickBot="1">
      <c r="A90" s="1553" t="s">
        <v>1893</v>
      </c>
      <c r="B90" s="1547" t="s">
        <v>1706</v>
      </c>
      <c r="C90" s="1547">
        <v>12890</v>
      </c>
      <c r="D90" s="1547">
        <v>12820</v>
      </c>
      <c r="E90" s="1547">
        <v>12710</v>
      </c>
      <c r="F90" s="1565"/>
    </row>
    <row r="91" spans="1:6" s="1541" customFormat="1" ht="14.25" customHeight="1" thickBot="1">
      <c r="A91" s="1553" t="s">
        <v>1893</v>
      </c>
      <c r="B91" s="1547" t="s">
        <v>1716</v>
      </c>
      <c r="C91" s="1547">
        <v>11410</v>
      </c>
      <c r="D91" s="1547">
        <v>11360</v>
      </c>
      <c r="E91" s="1547">
        <v>12670</v>
      </c>
      <c r="F91" s="1565"/>
    </row>
    <row r="92" spans="1:6" s="1541" customFormat="1" ht="14.25" customHeight="1" thickBot="1">
      <c r="A92" s="1553" t="s">
        <v>1893</v>
      </c>
      <c r="B92" s="1547" t="s">
        <v>1726</v>
      </c>
      <c r="C92" s="1547">
        <v>12770</v>
      </c>
      <c r="D92" s="1547">
        <v>12740</v>
      </c>
      <c r="E92" s="1547">
        <v>11970</v>
      </c>
      <c r="F92" s="1565"/>
    </row>
    <row r="93" spans="1:6" s="1541" customFormat="1" ht="14.25" customHeight="1" thickBot="1">
      <c r="A93" s="1553" t="s">
        <v>1893</v>
      </c>
      <c r="B93" s="1547" t="s">
        <v>1736</v>
      </c>
      <c r="C93" s="1547">
        <v>12740</v>
      </c>
      <c r="D93" s="1547">
        <v>12700</v>
      </c>
      <c r="E93" s="1547">
        <v>12540</v>
      </c>
      <c r="F93" s="1565"/>
    </row>
    <row r="94" spans="1:6" s="1541" customFormat="1" ht="14.25" customHeight="1" thickBot="1">
      <c r="A94" s="1553" t="s">
        <v>1893</v>
      </c>
      <c r="B94" s="1547" t="s">
        <v>1746</v>
      </c>
      <c r="C94" s="1547">
        <v>12020</v>
      </c>
      <c r="D94" s="1547">
        <v>11990</v>
      </c>
      <c r="E94" s="1547">
        <v>13110</v>
      </c>
      <c r="F94" s="1565"/>
    </row>
    <row r="95" spans="1:6" s="1541" customFormat="1" ht="14.25" customHeight="1" thickBot="1">
      <c r="A95" s="1553" t="s">
        <v>1893</v>
      </c>
      <c r="B95" s="1547" t="s">
        <v>1755</v>
      </c>
      <c r="C95" s="1547">
        <v>12620</v>
      </c>
      <c r="D95" s="1547">
        <v>12580</v>
      </c>
      <c r="E95" s="1547">
        <v>13160</v>
      </c>
      <c r="F95" s="1561"/>
    </row>
    <row r="96" spans="1:6" s="1541" customFormat="1" ht="14.25" customHeight="1" thickBot="1">
      <c r="A96" s="1553" t="s">
        <v>1893</v>
      </c>
      <c r="B96" s="1547" t="s">
        <v>1764</v>
      </c>
      <c r="C96" s="1547">
        <v>13200</v>
      </c>
      <c r="D96" s="1547">
        <v>13150</v>
      </c>
      <c r="E96" s="1547">
        <v>12900</v>
      </c>
      <c r="F96" s="1561"/>
    </row>
    <row r="97" spans="1:6" s="1541" customFormat="1" ht="14.25" customHeight="1" thickBot="1">
      <c r="A97" s="1553" t="s">
        <v>1893</v>
      </c>
      <c r="B97" s="1547" t="s">
        <v>1772</v>
      </c>
      <c r="C97" s="1547">
        <v>13270</v>
      </c>
      <c r="D97" s="1547">
        <v>13210</v>
      </c>
      <c r="E97" s="1547">
        <v>11080</v>
      </c>
      <c r="F97" s="1561"/>
    </row>
    <row r="98" spans="1:6" s="1541" customFormat="1" ht="14.25" customHeight="1" thickBot="1">
      <c r="A98" s="1553" t="s">
        <v>1893</v>
      </c>
      <c r="B98" s="1547" t="s">
        <v>1779</v>
      </c>
      <c r="C98" s="1547">
        <v>13010</v>
      </c>
      <c r="D98" s="1547">
        <v>12930</v>
      </c>
      <c r="E98" s="1547">
        <v>12840</v>
      </c>
      <c r="F98" s="1561"/>
    </row>
    <row r="99" spans="1:6" s="1541" customFormat="1" ht="14.25" customHeight="1" thickBot="1">
      <c r="A99" s="1553" t="s">
        <v>1893</v>
      </c>
      <c r="B99" s="1547" t="s">
        <v>1786</v>
      </c>
      <c r="C99" s="1547">
        <v>11190</v>
      </c>
      <c r="D99" s="1547">
        <v>11130</v>
      </c>
      <c r="E99" s="1547"/>
      <c r="F99" s="1561"/>
    </row>
    <row r="100" spans="1:6" s="1541" customFormat="1" ht="14.25" customHeight="1" thickBot="1">
      <c r="A100" s="1553" t="s">
        <v>1893</v>
      </c>
      <c r="B100" s="1547" t="s">
        <v>1793</v>
      </c>
      <c r="C100" s="1547">
        <v>14280</v>
      </c>
      <c r="D100" s="1547">
        <v>14180</v>
      </c>
      <c r="E100" s="1547"/>
      <c r="F100" s="1561"/>
    </row>
    <row r="101" spans="1:6" s="1541" customFormat="1" ht="14.25" customHeight="1" thickBot="1">
      <c r="A101" s="1553" t="s">
        <v>1893</v>
      </c>
      <c r="B101" s="1547" t="s">
        <v>1800</v>
      </c>
      <c r="C101" s="1547">
        <v>12960</v>
      </c>
      <c r="D101" s="1547">
        <v>12890</v>
      </c>
      <c r="E101" s="1547"/>
      <c r="F101" s="1561"/>
    </row>
    <row r="102" spans="1:6" s="1541" customFormat="1" ht="14.25" customHeight="1" thickBot="1">
      <c r="A102" s="1553" t="s">
        <v>1893</v>
      </c>
      <c r="B102" s="1547" t="s">
        <v>1807</v>
      </c>
      <c r="C102" s="1547"/>
      <c r="D102" s="1547"/>
      <c r="E102" s="1547"/>
      <c r="F102" s="1561">
        <v>3100</v>
      </c>
    </row>
    <row r="103" spans="1:6" s="1541" customFormat="1" ht="14.25" customHeight="1" thickBot="1">
      <c r="A103" s="1553" t="s">
        <v>1893</v>
      </c>
      <c r="B103" s="1547" t="s">
        <v>1814</v>
      </c>
      <c r="C103" s="1547"/>
      <c r="D103" s="1547"/>
      <c r="E103" s="1547"/>
      <c r="F103" s="1561">
        <v>2320</v>
      </c>
    </row>
    <row r="104" spans="1:6" s="1541" customFormat="1" ht="14.25" customHeight="1" thickBot="1">
      <c r="A104" s="1553" t="s">
        <v>1893</v>
      </c>
      <c r="B104" s="1547" t="s">
        <v>1819</v>
      </c>
      <c r="C104" s="1547"/>
      <c r="D104" s="1547"/>
      <c r="E104" s="1547"/>
      <c r="F104" s="1561">
        <v>2320</v>
      </c>
    </row>
    <row r="105" spans="1:6" s="1541" customFormat="1" ht="14.25" customHeight="1" thickBot="1">
      <c r="A105" s="1553" t="s">
        <v>1893</v>
      </c>
      <c r="B105" s="1547" t="s">
        <v>1823</v>
      </c>
      <c r="C105" s="1547"/>
      <c r="D105" s="1547"/>
      <c r="E105" s="1547"/>
      <c r="F105" s="1561">
        <v>2320</v>
      </c>
    </row>
    <row r="106" spans="1:6" s="1541" customFormat="1" ht="14.25" customHeight="1" thickBot="1">
      <c r="A106" s="1553" t="s">
        <v>1893</v>
      </c>
      <c r="B106" s="1547" t="s">
        <v>1828</v>
      </c>
      <c r="C106" s="1547"/>
      <c r="D106" s="1547"/>
      <c r="E106" s="1547"/>
      <c r="F106" s="1561">
        <v>2320</v>
      </c>
    </row>
    <row r="107" spans="1:6" s="1541" customFormat="1" ht="14.25" customHeight="1" thickBot="1">
      <c r="A107" s="1553" t="s">
        <v>1893</v>
      </c>
      <c r="B107" s="1547" t="s">
        <v>1833</v>
      </c>
      <c r="C107" s="1547"/>
      <c r="D107" s="1547"/>
      <c r="E107" s="1547"/>
      <c r="F107" s="1561">
        <v>2280</v>
      </c>
    </row>
    <row r="108" spans="1:6" s="1541" customFormat="1" ht="14.25" customHeight="1" thickBot="1">
      <c r="A108" s="1553" t="s">
        <v>1893</v>
      </c>
      <c r="B108" s="1547" t="s">
        <v>1838</v>
      </c>
      <c r="C108" s="1547"/>
      <c r="D108" s="1547"/>
      <c r="E108" s="1547"/>
      <c r="F108" s="1561">
        <v>2280</v>
      </c>
    </row>
    <row r="109" spans="1:6" s="1541" customFormat="1" ht="14.25" customHeight="1" thickBot="1">
      <c r="A109" s="1553" t="s">
        <v>1893</v>
      </c>
      <c r="B109" s="1559" t="s">
        <v>1843</v>
      </c>
      <c r="C109" s="1559"/>
      <c r="D109" s="1559"/>
      <c r="E109" s="1559"/>
      <c r="F109" s="1564">
        <v>2280</v>
      </c>
    </row>
    <row r="110" spans="1:6" s="1541" customFormat="1" ht="14.25" customHeight="1" thickBot="1">
      <c r="A110" s="1553" t="s">
        <v>370</v>
      </c>
      <c r="B110" s="1554" t="s">
        <v>1895</v>
      </c>
      <c r="C110" s="1554">
        <v>10520</v>
      </c>
      <c r="D110" s="1554">
        <v>10490</v>
      </c>
      <c r="E110" s="1554">
        <v>10760</v>
      </c>
      <c r="F110" s="1555">
        <v>2160</v>
      </c>
    </row>
    <row r="111" spans="1:6" s="1541" customFormat="1" ht="14.25" customHeight="1" thickBot="1">
      <c r="A111" s="1553" t="s">
        <v>370</v>
      </c>
      <c r="B111" s="1547" t="s">
        <v>1562</v>
      </c>
      <c r="C111" s="1547">
        <v>10090</v>
      </c>
      <c r="D111" s="1547">
        <v>10060</v>
      </c>
      <c r="E111" s="1547">
        <v>10300</v>
      </c>
      <c r="F111" s="1561">
        <v>2010</v>
      </c>
    </row>
    <row r="112" spans="1:6" s="1541" customFormat="1" ht="14.25" customHeight="1" thickBot="1">
      <c r="A112" s="1553" t="s">
        <v>370</v>
      </c>
      <c r="B112" s="1547" t="s">
        <v>1575</v>
      </c>
      <c r="C112" s="1547">
        <v>9910</v>
      </c>
      <c r="D112" s="1547">
        <v>9850</v>
      </c>
      <c r="E112" s="1547">
        <v>9960</v>
      </c>
      <c r="F112" s="1561">
        <v>2090</v>
      </c>
    </row>
    <row r="113" spans="1:6" s="1541" customFormat="1" ht="14.25" customHeight="1" thickBot="1">
      <c r="A113" s="1553" t="s">
        <v>370</v>
      </c>
      <c r="B113" s="1547" t="s">
        <v>1588</v>
      </c>
      <c r="C113" s="1547">
        <v>11430</v>
      </c>
      <c r="D113" s="1547">
        <v>11400</v>
      </c>
      <c r="E113" s="1547">
        <v>11710</v>
      </c>
      <c r="F113" s="1561">
        <v>2050</v>
      </c>
    </row>
    <row r="114" spans="1:6" s="1541" customFormat="1" ht="14.25" customHeight="1" thickBot="1">
      <c r="A114" s="1553" t="s">
        <v>370</v>
      </c>
      <c r="B114" s="1547" t="s">
        <v>1600</v>
      </c>
      <c r="C114" s="1547">
        <v>11390</v>
      </c>
      <c r="D114" s="1547">
        <v>11350</v>
      </c>
      <c r="E114" s="1547">
        <v>11640</v>
      </c>
      <c r="F114" s="1561">
        <v>1620</v>
      </c>
    </row>
    <row r="115" spans="1:6" s="1541" customFormat="1" ht="14.25" customHeight="1" thickBot="1">
      <c r="A115" s="1553" t="s">
        <v>370</v>
      </c>
      <c r="B115" s="1547" t="s">
        <v>1611</v>
      </c>
      <c r="C115" s="1547">
        <v>9930</v>
      </c>
      <c r="D115" s="1547">
        <v>9900</v>
      </c>
      <c r="E115" s="1547">
        <v>10160</v>
      </c>
      <c r="F115" s="1561">
        <v>1580</v>
      </c>
    </row>
    <row r="116" spans="1:6" s="1541" customFormat="1" ht="14.25" customHeight="1" thickBot="1">
      <c r="A116" s="1553" t="s">
        <v>370</v>
      </c>
      <c r="B116" s="1547" t="s">
        <v>1622</v>
      </c>
      <c r="C116" s="1547">
        <v>9150</v>
      </c>
      <c r="D116" s="1547">
        <v>9120</v>
      </c>
      <c r="E116" s="1547">
        <v>9380</v>
      </c>
      <c r="F116" s="1561">
        <v>1750</v>
      </c>
    </row>
    <row r="117" spans="1:6" s="1541" customFormat="1" ht="14.25" customHeight="1" thickBot="1">
      <c r="A117" s="1553" t="s">
        <v>370</v>
      </c>
      <c r="B117" s="1547" t="s">
        <v>1633</v>
      </c>
      <c r="C117" s="1547">
        <v>10680</v>
      </c>
      <c r="D117" s="1547">
        <v>10650</v>
      </c>
      <c r="E117" s="1547">
        <v>10970</v>
      </c>
      <c r="F117" s="1561">
        <v>1730</v>
      </c>
    </row>
    <row r="118" spans="1:6" s="1541" customFormat="1" ht="14.25" customHeight="1" thickBot="1">
      <c r="A118" s="1553" t="s">
        <v>370</v>
      </c>
      <c r="B118" s="1547" t="s">
        <v>1645</v>
      </c>
      <c r="C118" s="1547">
        <v>10080</v>
      </c>
      <c r="D118" s="1547">
        <v>10050</v>
      </c>
      <c r="E118" s="1547">
        <v>10350</v>
      </c>
      <c r="F118" s="1561">
        <v>1920</v>
      </c>
    </row>
    <row r="119" spans="1:6" s="1541" customFormat="1" ht="14.25" customHeight="1" thickBot="1">
      <c r="A119" s="1553" t="s">
        <v>370</v>
      </c>
      <c r="B119" s="1547" t="s">
        <v>1655</v>
      </c>
      <c r="C119" s="1547">
        <v>9450</v>
      </c>
      <c r="D119" s="1547">
        <v>9410</v>
      </c>
      <c r="E119" s="1547">
        <v>9680</v>
      </c>
      <c r="F119" s="1561">
        <v>1880</v>
      </c>
    </row>
    <row r="120" spans="1:6" s="1541" customFormat="1" ht="14.25" customHeight="1" thickBot="1">
      <c r="A120" s="1553" t="s">
        <v>370</v>
      </c>
      <c r="B120" s="1547" t="s">
        <v>1665</v>
      </c>
      <c r="C120" s="1547">
        <v>8730</v>
      </c>
      <c r="D120" s="1547">
        <v>8700</v>
      </c>
      <c r="E120" s="1547">
        <v>8950</v>
      </c>
      <c r="F120" s="1561">
        <v>1830</v>
      </c>
    </row>
    <row r="121" spans="1:6" s="1541" customFormat="1" ht="14.25" customHeight="1" thickBot="1">
      <c r="A121" s="1553" t="s">
        <v>370</v>
      </c>
      <c r="B121" s="1547" t="s">
        <v>1675</v>
      </c>
      <c r="C121" s="1547">
        <v>10070</v>
      </c>
      <c r="D121" s="1547">
        <v>10040</v>
      </c>
      <c r="E121" s="1547">
        <v>10270</v>
      </c>
      <c r="F121" s="1561">
        <v>1960</v>
      </c>
    </row>
    <row r="122" spans="1:6" s="1541" customFormat="1" ht="14.25" customHeight="1" thickBot="1">
      <c r="A122" s="1553" t="s">
        <v>370</v>
      </c>
      <c r="B122" s="1547" t="s">
        <v>1685</v>
      </c>
      <c r="C122" s="1547">
        <v>10500</v>
      </c>
      <c r="D122" s="1547">
        <v>10470</v>
      </c>
      <c r="E122" s="1547">
        <v>10780</v>
      </c>
      <c r="F122" s="1561">
        <v>2180</v>
      </c>
    </row>
    <row r="123" spans="1:6" s="1541" customFormat="1" ht="14.25" customHeight="1" thickBot="1">
      <c r="A123" s="1553" t="s">
        <v>370</v>
      </c>
      <c r="B123" s="1547" t="s">
        <v>1696</v>
      </c>
      <c r="C123" s="1547">
        <v>10390</v>
      </c>
      <c r="D123" s="1547">
        <v>10360</v>
      </c>
      <c r="E123" s="1547">
        <v>10660</v>
      </c>
      <c r="F123" s="1561">
        <v>2040</v>
      </c>
    </row>
    <row r="124" spans="1:6" s="1541" customFormat="1" ht="14.25" customHeight="1" thickBot="1">
      <c r="A124" s="1553" t="s">
        <v>370</v>
      </c>
      <c r="B124" s="1547" t="s">
        <v>1707</v>
      </c>
      <c r="C124" s="1547">
        <v>10390</v>
      </c>
      <c r="D124" s="1547">
        <v>10360</v>
      </c>
      <c r="E124" s="1547">
        <v>10680</v>
      </c>
      <c r="F124" s="1565"/>
    </row>
    <row r="125" spans="1:6" s="1541" customFormat="1" ht="14.25" customHeight="1" thickBot="1">
      <c r="A125" s="1553" t="s">
        <v>370</v>
      </c>
      <c r="B125" s="1547" t="s">
        <v>1717</v>
      </c>
      <c r="C125" s="1547">
        <v>10440</v>
      </c>
      <c r="D125" s="1547">
        <v>10410</v>
      </c>
      <c r="E125" s="1547">
        <v>10710</v>
      </c>
      <c r="F125" s="1565"/>
    </row>
    <row r="126" spans="1:6" s="1541" customFormat="1" ht="14.25" customHeight="1" thickBot="1">
      <c r="A126" s="1553" t="s">
        <v>370</v>
      </c>
      <c r="B126" s="1547" t="s">
        <v>1727</v>
      </c>
      <c r="C126" s="1547">
        <v>10780</v>
      </c>
      <c r="D126" s="1547">
        <v>10750</v>
      </c>
      <c r="E126" s="1547">
        <v>11080</v>
      </c>
      <c r="F126" s="1565"/>
    </row>
    <row r="127" spans="1:6" s="1541" customFormat="1" ht="14.25" customHeight="1" thickBot="1">
      <c r="A127" s="1553" t="s">
        <v>370</v>
      </c>
      <c r="B127" s="1547" t="s">
        <v>1737</v>
      </c>
      <c r="C127" s="1547">
        <v>10100</v>
      </c>
      <c r="D127" s="1547">
        <v>10070</v>
      </c>
      <c r="E127" s="1547">
        <v>10350</v>
      </c>
      <c r="F127" s="1565"/>
    </row>
    <row r="128" spans="1:6" s="1541" customFormat="1" ht="14.25" customHeight="1" thickBot="1">
      <c r="A128" s="1553" t="s">
        <v>370</v>
      </c>
      <c r="B128" s="1547" t="s">
        <v>1747</v>
      </c>
      <c r="C128" s="1547">
        <v>9200</v>
      </c>
      <c r="D128" s="1547">
        <v>9160</v>
      </c>
      <c r="E128" s="1547">
        <v>9660</v>
      </c>
      <c r="F128" s="1565"/>
    </row>
    <row r="129" spans="1:6" s="1541" customFormat="1" ht="14.25" customHeight="1" thickBot="1">
      <c r="A129" s="1553" t="s">
        <v>370</v>
      </c>
      <c r="B129" s="1547" t="s">
        <v>1756</v>
      </c>
      <c r="C129" s="1547">
        <v>10340</v>
      </c>
      <c r="D129" s="1547">
        <v>10310</v>
      </c>
      <c r="E129" s="1547">
        <v>10580</v>
      </c>
      <c r="F129" s="1565"/>
    </row>
    <row r="130" spans="1:6" s="1541" customFormat="1" ht="14.25" customHeight="1" thickBot="1">
      <c r="A130" s="1553" t="s">
        <v>370</v>
      </c>
      <c r="B130" s="1547" t="s">
        <v>1765</v>
      </c>
      <c r="C130" s="1547">
        <v>9680</v>
      </c>
      <c r="D130" s="1547">
        <v>9660</v>
      </c>
      <c r="E130" s="1547">
        <v>9950</v>
      </c>
      <c r="F130" s="1565"/>
    </row>
    <row r="131" spans="1:6" s="1541" customFormat="1" ht="14.25" customHeight="1" thickBot="1">
      <c r="A131" s="1553" t="s">
        <v>370</v>
      </c>
      <c r="B131" s="1547" t="s">
        <v>1773</v>
      </c>
      <c r="C131" s="1547">
        <v>9540</v>
      </c>
      <c r="D131" s="1547">
        <v>9510</v>
      </c>
      <c r="E131" s="1547">
        <v>9790</v>
      </c>
      <c r="F131" s="1565"/>
    </row>
    <row r="132" spans="1:6" s="1541" customFormat="1" ht="14.25" customHeight="1" thickBot="1">
      <c r="A132" s="1553" t="s">
        <v>370</v>
      </c>
      <c r="B132" s="1547" t="s">
        <v>1780</v>
      </c>
      <c r="C132" s="1547">
        <v>9320</v>
      </c>
      <c r="D132" s="1547">
        <v>9290</v>
      </c>
      <c r="E132" s="1547">
        <v>9570</v>
      </c>
      <c r="F132" s="1565"/>
    </row>
    <row r="133" spans="1:6" s="1541" customFormat="1" ht="14.25" customHeight="1" thickBot="1">
      <c r="A133" s="1553" t="s">
        <v>370</v>
      </c>
      <c r="B133" s="1547" t="s">
        <v>1787</v>
      </c>
      <c r="C133" s="1547">
        <v>10310</v>
      </c>
      <c r="D133" s="1547">
        <v>10280</v>
      </c>
      <c r="E133" s="1547">
        <v>10530</v>
      </c>
      <c r="F133" s="1565"/>
    </row>
    <row r="134" spans="1:6" s="1541" customFormat="1" ht="14.25" customHeight="1" thickBot="1">
      <c r="A134" s="1553" t="s">
        <v>370</v>
      </c>
      <c r="B134" s="1547" t="s">
        <v>1794</v>
      </c>
      <c r="C134" s="1547">
        <v>10370</v>
      </c>
      <c r="D134" s="1547">
        <v>10310</v>
      </c>
      <c r="E134" s="1547">
        <v>10240</v>
      </c>
      <c r="F134" s="1561">
        <v>2060</v>
      </c>
    </row>
    <row r="135" spans="1:6" s="1541" customFormat="1" ht="14.25" customHeight="1" thickBot="1">
      <c r="A135" s="1553" t="s">
        <v>370</v>
      </c>
      <c r="B135" s="1547" t="s">
        <v>1801</v>
      </c>
      <c r="C135" s="1547">
        <v>9300</v>
      </c>
      <c r="D135" s="1547">
        <v>9270</v>
      </c>
      <c r="E135" s="1547">
        <v>9350</v>
      </c>
      <c r="F135" s="1565"/>
    </row>
    <row r="136" spans="1:6" s="1541" customFormat="1" ht="14.25" customHeight="1" thickBot="1">
      <c r="A136" s="1553" t="s">
        <v>370</v>
      </c>
      <c r="B136" s="1547" t="s">
        <v>1808</v>
      </c>
      <c r="C136" s="1547">
        <v>10160</v>
      </c>
      <c r="D136" s="1547">
        <v>10110</v>
      </c>
      <c r="E136" s="1547">
        <v>10080</v>
      </c>
      <c r="F136" s="1565"/>
    </row>
    <row r="137" spans="1:6" s="1541" customFormat="1" ht="14.25" customHeight="1" thickBot="1">
      <c r="A137" s="1553" t="s">
        <v>370</v>
      </c>
      <c r="B137" s="1547" t="s">
        <v>1815</v>
      </c>
      <c r="C137" s="1547">
        <v>9200</v>
      </c>
      <c r="D137" s="1547">
        <v>9170</v>
      </c>
      <c r="E137" s="1547">
        <v>9450</v>
      </c>
      <c r="F137" s="1565"/>
    </row>
    <row r="138" spans="1:6" s="1541" customFormat="1" ht="14.25" customHeight="1" thickBot="1">
      <c r="A138" s="1553" t="s">
        <v>370</v>
      </c>
      <c r="B138" s="1547" t="s">
        <v>1820</v>
      </c>
      <c r="C138" s="1547">
        <v>9690</v>
      </c>
      <c r="D138" s="1547">
        <v>9660</v>
      </c>
      <c r="E138" s="1547">
        <v>9840</v>
      </c>
      <c r="F138" s="1565"/>
    </row>
    <row r="139" spans="1:6" s="1541" customFormat="1" ht="14.25" customHeight="1" thickBot="1">
      <c r="A139" s="1553" t="s">
        <v>370</v>
      </c>
      <c r="B139" s="1547" t="s">
        <v>1824</v>
      </c>
      <c r="C139" s="1547">
        <v>10290</v>
      </c>
      <c r="D139" s="1547">
        <v>10260</v>
      </c>
      <c r="E139" s="1547">
        <v>10550</v>
      </c>
      <c r="F139" s="1561">
        <v>1700</v>
      </c>
    </row>
    <row r="140" spans="1:6" s="1541" customFormat="1" ht="14.25" customHeight="1" thickBot="1">
      <c r="A140" s="1553" t="s">
        <v>370</v>
      </c>
      <c r="B140" s="1547" t="s">
        <v>1829</v>
      </c>
      <c r="C140" s="1547">
        <v>9740</v>
      </c>
      <c r="D140" s="1547">
        <v>9710</v>
      </c>
      <c r="E140" s="1547">
        <v>10000</v>
      </c>
      <c r="F140" s="1561">
        <v>2000</v>
      </c>
    </row>
    <row r="141" spans="1:6" s="1541" customFormat="1" ht="14.25" customHeight="1" thickBot="1">
      <c r="A141" s="1553" t="s">
        <v>370</v>
      </c>
      <c r="B141" s="1547" t="s">
        <v>1834</v>
      </c>
      <c r="C141" s="1547">
        <v>9810</v>
      </c>
      <c r="D141" s="1547">
        <v>9770</v>
      </c>
      <c r="E141" s="1547">
        <v>10060</v>
      </c>
      <c r="F141" s="1565"/>
    </row>
    <row r="142" spans="1:6" s="1541" customFormat="1" ht="14.25" customHeight="1" thickBot="1">
      <c r="A142" s="1553" t="s">
        <v>370</v>
      </c>
      <c r="B142" s="1547" t="s">
        <v>1839</v>
      </c>
      <c r="C142" s="1547">
        <v>9300</v>
      </c>
      <c r="D142" s="1547">
        <v>9270</v>
      </c>
      <c r="E142" s="1547">
        <v>9530</v>
      </c>
      <c r="F142" s="1565"/>
    </row>
    <row r="143" spans="1:6" s="1541" customFormat="1" ht="14.25" customHeight="1" thickBot="1">
      <c r="A143" s="1553" t="s">
        <v>370</v>
      </c>
      <c r="B143" s="1547" t="s">
        <v>1844</v>
      </c>
      <c r="C143" s="1547">
        <v>10080</v>
      </c>
      <c r="D143" s="1547">
        <v>10050</v>
      </c>
      <c r="E143" s="1547">
        <v>10340</v>
      </c>
      <c r="F143" s="1565"/>
    </row>
    <row r="144" spans="1:6" s="1541" customFormat="1" ht="14.25" customHeight="1" thickBot="1">
      <c r="A144" s="1553" t="s">
        <v>370</v>
      </c>
      <c r="B144" s="1547" t="s">
        <v>1848</v>
      </c>
      <c r="C144" s="1547">
        <v>9820</v>
      </c>
      <c r="D144" s="1547">
        <v>9750</v>
      </c>
      <c r="E144" s="1547">
        <v>9900</v>
      </c>
      <c r="F144" s="1565"/>
    </row>
    <row r="145" spans="1:6" s="1541" customFormat="1" ht="14.25" customHeight="1" thickBot="1">
      <c r="A145" s="1553" t="s">
        <v>370</v>
      </c>
      <c r="B145" s="1547" t="s">
        <v>1852</v>
      </c>
      <c r="C145" s="1547"/>
      <c r="D145" s="1547"/>
      <c r="E145" s="1547"/>
      <c r="F145" s="1561">
        <v>1740</v>
      </c>
    </row>
    <row r="146" spans="1:6" s="1541" customFormat="1" ht="14.25" customHeight="1" thickBot="1">
      <c r="A146" s="1553" t="s">
        <v>370</v>
      </c>
      <c r="B146" s="1547" t="s">
        <v>1856</v>
      </c>
      <c r="C146" s="1547"/>
      <c r="D146" s="1547"/>
      <c r="E146" s="1547"/>
      <c r="F146" s="1561">
        <v>1740</v>
      </c>
    </row>
    <row r="147" spans="1:6" s="1541" customFormat="1" ht="14.25" customHeight="1" thickBot="1">
      <c r="A147" s="1553" t="s">
        <v>370</v>
      </c>
      <c r="B147" s="1547" t="s">
        <v>1860</v>
      </c>
      <c r="C147" s="1547"/>
      <c r="D147" s="1547"/>
      <c r="E147" s="1547"/>
      <c r="F147" s="1561">
        <v>1740</v>
      </c>
    </row>
    <row r="148" spans="1:6" s="1541" customFormat="1" ht="14.25" customHeight="1" thickBot="1">
      <c r="A148" s="1553" t="s">
        <v>370</v>
      </c>
      <c r="B148" s="1547" t="s">
        <v>1864</v>
      </c>
      <c r="C148" s="1547"/>
      <c r="D148" s="1547"/>
      <c r="E148" s="1547"/>
      <c r="F148" s="1561">
        <v>1740</v>
      </c>
    </row>
    <row r="149" spans="1:6" s="1541" customFormat="1" ht="14.25" customHeight="1" thickBot="1">
      <c r="A149" s="1553" t="s">
        <v>370</v>
      </c>
      <c r="B149" s="1547" t="s">
        <v>1868</v>
      </c>
      <c r="C149" s="1547"/>
      <c r="D149" s="1547"/>
      <c r="E149" s="1547"/>
      <c r="F149" s="1561">
        <v>1740</v>
      </c>
    </row>
    <row r="150" spans="1:6" s="1541" customFormat="1" ht="14.25" customHeight="1" thickBot="1">
      <c r="A150" s="1553" t="s">
        <v>370</v>
      </c>
      <c r="B150" s="1547" t="s">
        <v>1871</v>
      </c>
      <c r="C150" s="1547"/>
      <c r="D150" s="1547"/>
      <c r="E150" s="1547"/>
      <c r="F150" s="1561">
        <v>1610</v>
      </c>
    </row>
    <row r="151" spans="1:6" s="1541" customFormat="1" ht="14.25" customHeight="1" thickBot="1">
      <c r="A151" s="1553" t="s">
        <v>370</v>
      </c>
      <c r="B151" s="1547" t="s">
        <v>1874</v>
      </c>
      <c r="C151" s="1547"/>
      <c r="D151" s="1547"/>
      <c r="E151" s="1547"/>
      <c r="F151" s="1561">
        <v>1610</v>
      </c>
    </row>
    <row r="152" spans="1:6" s="1541" customFormat="1" ht="14.25" customHeight="1" thickBot="1">
      <c r="A152" s="1553" t="s">
        <v>370</v>
      </c>
      <c r="B152" s="1547" t="s">
        <v>1877</v>
      </c>
      <c r="C152" s="1547"/>
      <c r="D152" s="1547"/>
      <c r="E152" s="1547"/>
      <c r="F152" s="1561">
        <v>1610</v>
      </c>
    </row>
    <row r="153" spans="1:6" s="1541" customFormat="1" ht="14.25" customHeight="1" thickBot="1">
      <c r="A153" s="1553" t="s">
        <v>370</v>
      </c>
      <c r="B153" s="1547" t="s">
        <v>1880</v>
      </c>
      <c r="C153" s="1547"/>
      <c r="D153" s="1547"/>
      <c r="E153" s="1547"/>
      <c r="F153" s="1561">
        <v>1610</v>
      </c>
    </row>
    <row r="154" spans="1:6" s="1541" customFormat="1" ht="14.25" customHeight="1" thickBot="1">
      <c r="A154" s="1553" t="s">
        <v>370</v>
      </c>
      <c r="B154" s="1547" t="s">
        <v>1883</v>
      </c>
      <c r="C154" s="1547"/>
      <c r="D154" s="1547"/>
      <c r="E154" s="1547"/>
      <c r="F154" s="1561">
        <v>1610</v>
      </c>
    </row>
    <row r="155" spans="1:6" s="1541" customFormat="1" ht="14.25" customHeight="1" thickBot="1">
      <c r="A155" s="1553" t="s">
        <v>370</v>
      </c>
      <c r="B155" s="1547" t="s">
        <v>1886</v>
      </c>
      <c r="C155" s="1547"/>
      <c r="D155" s="1547"/>
      <c r="E155" s="1547"/>
      <c r="F155" s="1561">
        <v>1800</v>
      </c>
    </row>
    <row r="156" spans="1:6" s="1541" customFormat="1" ht="14.25" customHeight="1" thickBot="1">
      <c r="A156" s="1553" t="s">
        <v>370</v>
      </c>
      <c r="B156" s="1547" t="s">
        <v>1888</v>
      </c>
      <c r="C156" s="1547"/>
      <c r="D156" s="1547"/>
      <c r="E156" s="1547"/>
      <c r="F156" s="1561">
        <v>1910</v>
      </c>
    </row>
    <row r="157" spans="1:6" s="1541" customFormat="1" ht="14.25" customHeight="1" thickBot="1">
      <c r="A157" s="1553" t="s">
        <v>370</v>
      </c>
      <c r="B157" s="1559" t="s">
        <v>1891</v>
      </c>
      <c r="C157" s="1559"/>
      <c r="D157" s="1559"/>
      <c r="E157" s="1559"/>
      <c r="F157" s="1564">
        <v>1500</v>
      </c>
    </row>
    <row r="158" spans="1:6" s="1541" customFormat="1" ht="14.25" customHeight="1" thickBot="1">
      <c r="A158" s="1553" t="s">
        <v>1896</v>
      </c>
      <c r="B158" s="1554" t="s">
        <v>1897</v>
      </c>
      <c r="C158" s="1554">
        <v>8170</v>
      </c>
      <c r="D158" s="1554">
        <v>8140</v>
      </c>
      <c r="E158" s="1554">
        <v>8590</v>
      </c>
      <c r="F158" s="1555">
        <v>1450</v>
      </c>
    </row>
    <row r="159" spans="1:6" s="1541" customFormat="1" ht="14.25" customHeight="1" thickBot="1">
      <c r="A159" s="1553" t="s">
        <v>1896</v>
      </c>
      <c r="B159" s="1547" t="s">
        <v>1563</v>
      </c>
      <c r="C159" s="1547">
        <v>7410</v>
      </c>
      <c r="D159" s="1547">
        <v>7370</v>
      </c>
      <c r="E159" s="1547">
        <v>8030</v>
      </c>
      <c r="F159" s="1561">
        <v>1510</v>
      </c>
    </row>
    <row r="160" spans="1:6" s="1541" customFormat="1" ht="14.25" customHeight="1" thickBot="1">
      <c r="A160" s="1553" t="s">
        <v>1896</v>
      </c>
      <c r="B160" s="1547" t="s">
        <v>1576</v>
      </c>
      <c r="C160" s="1547">
        <v>7240</v>
      </c>
      <c r="D160" s="1547">
        <v>7210</v>
      </c>
      <c r="E160" s="1547">
        <v>7860</v>
      </c>
      <c r="F160" s="1561">
        <v>1370</v>
      </c>
    </row>
    <row r="161" spans="1:6" s="1541" customFormat="1" ht="14.25" customHeight="1" thickBot="1">
      <c r="A161" s="1553" t="s">
        <v>1896</v>
      </c>
      <c r="B161" s="1547" t="s">
        <v>1589</v>
      </c>
      <c r="C161" s="1547">
        <v>7720</v>
      </c>
      <c r="D161" s="1547">
        <v>7690</v>
      </c>
      <c r="E161" s="1547">
        <v>8200</v>
      </c>
      <c r="F161" s="1561">
        <v>1190</v>
      </c>
    </row>
    <row r="162" spans="1:6" s="1541" customFormat="1" ht="14.25" customHeight="1" thickBot="1">
      <c r="A162" s="1553" t="s">
        <v>1896</v>
      </c>
      <c r="B162" s="1547" t="s">
        <v>1601</v>
      </c>
      <c r="C162" s="1547">
        <v>6900</v>
      </c>
      <c r="D162" s="1547">
        <v>6870</v>
      </c>
      <c r="E162" s="1547">
        <v>7500</v>
      </c>
      <c r="F162" s="1561">
        <v>1390</v>
      </c>
    </row>
    <row r="163" spans="1:6" s="1541" customFormat="1" ht="14.25" customHeight="1" thickBot="1">
      <c r="A163" s="1553" t="s">
        <v>1896</v>
      </c>
      <c r="B163" s="1547" t="s">
        <v>1612</v>
      </c>
      <c r="C163" s="1547">
        <v>7120</v>
      </c>
      <c r="D163" s="1547">
        <v>7090</v>
      </c>
      <c r="E163" s="1547">
        <v>7690</v>
      </c>
      <c r="F163" s="1561">
        <v>1230</v>
      </c>
    </row>
    <row r="164" spans="1:6" s="1541" customFormat="1" ht="14.25" customHeight="1" thickBot="1">
      <c r="A164" s="1553" t="s">
        <v>1896</v>
      </c>
      <c r="B164" s="1547" t="s">
        <v>1623</v>
      </c>
      <c r="C164" s="1547">
        <v>6560</v>
      </c>
      <c r="D164" s="1547">
        <v>6530</v>
      </c>
      <c r="E164" s="1547">
        <v>7110</v>
      </c>
      <c r="F164" s="1561">
        <v>1340</v>
      </c>
    </row>
    <row r="165" spans="1:6" s="1541" customFormat="1" ht="14.25" customHeight="1" thickBot="1">
      <c r="A165" s="1553" t="s">
        <v>1896</v>
      </c>
      <c r="B165" s="1547" t="s">
        <v>1634</v>
      </c>
      <c r="C165" s="1547">
        <v>7450</v>
      </c>
      <c r="D165" s="1547">
        <v>7430</v>
      </c>
      <c r="E165" s="1547">
        <v>8110</v>
      </c>
      <c r="F165" s="1561">
        <v>1290</v>
      </c>
    </row>
    <row r="166" spans="1:6" s="1541" customFormat="1" ht="14.25" customHeight="1" thickBot="1">
      <c r="A166" s="1553" t="s">
        <v>1896</v>
      </c>
      <c r="B166" s="1547" t="s">
        <v>1646</v>
      </c>
      <c r="C166" s="1547">
        <v>7490</v>
      </c>
      <c r="D166" s="1547">
        <v>7460</v>
      </c>
      <c r="E166" s="1547">
        <v>8150</v>
      </c>
      <c r="F166" s="1561">
        <v>1350</v>
      </c>
    </row>
    <row r="167" spans="1:6" s="1541" customFormat="1" ht="14.25" customHeight="1" thickBot="1">
      <c r="A167" s="1553" t="s">
        <v>1896</v>
      </c>
      <c r="B167" s="1547" t="s">
        <v>1656</v>
      </c>
      <c r="C167" s="1547">
        <v>7540</v>
      </c>
      <c r="D167" s="1547">
        <v>7510</v>
      </c>
      <c r="E167" s="1547">
        <v>8030</v>
      </c>
      <c r="F167" s="1565"/>
    </row>
    <row r="168" spans="1:6" s="1541" customFormat="1" ht="14.25" customHeight="1" thickBot="1">
      <c r="A168" s="1553" t="s">
        <v>1896</v>
      </c>
      <c r="B168" s="1547" t="s">
        <v>1666</v>
      </c>
      <c r="C168" s="1547">
        <v>7210</v>
      </c>
      <c r="D168" s="1547">
        <v>7180</v>
      </c>
      <c r="E168" s="1547">
        <v>7830</v>
      </c>
      <c r="F168" s="1565"/>
    </row>
    <row r="169" spans="1:6" s="1541" customFormat="1" ht="14.25" customHeight="1" thickBot="1">
      <c r="A169" s="1553" t="s">
        <v>1896</v>
      </c>
      <c r="B169" s="1547" t="s">
        <v>1676</v>
      </c>
      <c r="C169" s="1547">
        <v>7040</v>
      </c>
      <c r="D169" s="1547">
        <v>7020</v>
      </c>
      <c r="E169" s="1547">
        <v>7670</v>
      </c>
      <c r="F169" s="1565"/>
    </row>
    <row r="170" spans="1:6" s="1541" customFormat="1" ht="14.25" customHeight="1" thickBot="1">
      <c r="A170" s="1553" t="s">
        <v>1896</v>
      </c>
      <c r="B170" s="1547" t="s">
        <v>1686</v>
      </c>
      <c r="C170" s="1547">
        <v>8040</v>
      </c>
      <c r="D170" s="1547">
        <v>7190</v>
      </c>
      <c r="E170" s="1547">
        <v>7850</v>
      </c>
      <c r="F170" s="1565"/>
    </row>
    <row r="171" spans="1:6" s="1541" customFormat="1" ht="14.25" customHeight="1" thickBot="1">
      <c r="A171" s="1553" t="s">
        <v>1896</v>
      </c>
      <c r="B171" s="1547" t="s">
        <v>1697</v>
      </c>
      <c r="C171" s="1547">
        <v>7860</v>
      </c>
      <c r="D171" s="1547">
        <v>7720</v>
      </c>
      <c r="E171" s="1547">
        <v>8150</v>
      </c>
      <c r="F171" s="1561">
        <v>1110</v>
      </c>
    </row>
    <row r="172" spans="1:6" s="1541" customFormat="1" ht="14.25" customHeight="1" thickBot="1">
      <c r="A172" s="1553" t="s">
        <v>1896</v>
      </c>
      <c r="B172" s="1547" t="s">
        <v>1708</v>
      </c>
      <c r="C172" s="1547">
        <v>7210</v>
      </c>
      <c r="D172" s="1547">
        <v>7170</v>
      </c>
      <c r="E172" s="1547">
        <v>7320</v>
      </c>
      <c r="F172" s="1565"/>
    </row>
    <row r="173" spans="1:6" s="1541" customFormat="1" ht="14.25" customHeight="1" thickBot="1">
      <c r="A173" s="1553" t="s">
        <v>1896</v>
      </c>
      <c r="B173" s="1547" t="s">
        <v>1718</v>
      </c>
      <c r="C173" s="1547">
        <v>6860</v>
      </c>
      <c r="D173" s="1547">
        <v>6810</v>
      </c>
      <c r="E173" s="1547">
        <v>7440</v>
      </c>
      <c r="F173" s="1565"/>
    </row>
    <row r="174" spans="1:6" s="1541" customFormat="1" ht="14.25" customHeight="1" thickBot="1">
      <c r="A174" s="1553" t="s">
        <v>1896</v>
      </c>
      <c r="B174" s="1547" t="s">
        <v>1728</v>
      </c>
      <c r="C174" s="1547">
        <v>7120</v>
      </c>
      <c r="D174" s="1547">
        <v>7090</v>
      </c>
      <c r="E174" s="1547">
        <v>7500</v>
      </c>
      <c r="F174" s="1561">
        <v>1490</v>
      </c>
    </row>
    <row r="175" spans="1:6" s="1541" customFormat="1" ht="14.25" customHeight="1" thickBot="1">
      <c r="A175" s="1553" t="s">
        <v>1896</v>
      </c>
      <c r="B175" s="1547" t="s">
        <v>1738</v>
      </c>
      <c r="C175" s="1547">
        <v>7850</v>
      </c>
      <c r="D175" s="1547">
        <v>7820</v>
      </c>
      <c r="E175" s="1547">
        <v>8120</v>
      </c>
      <c r="F175" s="1561">
        <v>1530</v>
      </c>
    </row>
    <row r="176" spans="1:6" s="1541" customFormat="1" ht="14.25" customHeight="1" thickBot="1">
      <c r="A176" s="1553" t="s">
        <v>1896</v>
      </c>
      <c r="B176" s="1547" t="s">
        <v>1748</v>
      </c>
      <c r="C176" s="1547">
        <v>7620</v>
      </c>
      <c r="D176" s="1547">
        <v>7570</v>
      </c>
      <c r="E176" s="1547">
        <v>7990</v>
      </c>
      <c r="F176" s="1561">
        <v>1480</v>
      </c>
    </row>
    <row r="177" spans="1:6" s="1541" customFormat="1" ht="14.25" customHeight="1" thickBot="1">
      <c r="A177" s="1553" t="s">
        <v>1896</v>
      </c>
      <c r="B177" s="1547" t="s">
        <v>1757</v>
      </c>
      <c r="C177" s="1547">
        <v>8590</v>
      </c>
      <c r="D177" s="1547">
        <v>8570</v>
      </c>
      <c r="E177" s="1547">
        <v>8740</v>
      </c>
      <c r="F177" s="1561">
        <v>1540</v>
      </c>
    </row>
    <row r="178" spans="1:6" s="1541" customFormat="1" ht="14.25" customHeight="1" thickBot="1">
      <c r="A178" s="1553" t="s">
        <v>1896</v>
      </c>
      <c r="B178" s="1547" t="s">
        <v>1766</v>
      </c>
      <c r="C178" s="1547">
        <v>7510</v>
      </c>
      <c r="D178" s="1547">
        <v>7470</v>
      </c>
      <c r="E178" s="1547">
        <v>8090</v>
      </c>
      <c r="F178" s="1561">
        <v>1320</v>
      </c>
    </row>
    <row r="179" spans="1:6" s="1541" customFormat="1" ht="14.25" customHeight="1" thickBot="1">
      <c r="A179" s="1553" t="s">
        <v>1896</v>
      </c>
      <c r="B179" s="1547" t="s">
        <v>1774</v>
      </c>
      <c r="C179" s="1547">
        <v>6380</v>
      </c>
      <c r="D179" s="1547">
        <v>6340</v>
      </c>
      <c r="E179" s="1547">
        <v>6810</v>
      </c>
      <c r="F179" s="1565"/>
    </row>
    <row r="180" spans="1:6" s="1541" customFormat="1" ht="14.25" customHeight="1" thickBot="1">
      <c r="A180" s="1553" t="s">
        <v>1896</v>
      </c>
      <c r="B180" s="1547" t="s">
        <v>1781</v>
      </c>
      <c r="C180" s="1547">
        <v>7830</v>
      </c>
      <c r="D180" s="1547">
        <v>7800</v>
      </c>
      <c r="E180" s="1547">
        <v>7780</v>
      </c>
      <c r="F180" s="1561">
        <v>1440</v>
      </c>
    </row>
    <row r="181" spans="1:6" s="1541" customFormat="1" ht="14.25" customHeight="1" thickBot="1">
      <c r="A181" s="1553" t="s">
        <v>1896</v>
      </c>
      <c r="B181" s="1547" t="s">
        <v>1788</v>
      </c>
      <c r="C181" s="1547">
        <v>7110</v>
      </c>
      <c r="D181" s="1547">
        <v>7080</v>
      </c>
      <c r="E181" s="1547">
        <v>7730</v>
      </c>
      <c r="F181" s="1561">
        <v>1350</v>
      </c>
    </row>
    <row r="182" spans="1:6" s="1541" customFormat="1" ht="14.25" customHeight="1" thickBot="1">
      <c r="A182" s="1553" t="s">
        <v>1896</v>
      </c>
      <c r="B182" s="1547" t="s">
        <v>1795</v>
      </c>
      <c r="C182" s="1547">
        <v>7310</v>
      </c>
      <c r="D182" s="1547">
        <v>7280</v>
      </c>
      <c r="E182" s="1547">
        <v>7950</v>
      </c>
      <c r="F182" s="1561">
        <v>1220</v>
      </c>
    </row>
    <row r="183" spans="1:6" s="1541" customFormat="1" ht="14.25" customHeight="1" thickBot="1">
      <c r="A183" s="1553" t="s">
        <v>1896</v>
      </c>
      <c r="B183" s="1547" t="s">
        <v>1802</v>
      </c>
      <c r="C183" s="1547">
        <v>7470</v>
      </c>
      <c r="D183" s="1547">
        <v>7440</v>
      </c>
      <c r="E183" s="1547">
        <v>7880</v>
      </c>
      <c r="F183" s="1565"/>
    </row>
    <row r="184" spans="1:6" s="1541" customFormat="1" ht="14.25" customHeight="1" thickBot="1">
      <c r="A184" s="1553" t="s">
        <v>1896</v>
      </c>
      <c r="B184" s="1547" t="s">
        <v>1809</v>
      </c>
      <c r="C184" s="1547">
        <v>6960</v>
      </c>
      <c r="D184" s="1547">
        <v>6930</v>
      </c>
      <c r="E184" s="1547">
        <v>7570</v>
      </c>
      <c r="F184" s="1565"/>
    </row>
    <row r="185" spans="1:6" s="1541" customFormat="1" ht="14.25" customHeight="1" thickBot="1">
      <c r="A185" s="1553" t="s">
        <v>1896</v>
      </c>
      <c r="B185" s="1547" t="s">
        <v>1816</v>
      </c>
      <c r="C185" s="1547">
        <v>7260</v>
      </c>
      <c r="D185" s="1547">
        <v>7230</v>
      </c>
      <c r="E185" s="1547">
        <v>7710</v>
      </c>
      <c r="F185" s="1561">
        <v>1360</v>
      </c>
    </row>
    <row r="186" spans="1:6" s="1541" customFormat="1" ht="14.25" customHeight="1" thickBot="1">
      <c r="A186" s="1553" t="s">
        <v>1896</v>
      </c>
      <c r="B186" s="1547" t="s">
        <v>1821</v>
      </c>
      <c r="C186" s="1547"/>
      <c r="D186" s="1547"/>
      <c r="E186" s="1547"/>
      <c r="F186" s="1561">
        <v>1560</v>
      </c>
    </row>
    <row r="187" spans="1:6" s="1541" customFormat="1" ht="14.25" customHeight="1" thickBot="1">
      <c r="A187" s="1553" t="s">
        <v>1896</v>
      </c>
      <c r="B187" s="1547" t="s">
        <v>1825</v>
      </c>
      <c r="C187" s="1547"/>
      <c r="D187" s="1547"/>
      <c r="E187" s="1547"/>
      <c r="F187" s="1561">
        <v>1560</v>
      </c>
    </row>
    <row r="188" spans="1:6" s="1541" customFormat="1" ht="14.25" customHeight="1" thickBot="1">
      <c r="A188" s="1553" t="s">
        <v>1896</v>
      </c>
      <c r="B188" s="1547" t="s">
        <v>1830</v>
      </c>
      <c r="C188" s="1547"/>
      <c r="D188" s="1547"/>
      <c r="E188" s="1547"/>
      <c r="F188" s="1561">
        <v>1560</v>
      </c>
    </row>
    <row r="189" spans="1:6" s="1541" customFormat="1" ht="14.25" customHeight="1" thickBot="1">
      <c r="A189" s="1553" t="s">
        <v>1896</v>
      </c>
      <c r="B189" s="1547" t="s">
        <v>1835</v>
      </c>
      <c r="C189" s="1547"/>
      <c r="D189" s="1547"/>
      <c r="E189" s="1547"/>
      <c r="F189" s="1561">
        <v>1320</v>
      </c>
    </row>
    <row r="190" spans="1:6" s="1541" customFormat="1" ht="14.25" customHeight="1" thickBot="1">
      <c r="A190" s="1553" t="s">
        <v>1896</v>
      </c>
      <c r="B190" s="1547" t="s">
        <v>1840</v>
      </c>
      <c r="C190" s="1547"/>
      <c r="D190" s="1547"/>
      <c r="E190" s="1547"/>
      <c r="F190" s="1561">
        <v>1320</v>
      </c>
    </row>
    <row r="191" spans="1:6" s="1541" customFormat="1" ht="14.25" customHeight="1" thickBot="1">
      <c r="A191" s="1553" t="s">
        <v>1896</v>
      </c>
      <c r="B191" s="1547" t="s">
        <v>1845</v>
      </c>
      <c r="C191" s="1547"/>
      <c r="D191" s="1547"/>
      <c r="E191" s="1547"/>
      <c r="F191" s="1561">
        <v>1320</v>
      </c>
    </row>
    <row r="192" spans="1:6" s="1541" customFormat="1" ht="14.25" customHeight="1" thickBot="1">
      <c r="A192" s="1553" t="s">
        <v>1896</v>
      </c>
      <c r="B192" s="1547" t="s">
        <v>1849</v>
      </c>
      <c r="C192" s="1547"/>
      <c r="D192" s="1547"/>
      <c r="E192" s="1547"/>
      <c r="F192" s="1561">
        <v>1100</v>
      </c>
    </row>
    <row r="193" spans="1:6" s="1541" customFormat="1" ht="14.25" customHeight="1" thickBot="1">
      <c r="A193" s="1553" t="s">
        <v>1896</v>
      </c>
      <c r="B193" s="1547" t="s">
        <v>1853</v>
      </c>
      <c r="C193" s="1547"/>
      <c r="D193" s="1547"/>
      <c r="E193" s="1547"/>
      <c r="F193" s="1561">
        <v>1100</v>
      </c>
    </row>
    <row r="194" spans="1:6" s="1541" customFormat="1" ht="14.25" customHeight="1" thickBot="1">
      <c r="A194" s="1553" t="s">
        <v>1896</v>
      </c>
      <c r="B194" s="1547" t="s">
        <v>1857</v>
      </c>
      <c r="C194" s="1547"/>
      <c r="D194" s="1547"/>
      <c r="E194" s="1547"/>
      <c r="F194" s="1561">
        <v>1080</v>
      </c>
    </row>
    <row r="195" spans="1:6" s="1541" customFormat="1" ht="14.25" customHeight="1" thickBot="1">
      <c r="A195" s="1553" t="s">
        <v>1896</v>
      </c>
      <c r="B195" s="1547" t="s">
        <v>1861</v>
      </c>
      <c r="C195" s="1547"/>
      <c r="D195" s="1547"/>
      <c r="E195" s="1547"/>
      <c r="F195" s="1561">
        <v>1270</v>
      </c>
    </row>
    <row r="196" spans="1:6" s="1541" customFormat="1" ht="14.25" customHeight="1" thickBot="1">
      <c r="A196" s="1553" t="s">
        <v>1896</v>
      </c>
      <c r="B196" s="1547" t="s">
        <v>1865</v>
      </c>
      <c r="C196" s="1547"/>
      <c r="D196" s="1547"/>
      <c r="E196" s="1547"/>
      <c r="F196" s="1561">
        <v>1150</v>
      </c>
    </row>
    <row r="197" spans="1:6" s="1541" customFormat="1" ht="14.25" customHeight="1" thickBot="1">
      <c r="A197" s="1553" t="s">
        <v>1896</v>
      </c>
      <c r="B197" s="1547" t="s">
        <v>1869</v>
      </c>
      <c r="C197" s="1547"/>
      <c r="D197" s="1547"/>
      <c r="E197" s="1547"/>
      <c r="F197" s="1561">
        <v>1330</v>
      </c>
    </row>
    <row r="198" spans="1:6" s="1541" customFormat="1" ht="14.25" customHeight="1" thickBot="1">
      <c r="A198" s="1553" t="s">
        <v>1896</v>
      </c>
      <c r="B198" s="1547" t="s">
        <v>1872</v>
      </c>
      <c r="C198" s="1547"/>
      <c r="D198" s="1547"/>
      <c r="E198" s="1547"/>
      <c r="F198" s="1561">
        <v>1170</v>
      </c>
    </row>
    <row r="199" spans="1:6" s="1541" customFormat="1" ht="14.25" customHeight="1" thickBot="1">
      <c r="A199" s="1553" t="s">
        <v>1896</v>
      </c>
      <c r="B199" s="1547" t="s">
        <v>1875</v>
      </c>
      <c r="C199" s="1547"/>
      <c r="D199" s="1547"/>
      <c r="E199" s="1547"/>
      <c r="F199" s="1561">
        <v>1120</v>
      </c>
    </row>
    <row r="200" spans="1:6" s="1541" customFormat="1" ht="14.25" customHeight="1" thickBot="1">
      <c r="A200" s="1553" t="s">
        <v>1896</v>
      </c>
      <c r="B200" s="1547" t="s">
        <v>1878</v>
      </c>
      <c r="C200" s="1547"/>
      <c r="D200" s="1547"/>
      <c r="E200" s="1547"/>
      <c r="F200" s="1561">
        <v>1120</v>
      </c>
    </row>
    <row r="201" spans="1:6" s="1541" customFormat="1" ht="14.25" customHeight="1" thickBot="1">
      <c r="A201" s="1553" t="s">
        <v>1896</v>
      </c>
      <c r="B201" s="1547" t="s">
        <v>1881</v>
      </c>
      <c r="C201" s="1547"/>
      <c r="D201" s="1547"/>
      <c r="E201" s="1547"/>
      <c r="F201" s="1561">
        <v>1540</v>
      </c>
    </row>
    <row r="202" spans="1:6" s="1541" customFormat="1" ht="14.25" customHeight="1" thickBot="1">
      <c r="A202" s="1553" t="s">
        <v>1896</v>
      </c>
      <c r="B202" s="1547" t="s">
        <v>1884</v>
      </c>
      <c r="C202" s="1547"/>
      <c r="D202" s="1547"/>
      <c r="E202" s="1547"/>
      <c r="F202" s="1561">
        <v>1310</v>
      </c>
    </row>
    <row r="203" spans="1:6" s="1541" customFormat="1" ht="14.25" customHeight="1" thickBot="1">
      <c r="A203" s="1553" t="s">
        <v>1896</v>
      </c>
      <c r="B203" s="1547" t="s">
        <v>1887</v>
      </c>
      <c r="C203" s="1547"/>
      <c r="D203" s="1547"/>
      <c r="E203" s="1547"/>
      <c r="F203" s="1561">
        <v>1310</v>
      </c>
    </row>
    <row r="204" spans="1:6" s="1541" customFormat="1" ht="14.25" customHeight="1" thickBot="1">
      <c r="A204" s="1553" t="s">
        <v>1896</v>
      </c>
      <c r="B204" s="1547" t="s">
        <v>1889</v>
      </c>
      <c r="C204" s="1547"/>
      <c r="D204" s="1547"/>
      <c r="E204" s="1547"/>
      <c r="F204" s="1561">
        <v>1080</v>
      </c>
    </row>
    <row r="205" spans="1:6" s="1541" customFormat="1" ht="14.25" customHeight="1" thickBot="1">
      <c r="A205" s="1553" t="s">
        <v>1896</v>
      </c>
      <c r="B205" s="1547" t="s">
        <v>1892</v>
      </c>
      <c r="C205" s="1547"/>
      <c r="D205" s="1547"/>
      <c r="E205" s="1547"/>
      <c r="F205" s="1561">
        <v>1080</v>
      </c>
    </row>
    <row r="206" spans="1:6" s="1541" customFormat="1" ht="14.25" customHeight="1" thickBot="1">
      <c r="A206" s="1553" t="s">
        <v>1898</v>
      </c>
      <c r="B206" s="1554" t="s">
        <v>1899</v>
      </c>
      <c r="C206" s="1554">
        <v>5450</v>
      </c>
      <c r="D206" s="1554">
        <v>5430</v>
      </c>
      <c r="E206" s="1554">
        <v>5700</v>
      </c>
      <c r="F206" s="1555">
        <v>1020</v>
      </c>
    </row>
    <row r="207" spans="1:6" s="1541" customFormat="1" ht="14.25" customHeight="1" thickBot="1">
      <c r="A207" s="1553" t="s">
        <v>1898</v>
      </c>
      <c r="B207" s="1547" t="s">
        <v>1564</v>
      </c>
      <c r="C207" s="1547">
        <v>5860</v>
      </c>
      <c r="D207" s="1547">
        <v>5820</v>
      </c>
      <c r="E207" s="1547">
        <v>6050</v>
      </c>
      <c r="F207" s="1561">
        <v>1080</v>
      </c>
    </row>
    <row r="208" spans="1:6" s="1541" customFormat="1" ht="14.25" customHeight="1" thickBot="1">
      <c r="A208" s="1553" t="s">
        <v>1898</v>
      </c>
      <c r="B208" s="1547" t="s">
        <v>1577</v>
      </c>
      <c r="C208" s="1547">
        <v>4630</v>
      </c>
      <c r="D208" s="1547">
        <v>4600</v>
      </c>
      <c r="E208" s="1547">
        <v>4840</v>
      </c>
      <c r="F208" s="1561">
        <v>900</v>
      </c>
    </row>
    <row r="209" spans="1:6" s="1541" customFormat="1" ht="14.25" customHeight="1" thickBot="1">
      <c r="A209" s="1553" t="s">
        <v>1898</v>
      </c>
      <c r="B209" s="1547" t="s">
        <v>1590</v>
      </c>
      <c r="C209" s="1547">
        <v>5320</v>
      </c>
      <c r="D209" s="1547">
        <v>5270</v>
      </c>
      <c r="E209" s="1547">
        <v>5540</v>
      </c>
      <c r="F209" s="1561">
        <v>980</v>
      </c>
    </row>
    <row r="210" spans="1:6" s="1541" customFormat="1" ht="14.25" customHeight="1" thickBot="1">
      <c r="A210" s="1553" t="s">
        <v>1898</v>
      </c>
      <c r="B210" s="1547" t="s">
        <v>1602</v>
      </c>
      <c r="C210" s="1547">
        <v>5760</v>
      </c>
      <c r="D210" s="1547">
        <v>5710</v>
      </c>
      <c r="E210" s="1547">
        <v>6010</v>
      </c>
      <c r="F210" s="1561">
        <v>870</v>
      </c>
    </row>
    <row r="211" spans="1:6" s="1541" customFormat="1" ht="14.25" customHeight="1" thickBot="1">
      <c r="A211" s="1553" t="s">
        <v>1898</v>
      </c>
      <c r="B211" s="1547" t="s">
        <v>1613</v>
      </c>
      <c r="C211" s="1547">
        <v>4160</v>
      </c>
      <c r="D211" s="1547">
        <v>4100</v>
      </c>
      <c r="E211" s="1547">
        <v>4270</v>
      </c>
      <c r="F211" s="1561">
        <v>790</v>
      </c>
    </row>
    <row r="212" spans="1:6" s="1541" customFormat="1" ht="14.25" customHeight="1" thickBot="1">
      <c r="A212" s="1553" t="s">
        <v>1898</v>
      </c>
      <c r="B212" s="1547" t="s">
        <v>1624</v>
      </c>
      <c r="C212" s="1547">
        <v>4880</v>
      </c>
      <c r="D212" s="1547">
        <v>4850</v>
      </c>
      <c r="E212" s="1547">
        <v>5110</v>
      </c>
      <c r="F212" s="1561">
        <v>940</v>
      </c>
    </row>
    <row r="213" spans="1:6" s="1541" customFormat="1" ht="14.25" customHeight="1" thickBot="1">
      <c r="A213" s="1553" t="s">
        <v>1898</v>
      </c>
      <c r="B213" s="1547" t="s">
        <v>1635</v>
      </c>
      <c r="C213" s="1547">
        <v>4640</v>
      </c>
      <c r="D213" s="1547">
        <v>4590</v>
      </c>
      <c r="E213" s="1547">
        <v>4700</v>
      </c>
      <c r="F213" s="1561">
        <v>1030</v>
      </c>
    </row>
    <row r="214" spans="1:6" s="1541" customFormat="1" ht="14.25" customHeight="1" thickBot="1">
      <c r="A214" s="1553" t="s">
        <v>1898</v>
      </c>
      <c r="B214" s="1547" t="s">
        <v>1647</v>
      </c>
      <c r="C214" s="1547">
        <v>4540</v>
      </c>
      <c r="D214" s="1547">
        <v>4490</v>
      </c>
      <c r="E214" s="1547">
        <v>4610</v>
      </c>
      <c r="F214" s="1565"/>
    </row>
    <row r="215" spans="1:6" s="1541" customFormat="1" ht="14.25" customHeight="1" thickBot="1">
      <c r="A215" s="1553" t="s">
        <v>1898</v>
      </c>
      <c r="B215" s="1547" t="s">
        <v>1657</v>
      </c>
      <c r="C215" s="1547">
        <v>5280</v>
      </c>
      <c r="D215" s="1547">
        <v>5250</v>
      </c>
      <c r="E215" s="1547">
        <v>5520</v>
      </c>
      <c r="F215" s="1561">
        <v>1000</v>
      </c>
    </row>
    <row r="216" spans="1:6" s="1541" customFormat="1" ht="14.25" customHeight="1" thickBot="1">
      <c r="A216" s="1553" t="s">
        <v>1898</v>
      </c>
      <c r="B216" s="1547" t="s">
        <v>1667</v>
      </c>
      <c r="C216" s="1547">
        <v>5100</v>
      </c>
      <c r="D216" s="1547">
        <v>5050</v>
      </c>
      <c r="E216" s="1547">
        <v>5300</v>
      </c>
      <c r="F216" s="1561">
        <v>950</v>
      </c>
    </row>
    <row r="217" spans="1:6" s="1541" customFormat="1" ht="14.25" customHeight="1" thickBot="1">
      <c r="A217" s="1553" t="s">
        <v>1898</v>
      </c>
      <c r="B217" s="1547" t="s">
        <v>1677</v>
      </c>
      <c r="C217" s="1547">
        <v>5370</v>
      </c>
      <c r="D217" s="1547">
        <v>5320</v>
      </c>
      <c r="E217" s="1547">
        <v>5410</v>
      </c>
      <c r="F217" s="1561">
        <v>950</v>
      </c>
    </row>
    <row r="218" spans="1:6" s="1541" customFormat="1" ht="14.25" customHeight="1" thickBot="1">
      <c r="A218" s="1553" t="s">
        <v>1898</v>
      </c>
      <c r="B218" s="1547" t="s">
        <v>1687</v>
      </c>
      <c r="C218" s="1547">
        <v>5540</v>
      </c>
      <c r="D218" s="1547">
        <v>5480</v>
      </c>
      <c r="E218" s="1547">
        <v>5740</v>
      </c>
      <c r="F218" s="1561">
        <v>1020</v>
      </c>
    </row>
    <row r="219" spans="1:6" s="1541" customFormat="1" ht="14.25" customHeight="1" thickBot="1">
      <c r="A219" s="1553" t="s">
        <v>1898</v>
      </c>
      <c r="B219" s="1547" t="s">
        <v>1698</v>
      </c>
      <c r="C219" s="1547">
        <v>5140</v>
      </c>
      <c r="D219" s="1547">
        <v>5100</v>
      </c>
      <c r="E219" s="1547">
        <v>5350</v>
      </c>
      <c r="F219" s="1561">
        <v>1120</v>
      </c>
    </row>
    <row r="220" spans="1:6" s="1541" customFormat="1" ht="14.25" customHeight="1" thickBot="1">
      <c r="A220" s="1553" t="s">
        <v>1898</v>
      </c>
      <c r="B220" s="1547" t="s">
        <v>1709</v>
      </c>
      <c r="C220" s="1547">
        <v>5040</v>
      </c>
      <c r="D220" s="1547">
        <v>5000</v>
      </c>
      <c r="E220" s="1547">
        <v>5240</v>
      </c>
      <c r="F220" s="1561">
        <v>980</v>
      </c>
    </row>
    <row r="221" spans="1:6" s="1541" customFormat="1" ht="14.25" customHeight="1" thickBot="1">
      <c r="A221" s="1553" t="s">
        <v>1898</v>
      </c>
      <c r="B221" s="1547" t="s">
        <v>1719</v>
      </c>
      <c r="C221" s="1566"/>
      <c r="D221" s="1566"/>
      <c r="E221" s="1566"/>
      <c r="F221" s="1561">
        <v>1070</v>
      </c>
    </row>
    <row r="222" spans="1:6" s="1541" customFormat="1" ht="14.25" customHeight="1" thickBot="1">
      <c r="A222" s="1553" t="s">
        <v>1898</v>
      </c>
      <c r="B222" s="1547" t="s">
        <v>1729</v>
      </c>
      <c r="C222" s="1566"/>
      <c r="D222" s="1566"/>
      <c r="E222" s="1566"/>
      <c r="F222" s="1561">
        <v>870</v>
      </c>
    </row>
    <row r="223" spans="1:6" s="1541" customFormat="1" ht="14.25" customHeight="1" thickBot="1">
      <c r="A223" s="1553" t="s">
        <v>1898</v>
      </c>
      <c r="B223" s="1547" t="s">
        <v>1739</v>
      </c>
      <c r="C223" s="1566"/>
      <c r="D223" s="1566"/>
      <c r="E223" s="1566"/>
      <c r="F223" s="1561">
        <v>940</v>
      </c>
    </row>
    <row r="224" spans="1:6" s="1541" customFormat="1" ht="14.25" customHeight="1" thickBot="1">
      <c r="A224" s="1553" t="s">
        <v>1898</v>
      </c>
      <c r="B224" s="1547" t="s">
        <v>1749</v>
      </c>
      <c r="C224" s="1566"/>
      <c r="D224" s="1566"/>
      <c r="E224" s="1566"/>
      <c r="F224" s="1561">
        <v>990</v>
      </c>
    </row>
    <row r="225" spans="1:6" s="1541" customFormat="1" ht="14.25" customHeight="1" thickBot="1">
      <c r="A225" s="1553" t="s">
        <v>1898</v>
      </c>
      <c r="B225" s="1547" t="s">
        <v>1758</v>
      </c>
      <c r="C225" s="1547">
        <v>5730</v>
      </c>
      <c r="D225" s="1547">
        <v>5680</v>
      </c>
      <c r="E225" s="1547">
        <v>6020</v>
      </c>
      <c r="F225" s="1561">
        <v>1000</v>
      </c>
    </row>
    <row r="226" spans="1:6" s="1541" customFormat="1" ht="14.25" customHeight="1" thickBot="1">
      <c r="A226" s="1553" t="s">
        <v>1898</v>
      </c>
      <c r="B226" s="1547" t="s">
        <v>1767</v>
      </c>
      <c r="C226" s="1547">
        <v>4970</v>
      </c>
      <c r="D226" s="1547">
        <v>4940</v>
      </c>
      <c r="E226" s="1547">
        <v>5180</v>
      </c>
      <c r="F226" s="1561">
        <v>960</v>
      </c>
    </row>
    <row r="227" spans="1:6" s="1541" customFormat="1" ht="14.25" customHeight="1" thickBot="1">
      <c r="A227" s="1553" t="s">
        <v>1898</v>
      </c>
      <c r="B227" s="1547" t="s">
        <v>1775</v>
      </c>
      <c r="C227" s="1547">
        <v>5550</v>
      </c>
      <c r="D227" s="1547">
        <v>5500</v>
      </c>
      <c r="E227" s="1547">
        <v>5780</v>
      </c>
      <c r="F227" s="1561">
        <v>940</v>
      </c>
    </row>
    <row r="228" spans="1:6" s="1541" customFormat="1" ht="14.25" customHeight="1" thickBot="1">
      <c r="A228" s="1553" t="s">
        <v>1898</v>
      </c>
      <c r="B228" s="1547" t="s">
        <v>1782</v>
      </c>
      <c r="C228" s="1547">
        <v>5460</v>
      </c>
      <c r="D228" s="1547">
        <v>5420</v>
      </c>
      <c r="E228" s="1547">
        <v>5690</v>
      </c>
      <c r="F228" s="1561">
        <v>910</v>
      </c>
    </row>
    <row r="229" spans="1:6" s="1541" customFormat="1" ht="14.25" customHeight="1" thickBot="1">
      <c r="A229" s="1553" t="s">
        <v>1898</v>
      </c>
      <c r="B229" s="1547" t="s">
        <v>1789</v>
      </c>
      <c r="C229" s="1547">
        <v>5310</v>
      </c>
      <c r="D229" s="1547">
        <v>5270</v>
      </c>
      <c r="E229" s="1547">
        <v>5510</v>
      </c>
      <c r="F229" s="1565"/>
    </row>
    <row r="230" spans="1:6" s="1541" customFormat="1" ht="14.25" customHeight="1" thickBot="1">
      <c r="A230" s="1553" t="s">
        <v>1898</v>
      </c>
      <c r="B230" s="1547" t="s">
        <v>1796</v>
      </c>
      <c r="C230" s="1547">
        <v>4540</v>
      </c>
      <c r="D230" s="1547">
        <v>4500</v>
      </c>
      <c r="E230" s="1547">
        <v>4730</v>
      </c>
      <c r="F230" s="1565"/>
    </row>
    <row r="231" spans="1:6" s="1541" customFormat="1" ht="14.25" customHeight="1" thickBot="1">
      <c r="A231" s="1553" t="s">
        <v>1898</v>
      </c>
      <c r="B231" s="1547" t="s">
        <v>1803</v>
      </c>
      <c r="C231" s="1547">
        <v>4480</v>
      </c>
      <c r="D231" s="1547">
        <v>4410</v>
      </c>
      <c r="E231" s="1547">
        <v>4640</v>
      </c>
      <c r="F231" s="1565"/>
    </row>
    <row r="232" spans="1:6" s="1541" customFormat="1" ht="14.25" customHeight="1" thickBot="1">
      <c r="A232" s="1553" t="s">
        <v>1898</v>
      </c>
      <c r="B232" s="1547" t="s">
        <v>1810</v>
      </c>
      <c r="C232" s="1547">
        <v>5670</v>
      </c>
      <c r="D232" s="1547">
        <v>5600</v>
      </c>
      <c r="E232" s="1547">
        <v>5890</v>
      </c>
      <c r="F232" s="1561">
        <v>1150</v>
      </c>
    </row>
    <row r="233" spans="1:6" s="1541" customFormat="1" ht="14.25" customHeight="1" thickBot="1">
      <c r="A233" s="1553" t="s">
        <v>1898</v>
      </c>
      <c r="B233" s="1547" t="s">
        <v>1817</v>
      </c>
      <c r="C233" s="1547">
        <v>4590</v>
      </c>
      <c r="D233" s="1547">
        <v>4500</v>
      </c>
      <c r="E233" s="1547">
        <v>4600</v>
      </c>
      <c r="F233" s="1565"/>
    </row>
    <row r="234" spans="1:6" s="1541" customFormat="1" ht="14.25" customHeight="1" thickBot="1">
      <c r="A234" s="1553" t="s">
        <v>1898</v>
      </c>
      <c r="B234" s="1547" t="s">
        <v>2895</v>
      </c>
      <c r="C234" s="1547">
        <v>3990</v>
      </c>
      <c r="D234" s="1547">
        <v>3950</v>
      </c>
      <c r="E234" s="1547">
        <v>4180</v>
      </c>
      <c r="F234" s="1565"/>
    </row>
    <row r="235" spans="1:6" s="1541" customFormat="1" ht="14.25" customHeight="1" thickBot="1">
      <c r="A235" s="1553" t="s">
        <v>1898</v>
      </c>
      <c r="B235" s="1547" t="s">
        <v>1826</v>
      </c>
      <c r="C235" s="1547">
        <v>5590</v>
      </c>
      <c r="D235" s="1547">
        <v>5540</v>
      </c>
      <c r="E235" s="1547">
        <v>5810</v>
      </c>
      <c r="F235" s="1561">
        <v>970</v>
      </c>
    </row>
    <row r="236" spans="1:6" s="1541" customFormat="1" ht="14.25" customHeight="1" thickBot="1">
      <c r="A236" s="1553" t="s">
        <v>1898</v>
      </c>
      <c r="B236" s="1547" t="s">
        <v>1831</v>
      </c>
      <c r="C236" s="1547"/>
      <c r="D236" s="1547"/>
      <c r="E236" s="1547"/>
      <c r="F236" s="1561">
        <v>1020</v>
      </c>
    </row>
    <row r="237" spans="1:6" s="1541" customFormat="1" ht="14.25" customHeight="1" thickBot="1">
      <c r="A237" s="1553" t="s">
        <v>1898</v>
      </c>
      <c r="B237" s="1547" t="s">
        <v>1836</v>
      </c>
      <c r="C237" s="1547"/>
      <c r="D237" s="1547"/>
      <c r="E237" s="1547"/>
      <c r="F237" s="1561">
        <v>960</v>
      </c>
    </row>
    <row r="238" spans="1:6" s="1541" customFormat="1" ht="14.25" customHeight="1" thickBot="1">
      <c r="A238" s="1553" t="s">
        <v>1898</v>
      </c>
      <c r="B238" s="1547" t="s">
        <v>1841</v>
      </c>
      <c r="C238" s="1547"/>
      <c r="D238" s="1547"/>
      <c r="E238" s="1547"/>
      <c r="F238" s="1561">
        <v>960</v>
      </c>
    </row>
    <row r="239" spans="1:6" s="1541" customFormat="1" ht="14.25" customHeight="1" thickBot="1">
      <c r="A239" s="1553" t="s">
        <v>1898</v>
      </c>
      <c r="B239" s="1547" t="s">
        <v>1846</v>
      </c>
      <c r="C239" s="1547"/>
      <c r="D239" s="1547"/>
      <c r="E239" s="1547"/>
      <c r="F239" s="1561">
        <v>960</v>
      </c>
    </row>
    <row r="240" spans="1:6" s="1541" customFormat="1" ht="14.25" customHeight="1" thickBot="1">
      <c r="A240" s="1553" t="s">
        <v>1898</v>
      </c>
      <c r="B240" s="1547" t="s">
        <v>1850</v>
      </c>
      <c r="C240" s="1547"/>
      <c r="D240" s="1547"/>
      <c r="E240" s="1547"/>
      <c r="F240" s="1561">
        <v>990</v>
      </c>
    </row>
    <row r="241" spans="1:6" s="1541" customFormat="1" ht="14.25" customHeight="1" thickBot="1">
      <c r="A241" s="1553" t="s">
        <v>1898</v>
      </c>
      <c r="B241" s="1547" t="s">
        <v>1854</v>
      </c>
      <c r="C241" s="1547"/>
      <c r="D241" s="1547"/>
      <c r="E241" s="1547"/>
      <c r="F241" s="1561">
        <v>1000</v>
      </c>
    </row>
    <row r="242" spans="1:6" s="1541" customFormat="1" ht="14.25" customHeight="1" thickBot="1">
      <c r="A242" s="1553" t="s">
        <v>1898</v>
      </c>
      <c r="B242" s="1547" t="s">
        <v>1858</v>
      </c>
      <c r="C242" s="1547"/>
      <c r="D242" s="1547"/>
      <c r="E242" s="1547"/>
      <c r="F242" s="1561">
        <v>980</v>
      </c>
    </row>
    <row r="243" spans="1:6" s="1541" customFormat="1" ht="14.25" customHeight="1" thickBot="1">
      <c r="A243" s="1553" t="s">
        <v>1898</v>
      </c>
      <c r="B243" s="1547" t="s">
        <v>1862</v>
      </c>
      <c r="C243" s="1547"/>
      <c r="D243" s="1547"/>
      <c r="E243" s="1547"/>
      <c r="F243" s="1561">
        <v>970</v>
      </c>
    </row>
    <row r="244" spans="1:6" s="1541" customFormat="1" ht="14.25" customHeight="1" thickBot="1">
      <c r="A244" s="1553" t="s">
        <v>1898</v>
      </c>
      <c r="B244" s="1559" t="s">
        <v>1866</v>
      </c>
      <c r="C244" s="1559"/>
      <c r="D244" s="1559"/>
      <c r="E244" s="1559"/>
      <c r="F244" s="1564">
        <v>970</v>
      </c>
    </row>
    <row r="245" spans="1:6" s="1541" customFormat="1" ht="14.25" customHeight="1" thickBot="1">
      <c r="A245" s="1553" t="s">
        <v>1900</v>
      </c>
      <c r="B245" s="1554" t="s">
        <v>1901</v>
      </c>
      <c r="C245" s="1554">
        <v>4050</v>
      </c>
      <c r="D245" s="1554">
        <v>4020</v>
      </c>
      <c r="E245" s="1554">
        <v>4160</v>
      </c>
      <c r="F245" s="1555">
        <v>840</v>
      </c>
    </row>
    <row r="246" spans="1:6" s="1541" customFormat="1" ht="14.25" customHeight="1" thickBot="1">
      <c r="A246" s="1553" t="s">
        <v>1900</v>
      </c>
      <c r="B246" s="1547" t="s">
        <v>1565</v>
      </c>
      <c r="C246" s="1547">
        <v>4010</v>
      </c>
      <c r="D246" s="1547">
        <v>3960</v>
      </c>
      <c r="E246" s="1547">
        <v>4130</v>
      </c>
      <c r="F246" s="1561">
        <v>840</v>
      </c>
    </row>
    <row r="247" spans="1:6" s="1541" customFormat="1" ht="14.25" customHeight="1" thickBot="1">
      <c r="A247" s="1553" t="s">
        <v>1900</v>
      </c>
      <c r="B247" s="1547" t="s">
        <v>1902</v>
      </c>
      <c r="C247" s="1547">
        <v>3170</v>
      </c>
      <c r="D247" s="1547">
        <v>3140</v>
      </c>
      <c r="E247" s="1547">
        <v>3270</v>
      </c>
      <c r="F247" s="1561">
        <v>640</v>
      </c>
    </row>
    <row r="248" spans="1:6" s="1541" customFormat="1" ht="14.25" customHeight="1" thickBot="1">
      <c r="A248" s="1553" t="s">
        <v>1900</v>
      </c>
      <c r="B248" s="1547" t="s">
        <v>1903</v>
      </c>
      <c r="C248" s="1547">
        <v>3140</v>
      </c>
      <c r="D248" s="1547">
        <v>3120</v>
      </c>
      <c r="E248" s="1547">
        <v>3240</v>
      </c>
      <c r="F248" s="1561">
        <v>620</v>
      </c>
    </row>
    <row r="249" spans="1:6" s="1541" customFormat="1" ht="14.25" customHeight="1" thickBot="1">
      <c r="A249" s="1553" t="s">
        <v>1900</v>
      </c>
      <c r="B249" s="1547" t="s">
        <v>1603</v>
      </c>
      <c r="C249" s="1547">
        <v>3200</v>
      </c>
      <c r="D249" s="1547">
        <v>3100</v>
      </c>
      <c r="E249" s="1547">
        <v>3230</v>
      </c>
      <c r="F249" s="1561">
        <v>750</v>
      </c>
    </row>
    <row r="250" spans="1:6" s="1541" customFormat="1" ht="14.25" customHeight="1" thickBot="1">
      <c r="A250" s="1553" t="s">
        <v>1900</v>
      </c>
      <c r="B250" s="1547" t="s">
        <v>1614</v>
      </c>
      <c r="C250" s="1547">
        <v>4060</v>
      </c>
      <c r="D250" s="1547">
        <v>4000</v>
      </c>
      <c r="E250" s="1547">
        <v>4140</v>
      </c>
      <c r="F250" s="1561">
        <v>790</v>
      </c>
    </row>
    <row r="251" spans="1:6" s="1541" customFormat="1" ht="14.25" customHeight="1" thickBot="1">
      <c r="A251" s="1553" t="s">
        <v>1900</v>
      </c>
      <c r="B251" s="1547" t="s">
        <v>1625</v>
      </c>
      <c r="C251" s="1547">
        <v>3990</v>
      </c>
      <c r="D251" s="1547">
        <v>3970</v>
      </c>
      <c r="E251" s="1547">
        <v>4110</v>
      </c>
      <c r="F251" s="1561">
        <v>730</v>
      </c>
    </row>
    <row r="252" spans="1:6" s="1541" customFormat="1" ht="14.25" customHeight="1" thickBot="1">
      <c r="A252" s="1553" t="s">
        <v>1900</v>
      </c>
      <c r="B252" s="1547" t="s">
        <v>1636</v>
      </c>
      <c r="C252" s="1547">
        <v>3560</v>
      </c>
      <c r="D252" s="1547">
        <v>3530</v>
      </c>
      <c r="E252" s="1547">
        <v>3650</v>
      </c>
      <c r="F252" s="1561">
        <v>750</v>
      </c>
    </row>
    <row r="253" spans="1:6" s="1541" customFormat="1" ht="14.25" customHeight="1" thickBot="1">
      <c r="A253" s="1553" t="s">
        <v>1900</v>
      </c>
      <c r="B253" s="1547" t="s">
        <v>1648</v>
      </c>
      <c r="C253" s="1547">
        <v>3780</v>
      </c>
      <c r="D253" s="1547">
        <v>3750</v>
      </c>
      <c r="E253" s="1547">
        <v>3870</v>
      </c>
      <c r="F253" s="1561">
        <v>770</v>
      </c>
    </row>
    <row r="254" spans="1:6" s="1541" customFormat="1" ht="14.25" customHeight="1" thickBot="1">
      <c r="A254" s="1553" t="s">
        <v>1900</v>
      </c>
      <c r="B254" s="1547" t="s">
        <v>1658</v>
      </c>
      <c r="C254" s="1566"/>
      <c r="D254" s="1566"/>
      <c r="E254" s="1566"/>
      <c r="F254" s="1561">
        <v>740</v>
      </c>
    </row>
    <row r="255" spans="1:6" s="1541" customFormat="1" ht="14.25" customHeight="1" thickBot="1">
      <c r="A255" s="1553" t="s">
        <v>1900</v>
      </c>
      <c r="B255" s="1547" t="s">
        <v>1668</v>
      </c>
      <c r="C255" s="1566"/>
      <c r="D255" s="1566"/>
      <c r="E255" s="1566"/>
      <c r="F255" s="1561">
        <v>760</v>
      </c>
    </row>
    <row r="256" spans="1:6" s="1541" customFormat="1" ht="14.25" customHeight="1" thickBot="1">
      <c r="A256" s="1553" t="s">
        <v>1900</v>
      </c>
      <c r="B256" s="1547" t="s">
        <v>1678</v>
      </c>
      <c r="C256" s="1547">
        <v>3760</v>
      </c>
      <c r="D256" s="1547">
        <v>3730</v>
      </c>
      <c r="E256" s="1547">
        <v>3870</v>
      </c>
      <c r="F256" s="1561">
        <v>830</v>
      </c>
    </row>
    <row r="257" spans="1:6" s="1541" customFormat="1" ht="14.25" customHeight="1" thickBot="1">
      <c r="A257" s="1553" t="s">
        <v>1900</v>
      </c>
      <c r="B257" s="1547" t="s">
        <v>1688</v>
      </c>
      <c r="C257" s="1547">
        <v>3570</v>
      </c>
      <c r="D257" s="1547">
        <v>3540</v>
      </c>
      <c r="E257" s="1547">
        <v>3650</v>
      </c>
      <c r="F257" s="1561">
        <v>790</v>
      </c>
    </row>
    <row r="258" spans="1:6" s="1541" customFormat="1" ht="14.25" customHeight="1" thickBot="1">
      <c r="A258" s="1553" t="s">
        <v>1900</v>
      </c>
      <c r="B258" s="1547" t="s">
        <v>1699</v>
      </c>
      <c r="C258" s="1547">
        <v>3410</v>
      </c>
      <c r="D258" s="1547">
        <v>3380</v>
      </c>
      <c r="E258" s="1547">
        <v>3500</v>
      </c>
      <c r="F258" s="1561">
        <v>830</v>
      </c>
    </row>
    <row r="259" spans="1:6" s="1541" customFormat="1" ht="14.25" customHeight="1" thickBot="1">
      <c r="A259" s="1553" t="s">
        <v>1900</v>
      </c>
      <c r="B259" s="1547" t="s">
        <v>1710</v>
      </c>
      <c r="C259" s="1547">
        <v>3870</v>
      </c>
      <c r="D259" s="1547">
        <v>3840</v>
      </c>
      <c r="E259" s="1547">
        <v>3970</v>
      </c>
      <c r="F259" s="1561">
        <v>830</v>
      </c>
    </row>
    <row r="260" spans="1:6" s="1541" customFormat="1" ht="14.25" customHeight="1" thickBot="1">
      <c r="A260" s="1553" t="s">
        <v>1900</v>
      </c>
      <c r="B260" s="1547" t="s">
        <v>1720</v>
      </c>
      <c r="C260" s="1547">
        <v>3700</v>
      </c>
      <c r="D260" s="1547">
        <v>3660</v>
      </c>
      <c r="E260" s="1547">
        <v>3810</v>
      </c>
      <c r="F260" s="1561">
        <v>790</v>
      </c>
    </row>
    <row r="261" spans="1:6" s="1541" customFormat="1" ht="14.25" customHeight="1" thickBot="1">
      <c r="A261" s="1553" t="s">
        <v>1900</v>
      </c>
      <c r="B261" s="1547" t="s">
        <v>1730</v>
      </c>
      <c r="C261" s="1547">
        <v>3470</v>
      </c>
      <c r="D261" s="1547">
        <v>3430</v>
      </c>
      <c r="E261" s="1547">
        <v>3640</v>
      </c>
      <c r="F261" s="1561">
        <v>760</v>
      </c>
    </row>
    <row r="262" spans="1:6" s="1541" customFormat="1" ht="14.25" customHeight="1" thickBot="1">
      <c r="A262" s="1553" t="s">
        <v>1900</v>
      </c>
      <c r="B262" s="1547" t="s">
        <v>1740</v>
      </c>
      <c r="C262" s="1547">
        <v>3510</v>
      </c>
      <c r="D262" s="1547">
        <v>3470</v>
      </c>
      <c r="E262" s="1547">
        <v>3680</v>
      </c>
      <c r="F262" s="1565"/>
    </row>
    <row r="263" spans="1:6" s="1541" customFormat="1" ht="14.25" customHeight="1" thickBot="1">
      <c r="A263" s="1553" t="s">
        <v>1900</v>
      </c>
      <c r="B263" s="1547" t="s">
        <v>1750</v>
      </c>
      <c r="C263" s="1547">
        <v>3960</v>
      </c>
      <c r="D263" s="1547">
        <v>3930</v>
      </c>
      <c r="E263" s="1547">
        <v>4070</v>
      </c>
      <c r="F263" s="1561">
        <v>830</v>
      </c>
    </row>
    <row r="264" spans="1:6" s="1541" customFormat="1" ht="14.25" customHeight="1" thickBot="1">
      <c r="A264" s="1553" t="s">
        <v>1900</v>
      </c>
      <c r="B264" s="1547" t="s">
        <v>1759</v>
      </c>
      <c r="C264" s="1547">
        <v>4010</v>
      </c>
      <c r="D264" s="1547">
        <v>3980</v>
      </c>
      <c r="E264" s="1547">
        <v>4150</v>
      </c>
      <c r="F264" s="1561">
        <v>760</v>
      </c>
    </row>
    <row r="265" spans="1:6" s="1541" customFormat="1" ht="14.25" customHeight="1" thickBot="1">
      <c r="A265" s="1553" t="s">
        <v>1900</v>
      </c>
      <c r="B265" s="1547" t="s">
        <v>1768</v>
      </c>
      <c r="C265" s="1547">
        <v>3910</v>
      </c>
      <c r="D265" s="1547">
        <v>3890</v>
      </c>
      <c r="E265" s="1547">
        <v>4040</v>
      </c>
      <c r="F265" s="1561">
        <v>780</v>
      </c>
    </row>
    <row r="266" spans="1:6" s="1541" customFormat="1" ht="14.25" customHeight="1" thickBot="1">
      <c r="A266" s="1553" t="s">
        <v>1900</v>
      </c>
      <c r="B266" s="1547" t="s">
        <v>1776</v>
      </c>
      <c r="C266" s="1547">
        <v>3930</v>
      </c>
      <c r="D266" s="1547">
        <v>3900</v>
      </c>
      <c r="E266" s="1547">
        <v>4080</v>
      </c>
      <c r="F266" s="1561">
        <v>770</v>
      </c>
    </row>
    <row r="267" spans="1:6" s="1541" customFormat="1" ht="14.25" customHeight="1" thickBot="1">
      <c r="A267" s="1553" t="s">
        <v>1900</v>
      </c>
      <c r="B267" s="1547" t="s">
        <v>1783</v>
      </c>
      <c r="C267" s="1547">
        <v>3800</v>
      </c>
      <c r="D267" s="1547">
        <v>3780</v>
      </c>
      <c r="E267" s="1547">
        <v>3930</v>
      </c>
      <c r="F267" s="1565"/>
    </row>
    <row r="268" spans="1:6" s="1541" customFormat="1" ht="14.25" customHeight="1" thickBot="1">
      <c r="A268" s="1553" t="s">
        <v>1900</v>
      </c>
      <c r="B268" s="1547" t="s">
        <v>1790</v>
      </c>
      <c r="C268" s="1547">
        <v>3460</v>
      </c>
      <c r="D268" s="1547">
        <v>3430</v>
      </c>
      <c r="E268" s="1547">
        <v>3560</v>
      </c>
      <c r="F268" s="1561">
        <v>840</v>
      </c>
    </row>
    <row r="269" spans="1:6" s="1541" customFormat="1" ht="14.25" customHeight="1" thickBot="1">
      <c r="A269" s="1553" t="s">
        <v>1900</v>
      </c>
      <c r="B269" s="1547" t="s">
        <v>1797</v>
      </c>
      <c r="C269" s="1547">
        <v>3210</v>
      </c>
      <c r="D269" s="1547">
        <v>3190</v>
      </c>
      <c r="E269" s="1547">
        <v>3310</v>
      </c>
      <c r="F269" s="1561">
        <v>730</v>
      </c>
    </row>
    <row r="270" spans="1:6" s="1541" customFormat="1" ht="14.25" customHeight="1" thickBot="1">
      <c r="A270" s="1553" t="s">
        <v>1900</v>
      </c>
      <c r="B270" s="1547" t="s">
        <v>1804</v>
      </c>
      <c r="C270" s="1547">
        <v>3240</v>
      </c>
      <c r="D270" s="1547">
        <v>3210</v>
      </c>
      <c r="E270" s="1547">
        <v>3390</v>
      </c>
      <c r="F270" s="1561">
        <v>820</v>
      </c>
    </row>
    <row r="271" spans="1:6" s="1541" customFormat="1" ht="14.25" customHeight="1" thickBot="1">
      <c r="A271" s="1553" t="s">
        <v>1900</v>
      </c>
      <c r="B271" s="1547" t="s">
        <v>1811</v>
      </c>
      <c r="C271" s="1547">
        <v>3300</v>
      </c>
      <c r="D271" s="1547">
        <v>3270</v>
      </c>
      <c r="E271" s="1547">
        <v>3380</v>
      </c>
      <c r="F271" s="1561">
        <v>750</v>
      </c>
    </row>
    <row r="272" spans="1:6" s="1541" customFormat="1" ht="14.25" customHeight="1" thickBot="1">
      <c r="A272" s="1553" t="s">
        <v>1900</v>
      </c>
      <c r="B272" s="1547" t="s">
        <v>1818</v>
      </c>
      <c r="C272" s="1566"/>
      <c r="D272" s="1566"/>
      <c r="E272" s="1566"/>
      <c r="F272" s="1561">
        <v>740</v>
      </c>
    </row>
    <row r="273" spans="1:6" s="1541" customFormat="1" ht="14.25" customHeight="1" thickBot="1">
      <c r="A273" s="1553" t="s">
        <v>1900</v>
      </c>
      <c r="B273" s="1547" t="s">
        <v>1822</v>
      </c>
      <c r="C273" s="1547">
        <v>3130</v>
      </c>
      <c r="D273" s="1547">
        <v>3100</v>
      </c>
      <c r="E273" s="1547">
        <v>3230</v>
      </c>
      <c r="F273" s="1561">
        <v>700</v>
      </c>
    </row>
    <row r="274" spans="1:6" s="1541" customFormat="1" ht="14.25" customHeight="1" thickBot="1">
      <c r="A274" s="1553" t="s">
        <v>1900</v>
      </c>
      <c r="B274" s="1547" t="s">
        <v>1827</v>
      </c>
      <c r="C274" s="1547">
        <v>3460</v>
      </c>
      <c r="D274" s="1547">
        <v>3430</v>
      </c>
      <c r="E274" s="1547">
        <v>3560</v>
      </c>
      <c r="F274" s="1561">
        <v>690</v>
      </c>
    </row>
    <row r="275" spans="1:6" s="1541" customFormat="1" ht="14.25" customHeight="1" thickBot="1">
      <c r="A275" s="1553" t="s">
        <v>1900</v>
      </c>
      <c r="B275" s="1547" t="s">
        <v>1832</v>
      </c>
      <c r="C275" s="1547">
        <v>4040</v>
      </c>
      <c r="D275" s="1547">
        <v>4020</v>
      </c>
      <c r="E275" s="1547">
        <v>4160</v>
      </c>
      <c r="F275" s="1561">
        <v>820</v>
      </c>
    </row>
    <row r="276" spans="1:6" s="1541" customFormat="1" ht="14.25" customHeight="1" thickBot="1">
      <c r="A276" s="1553" t="s">
        <v>1900</v>
      </c>
      <c r="B276" s="1547" t="s">
        <v>1837</v>
      </c>
      <c r="C276" s="1547">
        <v>3270</v>
      </c>
      <c r="D276" s="1547">
        <v>3240</v>
      </c>
      <c r="E276" s="1547">
        <v>3350</v>
      </c>
      <c r="F276" s="1561">
        <v>680</v>
      </c>
    </row>
    <row r="277" spans="1:6" s="1541" customFormat="1" ht="14.25" customHeight="1" thickBot="1">
      <c r="A277" s="1553" t="s">
        <v>1900</v>
      </c>
      <c r="B277" s="1547" t="s">
        <v>1842</v>
      </c>
      <c r="C277" s="1547">
        <v>2930</v>
      </c>
      <c r="D277" s="1547">
        <v>2900</v>
      </c>
      <c r="E277" s="1547">
        <v>3000</v>
      </c>
      <c r="F277" s="1561">
        <v>640</v>
      </c>
    </row>
    <row r="278" spans="1:6" s="1541" customFormat="1" ht="14.25" customHeight="1" thickBot="1">
      <c r="A278" s="1553" t="s">
        <v>1900</v>
      </c>
      <c r="B278" s="1547" t="s">
        <v>1847</v>
      </c>
      <c r="C278" s="1547">
        <v>4080</v>
      </c>
      <c r="D278" s="1547">
        <v>4030</v>
      </c>
      <c r="E278" s="1547">
        <v>4140</v>
      </c>
      <c r="F278" s="1561">
        <v>850</v>
      </c>
    </row>
    <row r="279" spans="1:6" s="1541" customFormat="1" ht="14.25" customHeight="1" thickBot="1">
      <c r="A279" s="1553" t="s">
        <v>1900</v>
      </c>
      <c r="B279" s="1547" t="s">
        <v>1851</v>
      </c>
      <c r="C279" s="1547"/>
      <c r="D279" s="1547"/>
      <c r="E279" s="1547"/>
      <c r="F279" s="1561">
        <v>760</v>
      </c>
    </row>
    <row r="280" spans="1:6" s="1541" customFormat="1" ht="14.25" customHeight="1" thickBot="1">
      <c r="A280" s="1553" t="s">
        <v>1900</v>
      </c>
      <c r="B280" s="1547" t="s">
        <v>1855</v>
      </c>
      <c r="C280" s="1547"/>
      <c r="D280" s="1547"/>
      <c r="E280" s="1547"/>
      <c r="F280" s="1561">
        <v>760</v>
      </c>
    </row>
    <row r="281" spans="1:6" s="1541" customFormat="1" ht="14.25" customHeight="1" thickBot="1">
      <c r="A281" s="1553" t="s">
        <v>1900</v>
      </c>
      <c r="B281" s="1547" t="s">
        <v>1859</v>
      </c>
      <c r="C281" s="1547"/>
      <c r="D281" s="1547"/>
      <c r="E281" s="1547"/>
      <c r="F281" s="1561">
        <v>780</v>
      </c>
    </row>
    <row r="282" spans="1:6" s="1541" customFormat="1" ht="14.25" customHeight="1" thickBot="1">
      <c r="A282" s="1553" t="s">
        <v>1900</v>
      </c>
      <c r="B282" s="1547" t="s">
        <v>1863</v>
      </c>
      <c r="C282" s="1547"/>
      <c r="D282" s="1547"/>
      <c r="E282" s="1547"/>
      <c r="F282" s="1561">
        <v>730</v>
      </c>
    </row>
    <row r="283" spans="1:6" s="1541" customFormat="1" ht="14.25" customHeight="1" thickBot="1">
      <c r="A283" s="1553" t="s">
        <v>1900</v>
      </c>
      <c r="B283" s="1547" t="s">
        <v>1867</v>
      </c>
      <c r="C283" s="1547"/>
      <c r="D283" s="1547"/>
      <c r="E283" s="1547"/>
      <c r="F283" s="1561">
        <v>770</v>
      </c>
    </row>
    <row r="284" spans="1:6" s="1541" customFormat="1" ht="14.25" customHeight="1" thickBot="1">
      <c r="A284" s="1553" t="s">
        <v>1900</v>
      </c>
      <c r="B284" s="1547" t="s">
        <v>1870</v>
      </c>
      <c r="C284" s="1547"/>
      <c r="D284" s="1547"/>
      <c r="E284" s="1547"/>
      <c r="F284" s="1561">
        <v>640</v>
      </c>
    </row>
    <row r="285" spans="1:6" s="1541" customFormat="1" ht="14.25" customHeight="1" thickBot="1">
      <c r="A285" s="1553" t="s">
        <v>1900</v>
      </c>
      <c r="B285" s="1547" t="s">
        <v>1873</v>
      </c>
      <c r="C285" s="1547"/>
      <c r="D285" s="1547"/>
      <c r="E285" s="1547"/>
      <c r="F285" s="1561">
        <v>640</v>
      </c>
    </row>
    <row r="286" spans="1:6" s="1541" customFormat="1" ht="14.25" customHeight="1" thickBot="1">
      <c r="A286" s="1553" t="s">
        <v>1900</v>
      </c>
      <c r="B286" s="1547" t="s">
        <v>1876</v>
      </c>
      <c r="C286" s="1547"/>
      <c r="D286" s="1547"/>
      <c r="E286" s="1547"/>
      <c r="F286" s="1561">
        <v>850</v>
      </c>
    </row>
    <row r="287" spans="1:6" s="1541" customFormat="1" ht="14.25" customHeight="1" thickBot="1">
      <c r="A287" s="1553" t="s">
        <v>1900</v>
      </c>
      <c r="B287" s="1547" t="s">
        <v>1879</v>
      </c>
      <c r="C287" s="1547"/>
      <c r="D287" s="1547"/>
      <c r="E287" s="1547"/>
      <c r="F287" s="1561">
        <v>760</v>
      </c>
    </row>
    <row r="288" spans="1:6" s="1541" customFormat="1" ht="14.25" customHeight="1" thickBot="1">
      <c r="A288" s="1553" t="s">
        <v>1900</v>
      </c>
      <c r="B288" s="1547" t="s">
        <v>1882</v>
      </c>
      <c r="C288" s="1547"/>
      <c r="D288" s="1547"/>
      <c r="E288" s="1547"/>
      <c r="F288" s="1561">
        <v>830</v>
      </c>
    </row>
    <row r="289" spans="1:6" s="1541" customFormat="1" ht="14.25" customHeight="1" thickBot="1">
      <c r="A289" s="1553" t="s">
        <v>1900</v>
      </c>
      <c r="B289" s="1559" t="s">
        <v>1885</v>
      </c>
      <c r="C289" s="1559"/>
      <c r="D289" s="1559"/>
      <c r="E289" s="1559"/>
      <c r="F289" s="1564">
        <v>680</v>
      </c>
    </row>
    <row r="290" spans="1:6" s="1541" customFormat="1" ht="14.25" customHeight="1" thickBot="1">
      <c r="A290" s="1553" t="s">
        <v>1904</v>
      </c>
      <c r="B290" s="1554" t="s">
        <v>1905</v>
      </c>
      <c r="C290" s="1554">
        <v>2770</v>
      </c>
      <c r="D290" s="1554">
        <v>2740</v>
      </c>
      <c r="E290" s="1554">
        <v>2720</v>
      </c>
      <c r="F290" s="1567"/>
    </row>
    <row r="291" spans="1:6" s="1541" customFormat="1" ht="14.25" customHeight="1" thickBot="1">
      <c r="A291" s="1553" t="s">
        <v>1904</v>
      </c>
      <c r="B291" s="1547" t="s">
        <v>1566</v>
      </c>
      <c r="C291" s="1547">
        <v>2670</v>
      </c>
      <c r="D291" s="1547">
        <v>2640</v>
      </c>
      <c r="E291" s="1547">
        <v>2620</v>
      </c>
      <c r="F291" s="1565"/>
    </row>
    <row r="292" spans="1:6" s="1541" customFormat="1" ht="14.25" customHeight="1" thickBot="1">
      <c r="A292" s="1553" t="s">
        <v>1904</v>
      </c>
      <c r="B292" s="1547" t="s">
        <v>1906</v>
      </c>
      <c r="C292" s="1547">
        <v>2180</v>
      </c>
      <c r="D292" s="1547">
        <v>2140</v>
      </c>
      <c r="E292" s="1547">
        <v>2120</v>
      </c>
      <c r="F292" s="1561">
        <v>490</v>
      </c>
    </row>
    <row r="293" spans="1:6" s="1541" customFormat="1" ht="14.25" customHeight="1" thickBot="1">
      <c r="A293" s="1553" t="s">
        <v>1904</v>
      </c>
      <c r="B293" s="1547" t="s">
        <v>1907</v>
      </c>
      <c r="C293" s="1547"/>
      <c r="D293" s="1547"/>
      <c r="E293" s="1547"/>
      <c r="F293" s="1561">
        <v>470</v>
      </c>
    </row>
    <row r="294" spans="1:6" s="1541" customFormat="1" ht="14.25" customHeight="1" thickBot="1">
      <c r="A294" s="1553" t="s">
        <v>1904</v>
      </c>
      <c r="B294" s="1547" t="s">
        <v>1908</v>
      </c>
      <c r="C294" s="1547">
        <v>2730</v>
      </c>
      <c r="D294" s="1547">
        <v>2700</v>
      </c>
      <c r="E294" s="1547">
        <v>2680</v>
      </c>
      <c r="F294" s="1561">
        <v>490</v>
      </c>
    </row>
    <row r="295" spans="1:6" s="1541" customFormat="1" ht="14.25" customHeight="1" thickBot="1">
      <c r="A295" s="1553" t="s">
        <v>1904</v>
      </c>
      <c r="B295" s="1547" t="s">
        <v>1604</v>
      </c>
      <c r="C295" s="1547">
        <v>2380</v>
      </c>
      <c r="D295" s="1547">
        <v>2350</v>
      </c>
      <c r="E295" s="1547">
        <v>2330</v>
      </c>
      <c r="F295" s="1561">
        <v>530</v>
      </c>
    </row>
    <row r="296" spans="1:6" s="1541" customFormat="1" ht="14.25" customHeight="1" thickBot="1">
      <c r="A296" s="1553" t="s">
        <v>1904</v>
      </c>
      <c r="B296" s="1547" t="s">
        <v>1615</v>
      </c>
      <c r="C296" s="1547">
        <v>2650</v>
      </c>
      <c r="D296" s="1547">
        <v>2620</v>
      </c>
      <c r="E296" s="1547">
        <v>2590</v>
      </c>
      <c r="F296" s="1561">
        <v>590</v>
      </c>
    </row>
    <row r="297" spans="1:6" s="1541" customFormat="1" ht="14.25" customHeight="1" thickBot="1">
      <c r="A297" s="1553" t="s">
        <v>1904</v>
      </c>
      <c r="B297" s="1547" t="s">
        <v>1626</v>
      </c>
      <c r="C297" s="1547">
        <v>2700</v>
      </c>
      <c r="D297" s="1547">
        <v>2670</v>
      </c>
      <c r="E297" s="1547">
        <v>2650</v>
      </c>
      <c r="F297" s="1561">
        <v>630</v>
      </c>
    </row>
    <row r="298" spans="1:6" s="1541" customFormat="1" ht="14.25" customHeight="1" thickBot="1">
      <c r="A298" s="1553" t="s">
        <v>1904</v>
      </c>
      <c r="B298" s="1547" t="s">
        <v>1637</v>
      </c>
      <c r="C298" s="1547">
        <v>2650</v>
      </c>
      <c r="D298" s="1547">
        <v>2620</v>
      </c>
      <c r="E298" s="1547">
        <v>2590</v>
      </c>
      <c r="F298" s="1561">
        <v>640</v>
      </c>
    </row>
    <row r="299" spans="1:6" s="1541" customFormat="1" ht="14.25" customHeight="1" thickBot="1">
      <c r="A299" s="1553" t="s">
        <v>1904</v>
      </c>
      <c r="B299" s="1547" t="s">
        <v>1649</v>
      </c>
      <c r="C299" s="1547">
        <v>2500</v>
      </c>
      <c r="D299" s="1547">
        <v>2480</v>
      </c>
      <c r="E299" s="1547">
        <v>2460</v>
      </c>
      <c r="F299" s="1565"/>
    </row>
    <row r="300" spans="1:6" s="1541" customFormat="1" ht="14.25" customHeight="1" thickBot="1">
      <c r="A300" s="1553" t="s">
        <v>1904</v>
      </c>
      <c r="B300" s="1547" t="s">
        <v>1659</v>
      </c>
      <c r="C300" s="1547">
        <v>2760</v>
      </c>
      <c r="D300" s="1547">
        <v>2730</v>
      </c>
      <c r="E300" s="1547">
        <v>2700</v>
      </c>
      <c r="F300" s="1561">
        <v>630</v>
      </c>
    </row>
    <row r="301" spans="1:6" s="1541" customFormat="1" ht="14.25" customHeight="1" thickBot="1">
      <c r="A301" s="1553" t="s">
        <v>1904</v>
      </c>
      <c r="B301" s="1547" t="s">
        <v>1669</v>
      </c>
      <c r="C301" s="1547">
        <v>2510</v>
      </c>
      <c r="D301" s="1547">
        <v>2480</v>
      </c>
      <c r="E301" s="1547">
        <v>2460</v>
      </c>
      <c r="F301" s="1565"/>
    </row>
    <row r="302" spans="1:6" s="1541" customFormat="1" ht="14.25" customHeight="1" thickBot="1">
      <c r="A302" s="1553" t="s">
        <v>1904</v>
      </c>
      <c r="B302" s="1547" t="s">
        <v>1679</v>
      </c>
      <c r="C302" s="1547">
        <v>2480</v>
      </c>
      <c r="D302" s="1547">
        <v>2450</v>
      </c>
      <c r="E302" s="1547">
        <v>2420</v>
      </c>
      <c r="F302" s="1561">
        <v>600</v>
      </c>
    </row>
    <row r="303" spans="1:6" s="1541" customFormat="1" ht="14.25" customHeight="1" thickBot="1">
      <c r="A303" s="1553" t="s">
        <v>1904</v>
      </c>
      <c r="B303" s="1547" t="s">
        <v>1689</v>
      </c>
      <c r="C303" s="1547">
        <v>2270</v>
      </c>
      <c r="D303" s="1547">
        <v>2240</v>
      </c>
      <c r="E303" s="1547">
        <v>2210</v>
      </c>
      <c r="F303" s="1561">
        <v>540</v>
      </c>
    </row>
    <row r="304" spans="1:6" s="1541" customFormat="1" ht="14.25" customHeight="1" thickBot="1">
      <c r="A304" s="1553" t="s">
        <v>1904</v>
      </c>
      <c r="B304" s="1547" t="s">
        <v>1700</v>
      </c>
      <c r="C304" s="1547">
        <v>2310</v>
      </c>
      <c r="D304" s="1547">
        <v>2290</v>
      </c>
      <c r="E304" s="1547">
        <v>2270</v>
      </c>
      <c r="F304" s="1565"/>
    </row>
    <row r="305" spans="1:6" s="1541" customFormat="1" ht="14.25" customHeight="1" thickBot="1">
      <c r="A305" s="1553" t="s">
        <v>1904</v>
      </c>
      <c r="B305" s="1547" t="s">
        <v>1711</v>
      </c>
      <c r="C305" s="1547">
        <v>2490</v>
      </c>
      <c r="D305" s="1547">
        <v>2470</v>
      </c>
      <c r="E305" s="1547">
        <v>2440</v>
      </c>
      <c r="F305" s="1561">
        <v>560</v>
      </c>
    </row>
    <row r="306" spans="1:6" s="1541" customFormat="1" ht="14.25" customHeight="1" thickBot="1">
      <c r="A306" s="1553" t="s">
        <v>1904</v>
      </c>
      <c r="B306" s="1547" t="s">
        <v>1721</v>
      </c>
      <c r="C306" s="1547">
        <v>2420</v>
      </c>
      <c r="D306" s="1547">
        <v>2400</v>
      </c>
      <c r="E306" s="1547">
        <v>2380</v>
      </c>
      <c r="F306" s="1565"/>
    </row>
    <row r="307" spans="1:6" s="1541" customFormat="1" ht="14.25" customHeight="1" thickBot="1">
      <c r="A307" s="1553" t="s">
        <v>1904</v>
      </c>
      <c r="B307" s="1547" t="s">
        <v>1731</v>
      </c>
      <c r="C307" s="1547">
        <v>2770</v>
      </c>
      <c r="D307" s="1547">
        <v>2740</v>
      </c>
      <c r="E307" s="1547">
        <v>2710</v>
      </c>
      <c r="F307" s="1561">
        <v>650</v>
      </c>
    </row>
    <row r="308" spans="1:6" s="1541" customFormat="1" ht="14.25" customHeight="1" thickBot="1">
      <c r="A308" s="1553" t="s">
        <v>1904</v>
      </c>
      <c r="B308" s="1547" t="s">
        <v>1741</v>
      </c>
      <c r="C308" s="1547">
        <v>2610</v>
      </c>
      <c r="D308" s="1547">
        <v>2580</v>
      </c>
      <c r="E308" s="1547">
        <v>2550</v>
      </c>
      <c r="F308" s="1561">
        <v>580</v>
      </c>
    </row>
    <row r="309" spans="1:6" s="1541" customFormat="1" ht="14.25" customHeight="1" thickBot="1">
      <c r="A309" s="1553" t="s">
        <v>1904</v>
      </c>
      <c r="B309" s="1547" t="s">
        <v>1751</v>
      </c>
      <c r="C309" s="1547">
        <v>2690</v>
      </c>
      <c r="D309" s="1547">
        <v>2670</v>
      </c>
      <c r="E309" s="1547">
        <v>2650</v>
      </c>
      <c r="F309" s="1565"/>
    </row>
    <row r="310" spans="1:6" s="1541" customFormat="1" ht="14.25" customHeight="1" thickBot="1">
      <c r="A310" s="1553" t="s">
        <v>1904</v>
      </c>
      <c r="B310" s="1547" t="s">
        <v>1760</v>
      </c>
      <c r="C310" s="1547">
        <v>2360</v>
      </c>
      <c r="D310" s="1547">
        <v>2330</v>
      </c>
      <c r="E310" s="1547">
        <v>2310</v>
      </c>
      <c r="F310" s="1561">
        <v>560</v>
      </c>
    </row>
    <row r="311" spans="1:6" s="1541" customFormat="1" ht="14.25" customHeight="1" thickBot="1">
      <c r="A311" s="1553" t="s">
        <v>1904</v>
      </c>
      <c r="B311" s="1547" t="s">
        <v>1769</v>
      </c>
      <c r="C311" s="1547">
        <v>1970</v>
      </c>
      <c r="D311" s="1547">
        <v>1950</v>
      </c>
      <c r="E311" s="1547">
        <v>1920</v>
      </c>
      <c r="F311" s="1561">
        <v>470</v>
      </c>
    </row>
    <row r="312" spans="1:6" s="1541" customFormat="1" ht="14.25" customHeight="1" thickBot="1">
      <c r="A312" s="1553" t="s">
        <v>1904</v>
      </c>
      <c r="B312" s="1547" t="s">
        <v>1777</v>
      </c>
      <c r="C312" s="1547">
        <v>2230</v>
      </c>
      <c r="D312" s="1547">
        <v>2200</v>
      </c>
      <c r="E312" s="1547">
        <v>2170</v>
      </c>
      <c r="F312" s="1561">
        <v>460</v>
      </c>
    </row>
    <row r="313" spans="1:6" s="1541" customFormat="1" ht="14.25" customHeight="1" thickBot="1">
      <c r="A313" s="1553" t="s">
        <v>1904</v>
      </c>
      <c r="B313" s="1547" t="s">
        <v>1784</v>
      </c>
      <c r="C313" s="1547">
        <v>2770</v>
      </c>
      <c r="D313" s="1547">
        <v>2740</v>
      </c>
      <c r="E313" s="1547">
        <v>2710</v>
      </c>
      <c r="F313" s="1561">
        <v>610</v>
      </c>
    </row>
    <row r="314" spans="1:6" s="1541" customFormat="1" ht="14.25" customHeight="1" thickBot="1">
      <c r="A314" s="1553" t="s">
        <v>1904</v>
      </c>
      <c r="B314" s="1547" t="s">
        <v>1791</v>
      </c>
      <c r="C314" s="1547"/>
      <c r="D314" s="1547"/>
      <c r="E314" s="1547"/>
      <c r="F314" s="1561">
        <v>490</v>
      </c>
    </row>
    <row r="315" spans="1:6" s="1541" customFormat="1" ht="14.25" customHeight="1" thickBot="1">
      <c r="A315" s="1553" t="s">
        <v>1904</v>
      </c>
      <c r="B315" s="1547" t="s">
        <v>1798</v>
      </c>
      <c r="C315" s="1547"/>
      <c r="D315" s="1547"/>
      <c r="E315" s="1547"/>
      <c r="F315" s="1561">
        <v>520</v>
      </c>
    </row>
    <row r="316" spans="1:6" s="1541" customFormat="1" ht="14.25" customHeight="1" thickBot="1">
      <c r="A316" s="1553" t="s">
        <v>1904</v>
      </c>
      <c r="B316" s="1559" t="s">
        <v>1805</v>
      </c>
      <c r="C316" s="1559"/>
      <c r="D316" s="1559"/>
      <c r="E316" s="1559"/>
      <c r="F316" s="1564">
        <v>460</v>
      </c>
    </row>
    <row r="317" spans="1:6" s="1541" customFormat="1" ht="14.25" customHeight="1" thickBot="1">
      <c r="A317" s="1553" t="s">
        <v>1691</v>
      </c>
      <c r="B317" s="1554" t="s">
        <v>1909</v>
      </c>
      <c r="C317" s="1554">
        <v>1200</v>
      </c>
      <c r="D317" s="1554">
        <v>1180</v>
      </c>
      <c r="E317" s="1554">
        <v>1160</v>
      </c>
      <c r="F317" s="1555">
        <v>370</v>
      </c>
    </row>
    <row r="318" spans="1:6" s="1541" customFormat="1" ht="14.25" customHeight="1" thickBot="1">
      <c r="A318" s="1553" t="s">
        <v>1691</v>
      </c>
      <c r="B318" s="1547" t="s">
        <v>1910</v>
      </c>
      <c r="C318" s="1547">
        <v>1090</v>
      </c>
      <c r="D318" s="1547">
        <v>1060</v>
      </c>
      <c r="E318" s="1547">
        <v>1040</v>
      </c>
      <c r="F318" s="1565"/>
    </row>
    <row r="319" spans="1:6" s="1541" customFormat="1" ht="14.25" customHeight="1" thickBot="1">
      <c r="A319" s="1553" t="s">
        <v>1691</v>
      </c>
      <c r="B319" s="1547" t="s">
        <v>1911</v>
      </c>
      <c r="C319" s="1547">
        <v>1520</v>
      </c>
      <c r="D319" s="1547">
        <v>1470</v>
      </c>
      <c r="E319" s="1547">
        <v>1440</v>
      </c>
      <c r="F319" s="1561">
        <v>370</v>
      </c>
    </row>
    <row r="320" spans="1:6" s="1541" customFormat="1" ht="14.25" customHeight="1" thickBot="1">
      <c r="A320" s="1553" t="s">
        <v>1691</v>
      </c>
      <c r="B320" s="1547" t="s">
        <v>1593</v>
      </c>
      <c r="C320" s="1547">
        <v>1360</v>
      </c>
      <c r="D320" s="1547">
        <v>1300</v>
      </c>
      <c r="E320" s="1547">
        <v>1270</v>
      </c>
      <c r="F320" s="1565"/>
    </row>
    <row r="321" spans="1:6" s="1541" customFormat="1" ht="14.25" customHeight="1" thickBot="1">
      <c r="A321" s="1553" t="s">
        <v>1691</v>
      </c>
      <c r="B321" s="1547" t="s">
        <v>1605</v>
      </c>
      <c r="C321" s="1547">
        <v>1750</v>
      </c>
      <c r="D321" s="1547">
        <v>1690</v>
      </c>
      <c r="E321" s="1547">
        <v>1660</v>
      </c>
      <c r="F321" s="1565"/>
    </row>
    <row r="322" spans="1:6" s="1541" customFormat="1" ht="14.25" customHeight="1" thickBot="1">
      <c r="A322" s="1553" t="s">
        <v>1691</v>
      </c>
      <c r="B322" s="1547" t="s">
        <v>1616</v>
      </c>
      <c r="C322" s="1547">
        <v>1650</v>
      </c>
      <c r="D322" s="1547">
        <v>1610</v>
      </c>
      <c r="E322" s="1547">
        <v>1580</v>
      </c>
      <c r="F322" s="1561">
        <v>500</v>
      </c>
    </row>
    <row r="323" spans="1:6" s="1541" customFormat="1" ht="14.25" customHeight="1" thickBot="1">
      <c r="A323" s="1553" t="s">
        <v>1691</v>
      </c>
      <c r="B323" s="1547" t="s">
        <v>1627</v>
      </c>
      <c r="C323" s="1547">
        <v>1780</v>
      </c>
      <c r="D323" s="1547">
        <v>1740</v>
      </c>
      <c r="E323" s="1547">
        <v>1720</v>
      </c>
      <c r="F323" s="1565"/>
    </row>
    <row r="324" spans="1:6" s="1541" customFormat="1" ht="14.25" customHeight="1" thickBot="1">
      <c r="A324" s="1553" t="s">
        <v>1691</v>
      </c>
      <c r="B324" s="1547" t="s">
        <v>1638</v>
      </c>
      <c r="C324" s="1547">
        <v>1650</v>
      </c>
      <c r="D324" s="1547">
        <v>1610</v>
      </c>
      <c r="E324" s="1547">
        <v>1580</v>
      </c>
      <c r="F324" s="1565"/>
    </row>
    <row r="325" spans="1:6" s="1541" customFormat="1" ht="14.25" customHeight="1" thickBot="1">
      <c r="A325" s="1553" t="s">
        <v>1691</v>
      </c>
      <c r="B325" s="1547" t="s">
        <v>1650</v>
      </c>
      <c r="C325" s="1547">
        <v>1330</v>
      </c>
      <c r="D325" s="1547">
        <v>1270</v>
      </c>
      <c r="E325" s="1547">
        <v>1240</v>
      </c>
      <c r="F325" s="1561">
        <v>430</v>
      </c>
    </row>
    <row r="326" spans="1:6" s="1541" customFormat="1" ht="14.25" customHeight="1" thickBot="1">
      <c r="A326" s="1553" t="s">
        <v>1691</v>
      </c>
      <c r="B326" s="1547" t="s">
        <v>1660</v>
      </c>
      <c r="C326" s="1547">
        <v>1470</v>
      </c>
      <c r="D326" s="1547">
        <v>1430</v>
      </c>
      <c r="E326" s="1547">
        <v>1400</v>
      </c>
      <c r="F326" s="1565"/>
    </row>
    <row r="327" spans="1:6" s="1541" customFormat="1" ht="14.25" customHeight="1" thickBot="1">
      <c r="A327" s="1553" t="s">
        <v>1691</v>
      </c>
      <c r="B327" s="1547" t="s">
        <v>1670</v>
      </c>
      <c r="C327" s="1547">
        <v>1420</v>
      </c>
      <c r="D327" s="1547">
        <v>1380</v>
      </c>
      <c r="E327" s="1547">
        <v>1360</v>
      </c>
      <c r="F327" s="1561">
        <v>420</v>
      </c>
    </row>
    <row r="328" spans="1:6" s="1541" customFormat="1" ht="14.25" customHeight="1" thickBot="1">
      <c r="A328" s="1553" t="s">
        <v>1691</v>
      </c>
      <c r="B328" s="1547" t="s">
        <v>1680</v>
      </c>
      <c r="C328" s="1547">
        <v>1400</v>
      </c>
      <c r="D328" s="1547">
        <v>1360</v>
      </c>
      <c r="E328" s="1547">
        <v>1330</v>
      </c>
      <c r="F328" s="1561">
        <v>460</v>
      </c>
    </row>
    <row r="329" spans="1:6" s="1541" customFormat="1" ht="14.25" customHeight="1" thickBot="1">
      <c r="A329" s="1553" t="s">
        <v>1691</v>
      </c>
      <c r="B329" s="1547" t="s">
        <v>1690</v>
      </c>
      <c r="C329" s="1547">
        <v>1640</v>
      </c>
      <c r="D329" s="1547">
        <v>1610</v>
      </c>
      <c r="E329" s="1547">
        <v>1580</v>
      </c>
      <c r="F329" s="1561">
        <v>410</v>
      </c>
    </row>
    <row r="330" spans="1:6" s="1541" customFormat="1" ht="14.25" customHeight="1" thickBot="1">
      <c r="A330" s="1553" t="s">
        <v>1691</v>
      </c>
      <c r="B330" s="1547" t="s">
        <v>1701</v>
      </c>
      <c r="C330" s="1547">
        <v>1260</v>
      </c>
      <c r="D330" s="1547">
        <v>1220</v>
      </c>
      <c r="E330" s="1547">
        <v>1200</v>
      </c>
      <c r="F330" s="1565"/>
    </row>
    <row r="331" spans="1:6" s="1541" customFormat="1" ht="14.25" customHeight="1" thickBot="1">
      <c r="A331" s="1553" t="s">
        <v>1691</v>
      </c>
      <c r="B331" s="1547" t="s">
        <v>1712</v>
      </c>
      <c r="C331" s="1547">
        <v>1620</v>
      </c>
      <c r="D331" s="1547">
        <v>1560</v>
      </c>
      <c r="E331" s="1547">
        <v>1530</v>
      </c>
      <c r="F331" s="1561">
        <v>490</v>
      </c>
    </row>
    <row r="332" spans="1:6" s="1541" customFormat="1" ht="14.25" customHeight="1" thickBot="1">
      <c r="A332" s="1553" t="s">
        <v>1691</v>
      </c>
      <c r="B332" s="1547" t="s">
        <v>1722</v>
      </c>
      <c r="C332" s="1547">
        <v>1520</v>
      </c>
      <c r="D332" s="1547">
        <v>1470</v>
      </c>
      <c r="E332" s="1547">
        <v>1440</v>
      </c>
      <c r="F332" s="1561">
        <v>440</v>
      </c>
    </row>
    <row r="333" spans="1:6" s="1541" customFormat="1" ht="14.25" customHeight="1" thickBot="1">
      <c r="A333" s="1553" t="s">
        <v>1691</v>
      </c>
      <c r="B333" s="1547" t="s">
        <v>1732</v>
      </c>
      <c r="C333" s="1547">
        <v>1370</v>
      </c>
      <c r="D333" s="1547">
        <v>1320</v>
      </c>
      <c r="E333" s="1547">
        <v>1300</v>
      </c>
      <c r="F333" s="1561">
        <v>460</v>
      </c>
    </row>
    <row r="334" spans="1:6" s="1541" customFormat="1" ht="14.25" customHeight="1" thickBot="1">
      <c r="A334" s="1553" t="s">
        <v>1691</v>
      </c>
      <c r="B334" s="1547" t="s">
        <v>1742</v>
      </c>
      <c r="C334" s="1547">
        <v>1410</v>
      </c>
      <c r="D334" s="1547">
        <v>1340</v>
      </c>
      <c r="E334" s="1547">
        <v>1310</v>
      </c>
      <c r="F334" s="1561">
        <v>410</v>
      </c>
    </row>
    <row r="335" spans="1:6" s="1541" customFormat="1" ht="14.25" customHeight="1" thickBot="1">
      <c r="A335" s="1553" t="s">
        <v>1691</v>
      </c>
      <c r="B335" s="1547" t="s">
        <v>1752</v>
      </c>
      <c r="C335" s="1547">
        <v>1260</v>
      </c>
      <c r="D335" s="1547">
        <v>1220</v>
      </c>
      <c r="E335" s="1547">
        <v>1200</v>
      </c>
      <c r="F335" s="1565"/>
    </row>
    <row r="336" spans="1:6" s="1541" customFormat="1" ht="14.25" customHeight="1" thickBot="1">
      <c r="A336" s="1553" t="s">
        <v>1691</v>
      </c>
      <c r="B336" s="1547" t="s">
        <v>1761</v>
      </c>
      <c r="C336" s="1547">
        <v>1160</v>
      </c>
      <c r="D336" s="1547">
        <v>1140</v>
      </c>
      <c r="E336" s="1547">
        <v>1120</v>
      </c>
      <c r="F336" s="1561">
        <v>430</v>
      </c>
    </row>
    <row r="337" spans="1:6" s="1541" customFormat="1" ht="14.25" customHeight="1" thickBot="1">
      <c r="A337" s="1553" t="s">
        <v>1691</v>
      </c>
      <c r="B337" s="1559" t="s">
        <v>1770</v>
      </c>
      <c r="C337" s="1559"/>
      <c r="D337" s="1559"/>
      <c r="E337" s="1559"/>
      <c r="F337" s="1564">
        <v>380</v>
      </c>
    </row>
    <row r="338" spans="1:6" s="1541" customFormat="1" ht="14.25" customHeight="1" thickBot="1">
      <c r="A338" s="1553" t="s">
        <v>1702</v>
      </c>
      <c r="B338" s="1554" t="s">
        <v>1912</v>
      </c>
      <c r="C338" s="1554">
        <v>880</v>
      </c>
      <c r="D338" s="1554">
        <v>850</v>
      </c>
      <c r="E338" s="1554">
        <v>830</v>
      </c>
      <c r="F338" s="1567"/>
    </row>
    <row r="339" spans="1:6" s="1541" customFormat="1" ht="14.25" customHeight="1" thickBot="1">
      <c r="A339" s="1553" t="s">
        <v>1702</v>
      </c>
      <c r="B339" s="1547" t="s">
        <v>1913</v>
      </c>
      <c r="C339" s="1547">
        <v>830</v>
      </c>
      <c r="D339" s="1547">
        <v>800</v>
      </c>
      <c r="E339" s="1547">
        <v>780</v>
      </c>
      <c r="F339" s="1565"/>
    </row>
    <row r="340" spans="1:6" s="1541" customFormat="1" ht="14.25" customHeight="1" thickBot="1">
      <c r="A340" s="1553" t="s">
        <v>1702</v>
      </c>
      <c r="B340" s="1547" t="s">
        <v>1914</v>
      </c>
      <c r="C340" s="1547">
        <v>980</v>
      </c>
      <c r="D340" s="1547">
        <v>950</v>
      </c>
      <c r="E340" s="1547">
        <v>920</v>
      </c>
      <c r="F340" s="1565"/>
    </row>
    <row r="341" spans="1:6" s="1541" customFormat="1" ht="14.25" customHeight="1" thickBot="1">
      <c r="A341" s="1553" t="s">
        <v>1702</v>
      </c>
      <c r="B341" s="1547" t="s">
        <v>1915</v>
      </c>
      <c r="C341" s="1547">
        <v>760</v>
      </c>
      <c r="D341" s="1547">
        <v>720</v>
      </c>
      <c r="E341" s="1547">
        <v>690</v>
      </c>
      <c r="F341" s="1561">
        <v>350</v>
      </c>
    </row>
    <row r="342" spans="1:6" s="1541" customFormat="1" ht="14.25" customHeight="1" thickBot="1">
      <c r="A342" s="1553" t="s">
        <v>1702</v>
      </c>
      <c r="B342" s="1547" t="s">
        <v>1606</v>
      </c>
      <c r="C342" s="1547">
        <v>910</v>
      </c>
      <c r="D342" s="1547">
        <v>870</v>
      </c>
      <c r="E342" s="1547">
        <v>850</v>
      </c>
      <c r="F342" s="1561">
        <v>370</v>
      </c>
    </row>
    <row r="343" spans="1:6" s="1541" customFormat="1" ht="14.25" customHeight="1" thickBot="1">
      <c r="A343" s="1553" t="s">
        <v>1702</v>
      </c>
      <c r="B343" s="1547" t="s">
        <v>1617</v>
      </c>
      <c r="C343" s="1547">
        <v>800</v>
      </c>
      <c r="D343" s="1547">
        <v>760</v>
      </c>
      <c r="E343" s="1547">
        <v>730</v>
      </c>
      <c r="F343" s="1561">
        <v>340</v>
      </c>
    </row>
    <row r="344" spans="1:6" s="1541" customFormat="1" ht="14.25" customHeight="1" thickBot="1">
      <c r="A344" s="1553" t="s">
        <v>1702</v>
      </c>
      <c r="B344" s="1559" t="s">
        <v>1628</v>
      </c>
      <c r="C344" s="1559">
        <v>720</v>
      </c>
      <c r="D344" s="1559">
        <v>690</v>
      </c>
      <c r="E344" s="1559">
        <v>660</v>
      </c>
      <c r="F344" s="1564">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68" customWidth="1"/>
    <col min="2" max="2" width="10.25" style="1513" customWidth="1"/>
  </cols>
  <sheetData>
    <row r="1" spans="1:6">
      <c r="A1" s="3713" t="s">
        <v>2508</v>
      </c>
      <c r="B1" s="3713"/>
    </row>
    <row r="2" spans="1:6" ht="14.25" thickBot="1">
      <c r="A2" s="2135"/>
      <c r="B2" s="2135"/>
    </row>
    <row r="3" spans="1:6" ht="14.25" thickBot="1">
      <c r="A3" s="2135"/>
      <c r="B3" s="2135"/>
      <c r="C3" s="2139" t="s">
        <v>2511</v>
      </c>
      <c r="D3" s="2139" t="s">
        <v>2512</v>
      </c>
      <c r="E3" s="2139" t="s">
        <v>2513</v>
      </c>
      <c r="F3" s="2139" t="s">
        <v>2514</v>
      </c>
    </row>
    <row r="4" spans="1:6" ht="14.25" thickBot="1">
      <c r="A4" s="2137" t="s">
        <v>2509</v>
      </c>
      <c r="B4" s="2138" t="s">
        <v>2510</v>
      </c>
      <c r="C4" s="2139"/>
      <c r="D4" s="2139"/>
      <c r="E4" s="2139"/>
      <c r="F4" s="2139"/>
    </row>
    <row r="5" spans="1:6" ht="14.25" thickBot="1">
      <c r="A5" s="1553" t="s">
        <v>2515</v>
      </c>
      <c r="B5" s="1554" t="s">
        <v>2516</v>
      </c>
      <c r="C5" s="2140">
        <v>8.8999999999999996E-2</v>
      </c>
      <c r="D5" s="2140">
        <v>7.3999999999999996E-2</v>
      </c>
      <c r="E5" s="2140">
        <v>7.4999999999999997E-2</v>
      </c>
      <c r="F5" s="2141">
        <v>0.1</v>
      </c>
    </row>
    <row r="6" spans="1:6" ht="14.25" thickBot="1">
      <c r="A6" s="1553" t="s">
        <v>1582</v>
      </c>
      <c r="B6" s="1547" t="s">
        <v>2517</v>
      </c>
      <c r="C6" s="2142">
        <v>0.1</v>
      </c>
      <c r="D6" s="2142">
        <v>9.0999999999999998E-2</v>
      </c>
      <c r="E6" s="2142">
        <v>9.0999999999999998E-2</v>
      </c>
      <c r="F6" s="2143">
        <v>0.1</v>
      </c>
    </row>
    <row r="7" spans="1:6" ht="14.25" thickBot="1">
      <c r="A7" s="1553" t="s">
        <v>1582</v>
      </c>
      <c r="B7" s="1557" t="s">
        <v>1571</v>
      </c>
      <c r="C7" s="2142">
        <v>8.5999999999999993E-2</v>
      </c>
      <c r="D7" s="2142">
        <v>9.6000000000000002E-2</v>
      </c>
      <c r="E7" s="2142">
        <v>7.5999999999999998E-2</v>
      </c>
      <c r="F7" s="2143">
        <v>0.1</v>
      </c>
    </row>
    <row r="8" spans="1:6" ht="14.25" thickBot="1">
      <c r="A8" s="1553" t="s">
        <v>1582</v>
      </c>
      <c r="B8" s="1547" t="s">
        <v>1583</v>
      </c>
      <c r="C8" s="2142">
        <v>9.9000000000000005E-2</v>
      </c>
      <c r="D8" s="2142">
        <v>9.8000000000000004E-2</v>
      </c>
      <c r="E8" s="2142">
        <v>9.8000000000000004E-2</v>
      </c>
      <c r="F8" s="2143">
        <v>0.1</v>
      </c>
    </row>
    <row r="9" spans="1:6" ht="14.25" thickBot="1">
      <c r="A9" s="1563" t="s">
        <v>1582</v>
      </c>
      <c r="B9" s="1558" t="s">
        <v>1595</v>
      </c>
      <c r="C9" s="2144">
        <v>0.05</v>
      </c>
      <c r="D9" s="2152"/>
      <c r="E9" s="2152"/>
      <c r="F9" s="2153"/>
    </row>
    <row r="10" spans="1:6" ht="14.25" thickBot="1">
      <c r="A10" s="1553" t="s">
        <v>1639</v>
      </c>
      <c r="B10" s="1554" t="s">
        <v>2518</v>
      </c>
      <c r="C10" s="2140">
        <v>8.8999999999999996E-2</v>
      </c>
      <c r="D10" s="2140">
        <v>7.2999999999999995E-2</v>
      </c>
      <c r="E10" s="2140">
        <v>8.2000000000000003E-2</v>
      </c>
      <c r="F10" s="2141">
        <v>0.1</v>
      </c>
    </row>
    <row r="11" spans="1:6" ht="14.25" thickBot="1">
      <c r="A11" s="1553" t="s">
        <v>1639</v>
      </c>
      <c r="B11" s="1557" t="s">
        <v>1558</v>
      </c>
      <c r="C11" s="2142">
        <v>8.8999999999999996E-2</v>
      </c>
      <c r="D11" s="2142">
        <v>7.2999999999999995E-2</v>
      </c>
      <c r="E11" s="2142">
        <v>8.2000000000000003E-2</v>
      </c>
      <c r="F11" s="2143">
        <v>0.1</v>
      </c>
    </row>
    <row r="12" spans="1:6" ht="14.25" thickBot="1">
      <c r="A12" s="1553" t="s">
        <v>1639</v>
      </c>
      <c r="B12" s="1557" t="s">
        <v>1494</v>
      </c>
      <c r="C12" s="2142">
        <v>6.0999999999999999E-2</v>
      </c>
      <c r="D12" s="2142">
        <v>7.0999999999999994E-2</v>
      </c>
      <c r="E12" s="2142">
        <v>9.6000000000000002E-2</v>
      </c>
      <c r="F12" s="2143">
        <v>0.1</v>
      </c>
    </row>
    <row r="13" spans="1:6" ht="14.25" thickBot="1">
      <c r="A13" s="1553" t="s">
        <v>1639</v>
      </c>
      <c r="B13" s="1557" t="s">
        <v>1584</v>
      </c>
      <c r="C13" s="2142">
        <v>6.9000000000000006E-2</v>
      </c>
      <c r="D13" s="2142">
        <v>6.5000000000000002E-2</v>
      </c>
      <c r="E13" s="2142">
        <v>6.6000000000000003E-2</v>
      </c>
      <c r="F13" s="2143">
        <v>0.1</v>
      </c>
    </row>
    <row r="14" spans="1:6" ht="14.25" thickBot="1">
      <c r="A14" s="1553" t="s">
        <v>1639</v>
      </c>
      <c r="B14" s="1557" t="s">
        <v>1596</v>
      </c>
      <c r="C14" s="2142">
        <v>0.1</v>
      </c>
      <c r="D14" s="2142">
        <v>6.5000000000000002E-2</v>
      </c>
      <c r="E14" s="2142">
        <v>7.0000000000000007E-2</v>
      </c>
      <c r="F14" s="2143">
        <v>0.1</v>
      </c>
    </row>
    <row r="15" spans="1:6" ht="14.25" thickBot="1">
      <c r="A15" s="1553" t="s">
        <v>1639</v>
      </c>
      <c r="B15" s="1557" t="s">
        <v>1607</v>
      </c>
      <c r="C15" s="2142">
        <v>9.8000000000000004E-2</v>
      </c>
      <c r="D15" s="2142">
        <v>8.8999999999999996E-2</v>
      </c>
      <c r="E15" s="2142">
        <v>8.8999999999999996E-2</v>
      </c>
      <c r="F15" s="2143">
        <v>0.1</v>
      </c>
    </row>
    <row r="16" spans="1:6" ht="14.25" thickBot="1">
      <c r="A16" s="1553" t="s">
        <v>1639</v>
      </c>
      <c r="B16" s="1557" t="s">
        <v>1618</v>
      </c>
      <c r="C16" s="2142">
        <v>7.0000000000000007E-2</v>
      </c>
      <c r="D16" s="2142">
        <v>9.2999999999999999E-2</v>
      </c>
      <c r="E16" s="2142">
        <v>9.6000000000000002E-2</v>
      </c>
      <c r="F16" s="2143">
        <v>0.1</v>
      </c>
    </row>
    <row r="17" spans="1:6" ht="14.25" thickBot="1">
      <c r="A17" s="1553" t="s">
        <v>1639</v>
      </c>
      <c r="B17" s="1557" t="s">
        <v>1629</v>
      </c>
      <c r="C17" s="2142">
        <v>9.5000000000000001E-2</v>
      </c>
      <c r="D17" s="2142">
        <v>0.1</v>
      </c>
      <c r="E17" s="2142">
        <v>0.1</v>
      </c>
      <c r="F17" s="2154"/>
    </row>
    <row r="18" spans="1:6" ht="14.25" thickBot="1">
      <c r="A18" s="1553" t="s">
        <v>1639</v>
      </c>
      <c r="B18" s="1557" t="s">
        <v>1641</v>
      </c>
      <c r="C18" s="2142">
        <v>7.3999999999999996E-2</v>
      </c>
      <c r="D18" s="2142">
        <v>9.9000000000000005E-2</v>
      </c>
      <c r="E18" s="2142">
        <v>0.1</v>
      </c>
      <c r="F18" s="2154"/>
    </row>
    <row r="19" spans="1:6" ht="14.25" thickBot="1">
      <c r="A19" s="1553" t="s">
        <v>1639</v>
      </c>
      <c r="B19" s="1557" t="s">
        <v>1651</v>
      </c>
      <c r="C19" s="2142">
        <v>9.9000000000000005E-2</v>
      </c>
      <c r="D19" s="2142">
        <v>7.5999999999999998E-2</v>
      </c>
      <c r="E19" s="2142">
        <v>8.6999999999999994E-2</v>
      </c>
      <c r="F19" s="2154"/>
    </row>
    <row r="20" spans="1:6" ht="14.25" thickBot="1">
      <c r="A20" s="1553" t="s">
        <v>1639</v>
      </c>
      <c r="B20" s="1557" t="s">
        <v>1661</v>
      </c>
      <c r="C20" s="2142">
        <v>9.8000000000000004E-2</v>
      </c>
      <c r="D20" s="2142">
        <v>8.5000000000000006E-2</v>
      </c>
      <c r="E20" s="2142">
        <v>8.2000000000000003E-2</v>
      </c>
      <c r="F20" s="2154"/>
    </row>
    <row r="21" spans="1:6" ht="14.25" thickBot="1">
      <c r="A21" s="1553" t="s">
        <v>1639</v>
      </c>
      <c r="B21" s="1557" t="s">
        <v>1671</v>
      </c>
      <c r="C21" s="2142">
        <v>6.6000000000000003E-2</v>
      </c>
      <c r="D21" s="2142">
        <v>6.4000000000000001E-2</v>
      </c>
      <c r="E21" s="2142">
        <v>6.5000000000000002E-2</v>
      </c>
      <c r="F21" s="2154"/>
    </row>
    <row r="22" spans="1:6" ht="14.25" thickBot="1">
      <c r="A22" s="1553" t="s">
        <v>1639</v>
      </c>
      <c r="B22" s="1557" t="s">
        <v>2519</v>
      </c>
      <c r="C22" s="2142">
        <v>0.08</v>
      </c>
      <c r="D22" s="2142">
        <v>9.8000000000000004E-2</v>
      </c>
      <c r="E22" s="2142">
        <v>9.8000000000000004E-2</v>
      </c>
      <c r="F22" s="2154"/>
    </row>
    <row r="23" spans="1:6" ht="14.25" thickBot="1">
      <c r="A23" s="1553" t="s">
        <v>1639</v>
      </c>
      <c r="B23" s="1557" t="s">
        <v>1692</v>
      </c>
      <c r="C23" s="2142">
        <v>9.9000000000000005E-2</v>
      </c>
      <c r="D23" s="2142">
        <v>9.8000000000000004E-2</v>
      </c>
      <c r="E23" s="2142">
        <v>9.0999999999999998E-2</v>
      </c>
      <c r="F23" s="2154"/>
    </row>
    <row r="24" spans="1:6" ht="14.25" thickBot="1">
      <c r="A24" s="1553" t="s">
        <v>1639</v>
      </c>
      <c r="B24" s="1557" t="s">
        <v>1703</v>
      </c>
      <c r="C24" s="2142">
        <v>8.8999999999999996E-2</v>
      </c>
      <c r="D24" s="2142">
        <v>9.7000000000000003E-2</v>
      </c>
      <c r="E24" s="2142">
        <v>7.0000000000000007E-2</v>
      </c>
      <c r="F24" s="2154"/>
    </row>
    <row r="25" spans="1:6" ht="14.25" thickBot="1">
      <c r="A25" s="1553" t="s">
        <v>1639</v>
      </c>
      <c r="B25" s="1557" t="s">
        <v>1713</v>
      </c>
      <c r="C25" s="2142">
        <v>8.8999999999999996E-2</v>
      </c>
      <c r="D25" s="2142">
        <v>0.1</v>
      </c>
      <c r="E25" s="2142">
        <v>8.1000000000000003E-2</v>
      </c>
      <c r="F25" s="2154"/>
    </row>
    <row r="26" spans="1:6" ht="14.25" thickBot="1">
      <c r="A26" s="1553" t="s">
        <v>1639</v>
      </c>
      <c r="B26" s="1557" t="s">
        <v>1723</v>
      </c>
      <c r="C26" s="2155"/>
      <c r="D26" s="2142">
        <v>9.6000000000000002E-2</v>
      </c>
      <c r="E26" s="2142">
        <v>9.2999999999999999E-2</v>
      </c>
      <c r="F26" s="2154"/>
    </row>
    <row r="27" spans="1:6" ht="14.25" thickBot="1">
      <c r="A27" s="1553" t="s">
        <v>1639</v>
      </c>
      <c r="B27" s="1557" t="s">
        <v>1733</v>
      </c>
      <c r="C27" s="2155"/>
      <c r="D27" s="2142">
        <v>7.5999999999999998E-2</v>
      </c>
      <c r="E27" s="2142">
        <v>9.1999999999999998E-2</v>
      </c>
      <c r="F27" s="2154"/>
    </row>
    <row r="28" spans="1:6" ht="14.25" thickBot="1">
      <c r="A28" s="1563" t="s">
        <v>1639</v>
      </c>
      <c r="B28" s="1558" t="s">
        <v>1743</v>
      </c>
      <c r="C28" s="2152"/>
      <c r="D28" s="2144">
        <v>7.5999999999999998E-2</v>
      </c>
      <c r="E28" s="2144">
        <v>9.1999999999999998E-2</v>
      </c>
      <c r="F28" s="2153"/>
    </row>
    <row r="29" spans="1:6" ht="14.25" thickBot="1">
      <c r="A29" s="1553" t="s">
        <v>1812</v>
      </c>
      <c r="B29" s="1554" t="s">
        <v>2520</v>
      </c>
      <c r="C29" s="2140">
        <v>6.4000000000000001E-2</v>
      </c>
      <c r="D29" s="2140">
        <v>6.5000000000000002E-2</v>
      </c>
      <c r="E29" s="2140">
        <v>6.9000000000000006E-2</v>
      </c>
      <c r="F29" s="2141">
        <v>0.1</v>
      </c>
    </row>
    <row r="30" spans="1:6" ht="14.25" thickBot="1">
      <c r="A30" s="1553" t="s">
        <v>1812</v>
      </c>
      <c r="B30" s="1557" t="s">
        <v>1559</v>
      </c>
      <c r="C30" s="2142">
        <v>6.4000000000000001E-2</v>
      </c>
      <c r="D30" s="2142">
        <v>9.9000000000000005E-2</v>
      </c>
      <c r="E30" s="2142">
        <v>0.1</v>
      </c>
      <c r="F30" s="2143">
        <v>0.1</v>
      </c>
    </row>
    <row r="31" spans="1:6" ht="14.25" thickBot="1">
      <c r="A31" s="1553" t="s">
        <v>1812</v>
      </c>
      <c r="B31" s="1557" t="s">
        <v>1572</v>
      </c>
      <c r="C31" s="2142">
        <v>0.1</v>
      </c>
      <c r="D31" s="2142">
        <v>9.5000000000000001E-2</v>
      </c>
      <c r="E31" s="2142">
        <v>8.8999999999999996E-2</v>
      </c>
      <c r="F31" s="2143">
        <v>0.1</v>
      </c>
    </row>
    <row r="32" spans="1:6" ht="14.25" thickBot="1">
      <c r="A32" s="1553" t="s">
        <v>1812</v>
      </c>
      <c r="B32" s="1557" t="s">
        <v>1585</v>
      </c>
      <c r="C32" s="2142">
        <v>0.05</v>
      </c>
      <c r="D32" s="2142">
        <v>0.05</v>
      </c>
      <c r="E32" s="2142">
        <v>8.7999999999999995E-2</v>
      </c>
      <c r="F32" s="2143">
        <v>0.1</v>
      </c>
    </row>
    <row r="33" spans="1:6" ht="14.25" thickBot="1">
      <c r="A33" s="1553" t="s">
        <v>1812</v>
      </c>
      <c r="B33" s="1557" t="s">
        <v>1597</v>
      </c>
      <c r="C33" s="2142">
        <v>7.4999999999999997E-2</v>
      </c>
      <c r="D33" s="2142">
        <v>9.4E-2</v>
      </c>
      <c r="E33" s="2142">
        <v>9.7000000000000003E-2</v>
      </c>
      <c r="F33" s="2143">
        <v>0.1</v>
      </c>
    </row>
    <row r="34" spans="1:6" ht="14.25" thickBot="1">
      <c r="A34" s="1553" t="s">
        <v>1812</v>
      </c>
      <c r="B34" s="1557" t="s">
        <v>1608</v>
      </c>
      <c r="C34" s="2142">
        <v>9.8000000000000004E-2</v>
      </c>
      <c r="D34" s="2142">
        <v>8.5999999999999993E-2</v>
      </c>
      <c r="E34" s="2142">
        <v>9.7000000000000003E-2</v>
      </c>
      <c r="F34" s="2143">
        <v>0.1</v>
      </c>
    </row>
    <row r="35" spans="1:6" ht="14.25" thickBot="1">
      <c r="A35" s="1553" t="s">
        <v>1812</v>
      </c>
      <c r="B35" s="1557" t="s">
        <v>1619</v>
      </c>
      <c r="C35" s="2142">
        <v>5.8999999999999997E-2</v>
      </c>
      <c r="D35" s="2142">
        <v>6.5000000000000002E-2</v>
      </c>
      <c r="E35" s="2142">
        <v>7.0000000000000007E-2</v>
      </c>
      <c r="F35" s="2143">
        <v>0.1</v>
      </c>
    </row>
    <row r="36" spans="1:6" ht="14.25" thickBot="1">
      <c r="A36" s="1553" t="s">
        <v>1812</v>
      </c>
      <c r="B36" s="1557" t="s">
        <v>1630</v>
      </c>
      <c r="C36" s="2142">
        <v>6.3E-2</v>
      </c>
      <c r="D36" s="2142">
        <v>0.1</v>
      </c>
      <c r="E36" s="2142">
        <v>0.1</v>
      </c>
      <c r="F36" s="2143">
        <v>0.1</v>
      </c>
    </row>
    <row r="37" spans="1:6" ht="14.25" thickBot="1">
      <c r="A37" s="1553" t="s">
        <v>1812</v>
      </c>
      <c r="B37" s="1557" t="s">
        <v>1642</v>
      </c>
      <c r="C37" s="2142">
        <v>7.3999999999999996E-2</v>
      </c>
      <c r="D37" s="2142">
        <v>0.1</v>
      </c>
      <c r="E37" s="2142">
        <v>0.1</v>
      </c>
      <c r="F37" s="2143">
        <v>0.1</v>
      </c>
    </row>
    <row r="38" spans="1:6" ht="14.25" thickBot="1">
      <c r="A38" s="1553" t="s">
        <v>1812</v>
      </c>
      <c r="B38" s="1557" t="s">
        <v>1652</v>
      </c>
      <c r="C38" s="2142">
        <v>0.1</v>
      </c>
      <c r="D38" s="2142">
        <v>9.6000000000000002E-2</v>
      </c>
      <c r="E38" s="2142">
        <v>9.6000000000000002E-2</v>
      </c>
      <c r="F38" s="2154"/>
    </row>
    <row r="39" spans="1:6" ht="14.25" thickBot="1">
      <c r="A39" s="1553" t="s">
        <v>1812</v>
      </c>
      <c r="B39" s="1557" t="s">
        <v>1662</v>
      </c>
      <c r="C39" s="2142">
        <v>0.1</v>
      </c>
      <c r="D39" s="2142">
        <v>9.6000000000000002E-2</v>
      </c>
      <c r="E39" s="2142">
        <v>9.6000000000000002E-2</v>
      </c>
      <c r="F39" s="2154"/>
    </row>
    <row r="40" spans="1:6" ht="14.25" thickBot="1">
      <c r="A40" s="1553" t="s">
        <v>1812</v>
      </c>
      <c r="B40" s="1557" t="s">
        <v>1672</v>
      </c>
      <c r="C40" s="2142">
        <v>9.6000000000000002E-2</v>
      </c>
      <c r="D40" s="2142">
        <v>0.1</v>
      </c>
      <c r="E40" s="2142">
        <v>9.9000000000000005E-2</v>
      </c>
      <c r="F40" s="2154"/>
    </row>
    <row r="41" spans="1:6" ht="14.25" thickBot="1">
      <c r="A41" s="1553" t="s">
        <v>1812</v>
      </c>
      <c r="B41" s="1557" t="s">
        <v>1682</v>
      </c>
      <c r="C41" s="2142">
        <v>9.6000000000000002E-2</v>
      </c>
      <c r="D41" s="2142">
        <v>9.8000000000000004E-2</v>
      </c>
      <c r="E41" s="2142">
        <v>9.8000000000000004E-2</v>
      </c>
      <c r="F41" s="2154"/>
    </row>
    <row r="42" spans="1:6" ht="14.25" thickBot="1">
      <c r="A42" s="1553" t="s">
        <v>1812</v>
      </c>
      <c r="B42" s="1557" t="s">
        <v>1693</v>
      </c>
      <c r="C42" s="2142">
        <v>0.1</v>
      </c>
      <c r="D42" s="2142">
        <v>8.7999999999999995E-2</v>
      </c>
      <c r="E42" s="2142">
        <v>0.1</v>
      </c>
      <c r="F42" s="2154"/>
    </row>
    <row r="43" spans="1:6" ht="14.25" thickBot="1">
      <c r="A43" s="1553" t="s">
        <v>1812</v>
      </c>
      <c r="B43" s="1557" t="s">
        <v>1704</v>
      </c>
      <c r="C43" s="2142">
        <v>9.8000000000000004E-2</v>
      </c>
      <c r="D43" s="2142">
        <v>9.7000000000000003E-2</v>
      </c>
      <c r="E43" s="2142">
        <v>9.6000000000000002E-2</v>
      </c>
      <c r="F43" s="2154"/>
    </row>
    <row r="44" spans="1:6" ht="14.25" thickBot="1">
      <c r="A44" s="1553" t="s">
        <v>1812</v>
      </c>
      <c r="B44" s="1557" t="s">
        <v>1714</v>
      </c>
      <c r="C44" s="2142">
        <v>8.5999999999999993E-2</v>
      </c>
      <c r="D44" s="2142">
        <v>7.9000000000000001E-2</v>
      </c>
      <c r="E44" s="2142">
        <v>7.0999999999999994E-2</v>
      </c>
      <c r="F44" s="2154"/>
    </row>
    <row r="45" spans="1:6" ht="14.25" thickBot="1">
      <c r="A45" s="1553" t="s">
        <v>1812</v>
      </c>
      <c r="B45" s="1557" t="s">
        <v>1724</v>
      </c>
      <c r="C45" s="2142">
        <v>9.8000000000000004E-2</v>
      </c>
      <c r="D45" s="2142">
        <v>9.6000000000000002E-2</v>
      </c>
      <c r="E45" s="2142">
        <v>9.6000000000000002E-2</v>
      </c>
      <c r="F45" s="2154"/>
    </row>
    <row r="46" spans="1:6" ht="14.25" thickBot="1">
      <c r="A46" s="1553" t="s">
        <v>1812</v>
      </c>
      <c r="B46" s="1557" t="s">
        <v>1734</v>
      </c>
      <c r="C46" s="2142">
        <v>8.5999999999999993E-2</v>
      </c>
      <c r="D46" s="2142">
        <v>9.8000000000000004E-2</v>
      </c>
      <c r="E46" s="2142">
        <v>8.7999999999999995E-2</v>
      </c>
      <c r="F46" s="2154"/>
    </row>
    <row r="47" spans="1:6" ht="14.25" thickBot="1">
      <c r="A47" s="1553" t="s">
        <v>1812</v>
      </c>
      <c r="B47" s="1557" t="s">
        <v>1744</v>
      </c>
      <c r="C47" s="2142">
        <v>9.6000000000000002E-2</v>
      </c>
      <c r="D47" s="2155"/>
      <c r="E47" s="2142">
        <v>6.9000000000000006E-2</v>
      </c>
      <c r="F47" s="2154"/>
    </row>
    <row r="48" spans="1:6" ht="14.25" thickBot="1">
      <c r="A48" s="1563" t="s">
        <v>1812</v>
      </c>
      <c r="B48" s="1558" t="s">
        <v>1753</v>
      </c>
      <c r="C48" s="2144">
        <v>9.8000000000000004E-2</v>
      </c>
      <c r="D48" s="2152"/>
      <c r="E48" s="2144">
        <v>9.5000000000000001E-2</v>
      </c>
      <c r="F48" s="2153"/>
    </row>
    <row r="49" spans="1:6" ht="14.25" thickBot="1">
      <c r="A49" s="1553" t="s">
        <v>1493</v>
      </c>
      <c r="B49" s="1554" t="s">
        <v>2521</v>
      </c>
      <c r="C49" s="2140">
        <v>9.7000000000000003E-2</v>
      </c>
      <c r="D49" s="2140">
        <v>9.5000000000000001E-2</v>
      </c>
      <c r="E49" s="2140">
        <v>9.7000000000000003E-2</v>
      </c>
      <c r="F49" s="2141">
        <v>0.1</v>
      </c>
    </row>
    <row r="50" spans="1:6" ht="14.25" thickBot="1">
      <c r="A50" s="1553" t="s">
        <v>1493</v>
      </c>
      <c r="B50" s="1547" t="s">
        <v>1560</v>
      </c>
      <c r="C50" s="2142">
        <v>7.4999999999999997E-2</v>
      </c>
      <c r="D50" s="2142">
        <v>9.5000000000000001E-2</v>
      </c>
      <c r="E50" s="2142">
        <v>0.1</v>
      </c>
      <c r="F50" s="2143">
        <v>0.1</v>
      </c>
    </row>
    <row r="51" spans="1:6" ht="14.25" thickBot="1">
      <c r="A51" s="1553" t="s">
        <v>1493</v>
      </c>
      <c r="B51" s="1547" t="s">
        <v>1573</v>
      </c>
      <c r="C51" s="2142">
        <v>9.8000000000000004E-2</v>
      </c>
      <c r="D51" s="2142">
        <v>8.8999999999999996E-2</v>
      </c>
      <c r="E51" s="2142">
        <v>0.1</v>
      </c>
      <c r="F51" s="2143">
        <v>0.1</v>
      </c>
    </row>
    <row r="52" spans="1:6" ht="14.25" thickBot="1">
      <c r="A52" s="1553" t="s">
        <v>1493</v>
      </c>
      <c r="B52" s="1547" t="s">
        <v>1586</v>
      </c>
      <c r="C52" s="2142">
        <v>9.8000000000000004E-2</v>
      </c>
      <c r="D52" s="2142">
        <v>9.7000000000000003E-2</v>
      </c>
      <c r="E52" s="2142">
        <v>8.1000000000000003E-2</v>
      </c>
      <c r="F52" s="2143">
        <v>0.1</v>
      </c>
    </row>
    <row r="53" spans="1:6" ht="14.25" thickBot="1">
      <c r="A53" s="1553" t="s">
        <v>1493</v>
      </c>
      <c r="B53" s="1547" t="s">
        <v>1598</v>
      </c>
      <c r="C53" s="2142">
        <v>9.7000000000000003E-2</v>
      </c>
      <c r="D53" s="2142">
        <v>7.5999999999999998E-2</v>
      </c>
      <c r="E53" s="2142">
        <v>7.0999999999999994E-2</v>
      </c>
      <c r="F53" s="2143">
        <v>0.1</v>
      </c>
    </row>
    <row r="54" spans="1:6" ht="14.25" thickBot="1">
      <c r="A54" s="1553" t="s">
        <v>1493</v>
      </c>
      <c r="B54" s="1547" t="s">
        <v>1609</v>
      </c>
      <c r="C54" s="2142">
        <v>7.5999999999999998E-2</v>
      </c>
      <c r="D54" s="2142">
        <v>0.1</v>
      </c>
      <c r="E54" s="2142">
        <v>9.9000000000000005E-2</v>
      </c>
      <c r="F54" s="2143">
        <v>0.1</v>
      </c>
    </row>
    <row r="55" spans="1:6" ht="14.25" thickBot="1">
      <c r="A55" s="1553" t="s">
        <v>1493</v>
      </c>
      <c r="B55" s="1547" t="s">
        <v>1620</v>
      </c>
      <c r="C55" s="2142">
        <v>0.1</v>
      </c>
      <c r="D55" s="2142">
        <v>0.1</v>
      </c>
      <c r="E55" s="2142">
        <v>9.6000000000000002E-2</v>
      </c>
      <c r="F55" s="2143">
        <v>0.1</v>
      </c>
    </row>
    <row r="56" spans="1:6" ht="14.25" thickBot="1">
      <c r="A56" s="1553" t="s">
        <v>1493</v>
      </c>
      <c r="B56" s="1547" t="s">
        <v>1631</v>
      </c>
      <c r="C56" s="2142">
        <v>0.1</v>
      </c>
      <c r="D56" s="2142">
        <v>9.6000000000000002E-2</v>
      </c>
      <c r="E56" s="2142">
        <v>5.1999999999999998E-2</v>
      </c>
      <c r="F56" s="2143">
        <v>0.1</v>
      </c>
    </row>
    <row r="57" spans="1:6" ht="14.25" thickBot="1">
      <c r="A57" s="1553" t="s">
        <v>1493</v>
      </c>
      <c r="B57" s="1547" t="s">
        <v>1643</v>
      </c>
      <c r="C57" s="2142">
        <v>9.7000000000000003E-2</v>
      </c>
      <c r="D57" s="2142">
        <v>9.6000000000000002E-2</v>
      </c>
      <c r="E57" s="2142">
        <v>9.6000000000000002E-2</v>
      </c>
      <c r="F57" s="2143">
        <v>0.1</v>
      </c>
    </row>
    <row r="58" spans="1:6" ht="14.25" thickBot="1">
      <c r="A58" s="1553" t="s">
        <v>1493</v>
      </c>
      <c r="B58" s="1547" t="s">
        <v>1653</v>
      </c>
      <c r="C58" s="2142">
        <v>9.6000000000000002E-2</v>
      </c>
      <c r="D58" s="2142">
        <v>9.9000000000000005E-2</v>
      </c>
      <c r="E58" s="2142">
        <v>9.6000000000000002E-2</v>
      </c>
      <c r="F58" s="2143">
        <v>0.1</v>
      </c>
    </row>
    <row r="59" spans="1:6" ht="14.25" thickBot="1">
      <c r="A59" s="1553" t="s">
        <v>1493</v>
      </c>
      <c r="B59" s="1547" t="s">
        <v>1663</v>
      </c>
      <c r="C59" s="2142">
        <v>7.1999999999999995E-2</v>
      </c>
      <c r="D59" s="2142">
        <v>9.6000000000000002E-2</v>
      </c>
      <c r="E59" s="2142">
        <v>7.0999999999999994E-2</v>
      </c>
      <c r="F59" s="2143">
        <v>0.1</v>
      </c>
    </row>
    <row r="60" spans="1:6" ht="14.25" thickBot="1">
      <c r="A60" s="1553" t="s">
        <v>1493</v>
      </c>
      <c r="B60" s="1547" t="s">
        <v>1673</v>
      </c>
      <c r="C60" s="2142">
        <v>9.6000000000000002E-2</v>
      </c>
      <c r="D60" s="2142">
        <v>8.8999999999999996E-2</v>
      </c>
      <c r="E60" s="2142">
        <v>9.6000000000000002E-2</v>
      </c>
      <c r="F60" s="2143">
        <v>0.1</v>
      </c>
    </row>
    <row r="61" spans="1:6" ht="14.25" thickBot="1">
      <c r="A61" s="1553" t="s">
        <v>1493</v>
      </c>
      <c r="B61" s="1547" t="s">
        <v>1683</v>
      </c>
      <c r="C61" s="2142">
        <v>8.8999999999999996E-2</v>
      </c>
      <c r="D61" s="2142">
        <v>9.8000000000000004E-2</v>
      </c>
      <c r="E61" s="2142">
        <v>8.7999999999999995E-2</v>
      </c>
      <c r="F61" s="2154"/>
    </row>
    <row r="62" spans="1:6" ht="14.25" thickBot="1">
      <c r="A62" s="1553" t="s">
        <v>1493</v>
      </c>
      <c r="B62" s="1547" t="s">
        <v>1694</v>
      </c>
      <c r="C62" s="2142">
        <v>9.8000000000000004E-2</v>
      </c>
      <c r="D62" s="2142">
        <v>9.2999999999999999E-2</v>
      </c>
      <c r="E62" s="2142">
        <v>9.7000000000000003E-2</v>
      </c>
      <c r="F62" s="2154"/>
    </row>
    <row r="63" spans="1:6" ht="14.25" thickBot="1">
      <c r="A63" s="1553" t="s">
        <v>1493</v>
      </c>
      <c r="B63" s="1547" t="s">
        <v>1705</v>
      </c>
      <c r="C63" s="2142">
        <v>9.6000000000000002E-2</v>
      </c>
      <c r="D63" s="2142">
        <v>9.8000000000000004E-2</v>
      </c>
      <c r="E63" s="2142">
        <v>0.09</v>
      </c>
      <c r="F63" s="2154"/>
    </row>
    <row r="64" spans="1:6" ht="14.25" thickBot="1">
      <c r="A64" s="1553" t="s">
        <v>1493</v>
      </c>
      <c r="B64" s="1547" t="s">
        <v>1715</v>
      </c>
      <c r="C64" s="2142">
        <v>9.9000000000000005E-2</v>
      </c>
      <c r="D64" s="2142">
        <v>9.7000000000000003E-2</v>
      </c>
      <c r="E64" s="2142">
        <v>9.9000000000000005E-2</v>
      </c>
      <c r="F64" s="2154"/>
    </row>
    <row r="65" spans="1:6" ht="14.25" thickBot="1">
      <c r="A65" s="1553" t="s">
        <v>1493</v>
      </c>
      <c r="B65" s="1547" t="s">
        <v>1725</v>
      </c>
      <c r="C65" s="2142">
        <v>9.8000000000000004E-2</v>
      </c>
      <c r="D65" s="2142">
        <v>9.6000000000000002E-2</v>
      </c>
      <c r="E65" s="2142">
        <v>9.6000000000000002E-2</v>
      </c>
      <c r="F65" s="2154"/>
    </row>
    <row r="66" spans="1:6" ht="14.25" thickBot="1">
      <c r="A66" s="1553" t="s">
        <v>1493</v>
      </c>
      <c r="B66" s="1547" t="s">
        <v>1735</v>
      </c>
      <c r="C66" s="2142">
        <v>9.6000000000000002E-2</v>
      </c>
      <c r="D66" s="2142">
        <v>9.1999999999999998E-2</v>
      </c>
      <c r="E66" s="2142">
        <v>9.6000000000000002E-2</v>
      </c>
      <c r="F66" s="2154"/>
    </row>
    <row r="67" spans="1:6" ht="14.25" thickBot="1">
      <c r="A67" s="1553" t="s">
        <v>1493</v>
      </c>
      <c r="B67" s="1547" t="s">
        <v>1745</v>
      </c>
      <c r="C67" s="2142">
        <v>9.4E-2</v>
      </c>
      <c r="D67" s="2142">
        <v>0.1</v>
      </c>
      <c r="E67" s="2142">
        <v>8.7999999999999995E-2</v>
      </c>
      <c r="F67" s="2154"/>
    </row>
    <row r="68" spans="1:6" ht="14.25" thickBot="1">
      <c r="A68" s="1553" t="s">
        <v>1493</v>
      </c>
      <c r="B68" s="1547" t="s">
        <v>1754</v>
      </c>
      <c r="C68" s="2142">
        <v>0.1</v>
      </c>
      <c r="D68" s="2142">
        <v>8.7999999999999995E-2</v>
      </c>
      <c r="E68" s="2142">
        <v>9.7000000000000003E-2</v>
      </c>
      <c r="F68" s="2154"/>
    </row>
    <row r="69" spans="1:6" ht="14.25" thickBot="1">
      <c r="A69" s="1553" t="s">
        <v>1493</v>
      </c>
      <c r="B69" s="1547" t="s">
        <v>1763</v>
      </c>
      <c r="C69" s="2142">
        <v>6.4000000000000001E-2</v>
      </c>
      <c r="D69" s="2142">
        <v>0.1</v>
      </c>
      <c r="E69" s="2142">
        <v>0.1</v>
      </c>
      <c r="F69" s="2154"/>
    </row>
    <row r="70" spans="1:6" ht="14.25" thickBot="1">
      <c r="A70" s="1553" t="s">
        <v>1493</v>
      </c>
      <c r="B70" s="1547" t="s">
        <v>1771</v>
      </c>
      <c r="C70" s="2142">
        <v>9.0999999999999998E-2</v>
      </c>
      <c r="D70" s="2155"/>
      <c r="E70" s="2155"/>
      <c r="F70" s="2154"/>
    </row>
    <row r="71" spans="1:6" ht="14.25" thickBot="1">
      <c r="A71" s="1553" t="s">
        <v>1493</v>
      </c>
      <c r="B71" s="1547" t="s">
        <v>1778</v>
      </c>
      <c r="C71" s="2142">
        <v>0.1</v>
      </c>
      <c r="D71" s="2155"/>
      <c r="E71" s="2155"/>
      <c r="F71" s="2154"/>
    </row>
    <row r="72" spans="1:6" ht="14.25" thickBot="1">
      <c r="A72" s="1553" t="s">
        <v>1493</v>
      </c>
      <c r="B72" s="1547" t="s">
        <v>2522</v>
      </c>
      <c r="C72" s="2155"/>
      <c r="D72" s="2155"/>
      <c r="E72" s="2155"/>
      <c r="F72" s="2143">
        <v>0.05</v>
      </c>
    </row>
    <row r="73" spans="1:6" ht="14.25" thickBot="1">
      <c r="A73" s="1553" t="s">
        <v>1493</v>
      </c>
      <c r="B73" s="1547" t="s">
        <v>2523</v>
      </c>
      <c r="C73" s="2155"/>
      <c r="D73" s="2155"/>
      <c r="E73" s="2155"/>
      <c r="F73" s="2143">
        <v>0.05</v>
      </c>
    </row>
    <row r="74" spans="1:6" ht="14.25" thickBot="1">
      <c r="A74" s="1553" t="s">
        <v>1493</v>
      </c>
      <c r="B74" s="1547" t="s">
        <v>2524</v>
      </c>
      <c r="C74" s="2155"/>
      <c r="D74" s="2155"/>
      <c r="E74" s="2155"/>
      <c r="F74" s="2143">
        <v>0.05</v>
      </c>
    </row>
    <row r="75" spans="1:6" ht="14.25" thickBot="1">
      <c r="A75" s="1563" t="s">
        <v>1493</v>
      </c>
      <c r="B75" s="1559" t="s">
        <v>2525</v>
      </c>
      <c r="C75" s="2152"/>
      <c r="D75" s="2152"/>
      <c r="E75" s="2152"/>
      <c r="F75" s="2145">
        <v>0.05</v>
      </c>
    </row>
    <row r="76" spans="1:6" ht="14.25" thickBot="1">
      <c r="A76" s="1553" t="s">
        <v>1893</v>
      </c>
      <c r="B76" s="1554" t="s">
        <v>2526</v>
      </c>
      <c r="C76" s="2140">
        <v>0.1</v>
      </c>
      <c r="D76" s="2140">
        <v>0.1</v>
      </c>
      <c r="E76" s="2140">
        <v>0.1</v>
      </c>
      <c r="F76" s="2141">
        <v>0.1</v>
      </c>
    </row>
    <row r="77" spans="1:6" ht="14.25" thickBot="1">
      <c r="A77" s="1553" t="s">
        <v>1893</v>
      </c>
      <c r="B77" s="1547" t="s">
        <v>1561</v>
      </c>
      <c r="C77" s="2142">
        <v>8.7999999999999995E-2</v>
      </c>
      <c r="D77" s="2142">
        <v>8.6999999999999994E-2</v>
      </c>
      <c r="E77" s="2142">
        <v>7.9000000000000001E-2</v>
      </c>
      <c r="F77" s="2143">
        <v>0.1</v>
      </c>
    </row>
    <row r="78" spans="1:6" ht="14.25" thickBot="1">
      <c r="A78" s="1553" t="s">
        <v>1893</v>
      </c>
      <c r="B78" s="1547" t="s">
        <v>1574</v>
      </c>
      <c r="C78" s="2142">
        <v>8.6999999999999994E-2</v>
      </c>
      <c r="D78" s="2142">
        <v>8.4000000000000005E-2</v>
      </c>
      <c r="E78" s="2142">
        <v>9.6000000000000002E-2</v>
      </c>
      <c r="F78" s="2143">
        <v>0.1</v>
      </c>
    </row>
    <row r="79" spans="1:6" ht="14.25" thickBot="1">
      <c r="A79" s="1553" t="s">
        <v>1893</v>
      </c>
      <c r="B79" s="1547" t="s">
        <v>1587</v>
      </c>
      <c r="C79" s="2142">
        <v>9.8000000000000004E-2</v>
      </c>
      <c r="D79" s="2142">
        <v>9.8000000000000004E-2</v>
      </c>
      <c r="E79" s="2142">
        <v>9.0999999999999998E-2</v>
      </c>
      <c r="F79" s="2143">
        <v>0.1</v>
      </c>
    </row>
    <row r="80" spans="1:6" ht="14.25" thickBot="1">
      <c r="A80" s="1553" t="s">
        <v>1893</v>
      </c>
      <c r="B80" s="1547" t="s">
        <v>1599</v>
      </c>
      <c r="C80" s="2142">
        <v>9.6000000000000002E-2</v>
      </c>
      <c r="D80" s="2142">
        <v>9.6000000000000002E-2</v>
      </c>
      <c r="E80" s="2142">
        <v>0.1</v>
      </c>
      <c r="F80" s="2143">
        <v>0.1</v>
      </c>
    </row>
    <row r="81" spans="1:6" ht="14.25" thickBot="1">
      <c r="A81" s="1553" t="s">
        <v>1893</v>
      </c>
      <c r="B81" s="1547" t="s">
        <v>1610</v>
      </c>
      <c r="C81" s="2142">
        <v>9.9000000000000005E-2</v>
      </c>
      <c r="D81" s="2142">
        <v>9.9000000000000005E-2</v>
      </c>
      <c r="E81" s="2142">
        <v>9.8000000000000004E-2</v>
      </c>
      <c r="F81" s="2143">
        <v>0.1</v>
      </c>
    </row>
    <row r="82" spans="1:6" ht="14.25" thickBot="1">
      <c r="A82" s="1553" t="s">
        <v>1893</v>
      </c>
      <c r="B82" s="1547" t="s">
        <v>1621</v>
      </c>
      <c r="C82" s="2142">
        <v>9.9000000000000005E-2</v>
      </c>
      <c r="D82" s="2142">
        <v>9.9000000000000005E-2</v>
      </c>
      <c r="E82" s="2142">
        <v>9.7000000000000003E-2</v>
      </c>
      <c r="F82" s="2143">
        <v>0.1</v>
      </c>
    </row>
    <row r="83" spans="1:6" ht="14.25" thickBot="1">
      <c r="A83" s="1553" t="s">
        <v>1893</v>
      </c>
      <c r="B83" s="1547" t="s">
        <v>1632</v>
      </c>
      <c r="C83" s="2142">
        <v>9.8000000000000004E-2</v>
      </c>
      <c r="D83" s="2142">
        <v>9.8000000000000004E-2</v>
      </c>
      <c r="E83" s="2142">
        <v>9.8000000000000004E-2</v>
      </c>
      <c r="F83" s="2143">
        <v>0.1</v>
      </c>
    </row>
    <row r="84" spans="1:6" ht="14.25" thickBot="1">
      <c r="A84" s="1553" t="s">
        <v>1893</v>
      </c>
      <c r="B84" s="1547" t="s">
        <v>1644</v>
      </c>
      <c r="C84" s="2142">
        <v>9.9000000000000005E-2</v>
      </c>
      <c r="D84" s="2142">
        <v>9.9000000000000005E-2</v>
      </c>
      <c r="E84" s="2142">
        <v>9.9000000000000005E-2</v>
      </c>
      <c r="F84" s="2143">
        <v>0.1</v>
      </c>
    </row>
    <row r="85" spans="1:6" ht="14.25" thickBot="1">
      <c r="A85" s="1553" t="s">
        <v>1893</v>
      </c>
      <c r="B85" s="1547" t="s">
        <v>1654</v>
      </c>
      <c r="C85" s="2142">
        <v>9.9000000000000005E-2</v>
      </c>
      <c r="D85" s="2142">
        <v>9.9000000000000005E-2</v>
      </c>
      <c r="E85" s="2142">
        <v>9.9000000000000005E-2</v>
      </c>
      <c r="F85" s="2143">
        <v>0.1</v>
      </c>
    </row>
    <row r="86" spans="1:6" ht="14.25" thickBot="1">
      <c r="A86" s="1553" t="s">
        <v>1893</v>
      </c>
      <c r="B86" s="1547" t="s">
        <v>1664</v>
      </c>
      <c r="C86" s="2142">
        <v>0.1</v>
      </c>
      <c r="D86" s="2142">
        <v>0.1</v>
      </c>
      <c r="E86" s="2142">
        <v>7.6999999999999999E-2</v>
      </c>
      <c r="F86" s="2143">
        <v>0.1</v>
      </c>
    </row>
    <row r="87" spans="1:6" ht="14.25" thickBot="1">
      <c r="A87" s="1553" t="s">
        <v>1893</v>
      </c>
      <c r="B87" s="1547" t="s">
        <v>1674</v>
      </c>
      <c r="C87" s="2142">
        <v>0.1</v>
      </c>
      <c r="D87" s="2142">
        <v>0.1</v>
      </c>
      <c r="E87" s="2142">
        <v>9.8000000000000004E-2</v>
      </c>
      <c r="F87" s="2154"/>
    </row>
    <row r="88" spans="1:6" ht="14.25" thickBot="1">
      <c r="A88" s="1553" t="s">
        <v>1893</v>
      </c>
      <c r="B88" s="1547" t="s">
        <v>1684</v>
      </c>
      <c r="C88" s="2142">
        <v>9.1999999999999998E-2</v>
      </c>
      <c r="D88" s="2142">
        <v>8.5000000000000006E-2</v>
      </c>
      <c r="E88" s="2142">
        <v>9.6000000000000002E-2</v>
      </c>
      <c r="F88" s="2154"/>
    </row>
    <row r="89" spans="1:6" ht="14.25" thickBot="1">
      <c r="A89" s="1553" t="s">
        <v>1893</v>
      </c>
      <c r="B89" s="1547" t="s">
        <v>1695</v>
      </c>
      <c r="C89" s="2142">
        <v>0.1</v>
      </c>
      <c r="D89" s="2142">
        <v>0.1</v>
      </c>
      <c r="E89" s="2142">
        <v>9.7000000000000003E-2</v>
      </c>
      <c r="F89" s="2154"/>
    </row>
    <row r="90" spans="1:6" ht="14.25" thickBot="1">
      <c r="A90" s="1553" t="s">
        <v>1893</v>
      </c>
      <c r="B90" s="1547" t="s">
        <v>1706</v>
      </c>
      <c r="C90" s="2142">
        <v>9.8000000000000004E-2</v>
      </c>
      <c r="D90" s="2142">
        <v>9.8000000000000004E-2</v>
      </c>
      <c r="E90" s="2142">
        <v>8.7999999999999995E-2</v>
      </c>
      <c r="F90" s="2154"/>
    </row>
    <row r="91" spans="1:6" ht="14.25" thickBot="1">
      <c r="A91" s="1553" t="s">
        <v>1893</v>
      </c>
      <c r="B91" s="1547" t="s">
        <v>1716</v>
      </c>
      <c r="C91" s="2142">
        <v>9.9000000000000005E-2</v>
      </c>
      <c r="D91" s="2142">
        <v>9.9000000000000005E-2</v>
      </c>
      <c r="E91" s="2142">
        <v>9.0999999999999998E-2</v>
      </c>
      <c r="F91" s="2154"/>
    </row>
    <row r="92" spans="1:6" ht="14.25" thickBot="1">
      <c r="A92" s="1553" t="s">
        <v>1893</v>
      </c>
      <c r="B92" s="1547" t="s">
        <v>1726</v>
      </c>
      <c r="C92" s="2142">
        <v>9.6000000000000002E-2</v>
      </c>
      <c r="D92" s="2142">
        <v>9.6000000000000002E-2</v>
      </c>
      <c r="E92" s="2142">
        <v>7.2999999999999995E-2</v>
      </c>
      <c r="F92" s="2154"/>
    </row>
    <row r="93" spans="1:6" ht="14.25" thickBot="1">
      <c r="A93" s="1553" t="s">
        <v>1893</v>
      </c>
      <c r="B93" s="1547" t="s">
        <v>1736</v>
      </c>
      <c r="C93" s="2142">
        <v>9.6000000000000002E-2</v>
      </c>
      <c r="D93" s="2142">
        <v>9.6000000000000002E-2</v>
      </c>
      <c r="E93" s="2142">
        <v>9.9000000000000005E-2</v>
      </c>
      <c r="F93" s="2154"/>
    </row>
    <row r="94" spans="1:6" ht="14.25" thickBot="1">
      <c r="A94" s="1553" t="s">
        <v>1893</v>
      </c>
      <c r="B94" s="1547" t="s">
        <v>1746</v>
      </c>
      <c r="C94" s="2142">
        <v>7.5999999999999998E-2</v>
      </c>
      <c r="D94" s="2142">
        <v>7.3999999999999996E-2</v>
      </c>
      <c r="E94" s="2142">
        <v>9.7000000000000003E-2</v>
      </c>
      <c r="F94" s="2154"/>
    </row>
    <row r="95" spans="1:6" ht="14.25" thickBot="1">
      <c r="A95" s="1553" t="s">
        <v>1893</v>
      </c>
      <c r="B95" s="1547" t="s">
        <v>1755</v>
      </c>
      <c r="C95" s="2142">
        <v>9.9000000000000005E-2</v>
      </c>
      <c r="D95" s="2142">
        <v>9.4E-2</v>
      </c>
      <c r="E95" s="2142">
        <v>9.6000000000000002E-2</v>
      </c>
      <c r="F95" s="2154"/>
    </row>
    <row r="96" spans="1:6" ht="14.25" thickBot="1">
      <c r="A96" s="1553" t="s">
        <v>1893</v>
      </c>
      <c r="B96" s="1547" t="s">
        <v>1764</v>
      </c>
      <c r="C96" s="2142">
        <v>9.9000000000000005E-2</v>
      </c>
      <c r="D96" s="2142">
        <v>9.9000000000000005E-2</v>
      </c>
      <c r="E96" s="2142">
        <v>9.9000000000000005E-2</v>
      </c>
      <c r="F96" s="2154"/>
    </row>
    <row r="97" spans="1:6" ht="14.25" thickBot="1">
      <c r="A97" s="1553" t="s">
        <v>1893</v>
      </c>
      <c r="B97" s="1547" t="s">
        <v>1772</v>
      </c>
      <c r="C97" s="2142">
        <v>9.8000000000000004E-2</v>
      </c>
      <c r="D97" s="2142">
        <v>9.8000000000000004E-2</v>
      </c>
      <c r="E97" s="2142">
        <v>9.7000000000000003E-2</v>
      </c>
      <c r="F97" s="2154"/>
    </row>
    <row r="98" spans="1:6" ht="14.25" thickBot="1">
      <c r="A98" s="1553" t="s">
        <v>1893</v>
      </c>
      <c r="B98" s="1547" t="s">
        <v>1779</v>
      </c>
      <c r="C98" s="2142">
        <v>0.1</v>
      </c>
      <c r="D98" s="2142">
        <v>0.1</v>
      </c>
      <c r="E98" s="2142">
        <v>9.7000000000000003E-2</v>
      </c>
      <c r="F98" s="2154"/>
    </row>
    <row r="99" spans="1:6" ht="14.25" thickBot="1">
      <c r="A99" s="1553" t="s">
        <v>1893</v>
      </c>
      <c r="B99" s="1547" t="s">
        <v>1786</v>
      </c>
      <c r="C99" s="2142">
        <v>0.1</v>
      </c>
      <c r="D99" s="2142">
        <v>0.1</v>
      </c>
      <c r="E99" s="2155"/>
      <c r="F99" s="2154"/>
    </row>
    <row r="100" spans="1:6" ht="14.25" thickBot="1">
      <c r="A100" s="1553" t="s">
        <v>1893</v>
      </c>
      <c r="B100" s="1547" t="s">
        <v>1793</v>
      </c>
      <c r="C100" s="2142">
        <v>0.09</v>
      </c>
      <c r="D100" s="2142">
        <v>8.8999999999999996E-2</v>
      </c>
      <c r="E100" s="2155"/>
      <c r="F100" s="2154"/>
    </row>
    <row r="101" spans="1:6" ht="14.25" thickBot="1">
      <c r="A101" s="1553" t="s">
        <v>1893</v>
      </c>
      <c r="B101" s="1547" t="s">
        <v>1800</v>
      </c>
      <c r="C101" s="2142">
        <v>9.8000000000000004E-2</v>
      </c>
      <c r="D101" s="2142">
        <v>9.7000000000000003E-2</v>
      </c>
      <c r="E101" s="2155"/>
      <c r="F101" s="2154"/>
    </row>
    <row r="102" spans="1:6" ht="14.25" thickBot="1">
      <c r="A102" s="1553" t="s">
        <v>1893</v>
      </c>
      <c r="B102" s="1547" t="s">
        <v>2527</v>
      </c>
      <c r="C102" s="2155"/>
      <c r="D102" s="2155"/>
      <c r="E102" s="2155"/>
      <c r="F102" s="2143">
        <v>0.05</v>
      </c>
    </row>
    <row r="103" spans="1:6" ht="24.75" thickBot="1">
      <c r="A103" s="1553" t="s">
        <v>1893</v>
      </c>
      <c r="B103" s="1547" t="s">
        <v>2528</v>
      </c>
      <c r="C103" s="2155"/>
      <c r="D103" s="2155"/>
      <c r="E103" s="2155"/>
      <c r="F103" s="2143">
        <v>0.05</v>
      </c>
    </row>
    <row r="104" spans="1:6" ht="14.25" thickBot="1">
      <c r="A104" s="1553" t="s">
        <v>1893</v>
      </c>
      <c r="B104" s="1547" t="s">
        <v>2529</v>
      </c>
      <c r="C104" s="2155"/>
      <c r="D104" s="2155"/>
      <c r="E104" s="2155"/>
      <c r="F104" s="2143">
        <v>0.05</v>
      </c>
    </row>
    <row r="105" spans="1:6" ht="14.25" thickBot="1">
      <c r="A105" s="1553" t="s">
        <v>1893</v>
      </c>
      <c r="B105" s="1547" t="s">
        <v>2530</v>
      </c>
      <c r="C105" s="2155"/>
      <c r="D105" s="2155"/>
      <c r="E105" s="2155"/>
      <c r="F105" s="2143">
        <v>0.05</v>
      </c>
    </row>
    <row r="106" spans="1:6" ht="14.25" thickBot="1">
      <c r="A106" s="1553" t="s">
        <v>1893</v>
      </c>
      <c r="B106" s="1547" t="s">
        <v>2531</v>
      </c>
      <c r="C106" s="2155"/>
      <c r="D106" s="2155"/>
      <c r="E106" s="2155"/>
      <c r="F106" s="2143">
        <v>0.05</v>
      </c>
    </row>
    <row r="107" spans="1:6" ht="24.75" thickBot="1">
      <c r="A107" s="1553" t="s">
        <v>1893</v>
      </c>
      <c r="B107" s="1547" t="s">
        <v>2532</v>
      </c>
      <c r="C107" s="2155"/>
      <c r="D107" s="2155"/>
      <c r="E107" s="2155"/>
      <c r="F107" s="2143">
        <v>0.05</v>
      </c>
    </row>
    <row r="108" spans="1:6" ht="24.75" thickBot="1">
      <c r="A108" s="1553" t="s">
        <v>1893</v>
      </c>
      <c r="B108" s="1547" t="s">
        <v>2533</v>
      </c>
      <c r="C108" s="2155"/>
      <c r="D108" s="2155"/>
      <c r="E108" s="2155"/>
      <c r="F108" s="2143">
        <v>0.05</v>
      </c>
    </row>
    <row r="109" spans="1:6" ht="24.75" thickBot="1">
      <c r="A109" s="1563" t="s">
        <v>1893</v>
      </c>
      <c r="B109" s="1559" t="s">
        <v>2534</v>
      </c>
      <c r="C109" s="2152"/>
      <c r="D109" s="2152"/>
      <c r="E109" s="2152"/>
      <c r="F109" s="2145">
        <v>0.05</v>
      </c>
    </row>
    <row r="110" spans="1:6" ht="14.25" thickBot="1">
      <c r="A110" s="1553" t="s">
        <v>370</v>
      </c>
      <c r="B110" s="1554" t="s">
        <v>2535</v>
      </c>
      <c r="C110" s="2140">
        <v>0.129</v>
      </c>
      <c r="D110" s="2140">
        <v>0.129</v>
      </c>
      <c r="E110" s="2140">
        <v>0.126</v>
      </c>
      <c r="F110" s="2141">
        <v>0.13</v>
      </c>
    </row>
    <row r="111" spans="1:6" ht="14.25" thickBot="1">
      <c r="A111" s="1553" t="s">
        <v>370</v>
      </c>
      <c r="B111" s="1547" t="s">
        <v>1562</v>
      </c>
      <c r="C111" s="2142">
        <v>0.11</v>
      </c>
      <c r="D111" s="2142">
        <v>0.11</v>
      </c>
      <c r="E111" s="2142">
        <v>9.9000000000000005E-2</v>
      </c>
      <c r="F111" s="2143">
        <v>0.128</v>
      </c>
    </row>
    <row r="112" spans="1:6" ht="14.25" thickBot="1">
      <c r="A112" s="1553" t="s">
        <v>370</v>
      </c>
      <c r="B112" s="1547" t="s">
        <v>1575</v>
      </c>
      <c r="C112" s="2142">
        <v>0.125</v>
      </c>
      <c r="D112" s="2142">
        <v>0.125</v>
      </c>
      <c r="E112" s="2142">
        <v>0.12</v>
      </c>
      <c r="F112" s="2143">
        <v>0.125</v>
      </c>
    </row>
    <row r="113" spans="1:6" ht="14.25" thickBot="1">
      <c r="A113" s="1553" t="s">
        <v>370</v>
      </c>
      <c r="B113" s="1547" t="s">
        <v>1588</v>
      </c>
      <c r="C113" s="2142">
        <v>0.13</v>
      </c>
      <c r="D113" s="2142">
        <v>0.13</v>
      </c>
      <c r="E113" s="2142">
        <v>0.13</v>
      </c>
      <c r="F113" s="2143">
        <v>0.13</v>
      </c>
    </row>
    <row r="114" spans="1:6" ht="14.25" thickBot="1">
      <c r="A114" s="1553" t="s">
        <v>370</v>
      </c>
      <c r="B114" s="1547" t="s">
        <v>1600</v>
      </c>
      <c r="C114" s="2142">
        <v>0.123</v>
      </c>
      <c r="D114" s="2142">
        <v>0.123</v>
      </c>
      <c r="E114" s="2142">
        <v>0.12</v>
      </c>
      <c r="F114" s="2143">
        <v>0.13</v>
      </c>
    </row>
    <row r="115" spans="1:6" ht="14.25" thickBot="1">
      <c r="A115" s="1553" t="s">
        <v>370</v>
      </c>
      <c r="B115" s="1547" t="s">
        <v>1611</v>
      </c>
      <c r="C115" s="2142">
        <v>0.125</v>
      </c>
      <c r="D115" s="2142">
        <v>0.125</v>
      </c>
      <c r="E115" s="2142">
        <v>0.11700000000000001</v>
      </c>
      <c r="F115" s="2143">
        <v>0.13</v>
      </c>
    </row>
    <row r="116" spans="1:6" ht="14.25" thickBot="1">
      <c r="A116" s="1553" t="s">
        <v>370</v>
      </c>
      <c r="B116" s="1547" t="s">
        <v>1622</v>
      </c>
      <c r="C116" s="2142">
        <v>0.11700000000000001</v>
      </c>
      <c r="D116" s="2142">
        <v>0.11700000000000001</v>
      </c>
      <c r="E116" s="2142">
        <v>8.7999999999999995E-2</v>
      </c>
      <c r="F116" s="2143">
        <v>0.13</v>
      </c>
    </row>
    <row r="117" spans="1:6" ht="14.25" thickBot="1">
      <c r="A117" s="1553" t="s">
        <v>370</v>
      </c>
      <c r="B117" s="1547" t="s">
        <v>1633</v>
      </c>
      <c r="C117" s="2142">
        <v>0.13</v>
      </c>
      <c r="D117" s="2142">
        <v>0.13</v>
      </c>
      <c r="E117" s="2142">
        <v>0.129</v>
      </c>
      <c r="F117" s="2143">
        <v>0.13</v>
      </c>
    </row>
    <row r="118" spans="1:6" ht="14.25" thickBot="1">
      <c r="A118" s="1553" t="s">
        <v>370</v>
      </c>
      <c r="B118" s="1547" t="s">
        <v>1645</v>
      </c>
      <c r="C118" s="2142">
        <v>0.123</v>
      </c>
      <c r="D118" s="2142">
        <v>0.123</v>
      </c>
      <c r="E118" s="2142">
        <v>0.11600000000000001</v>
      </c>
      <c r="F118" s="2143">
        <v>0.13</v>
      </c>
    </row>
    <row r="119" spans="1:6" ht="14.25" thickBot="1">
      <c r="A119" s="1553" t="s">
        <v>370</v>
      </c>
      <c r="B119" s="1547" t="s">
        <v>1655</v>
      </c>
      <c r="C119" s="2142">
        <v>0.127</v>
      </c>
      <c r="D119" s="2142">
        <v>0.127</v>
      </c>
      <c r="E119" s="2142">
        <v>0.124</v>
      </c>
      <c r="F119" s="2143">
        <v>0.13</v>
      </c>
    </row>
    <row r="120" spans="1:6" ht="14.25" thickBot="1">
      <c r="A120" s="1553" t="s">
        <v>370</v>
      </c>
      <c r="B120" s="1547" t="s">
        <v>1665</v>
      </c>
      <c r="C120" s="2142">
        <v>0.125</v>
      </c>
      <c r="D120" s="2142">
        <v>0.125</v>
      </c>
      <c r="E120" s="2142">
        <v>0.122</v>
      </c>
      <c r="F120" s="2143">
        <v>0.13</v>
      </c>
    </row>
    <row r="121" spans="1:6" ht="14.25" thickBot="1">
      <c r="A121" s="1553" t="s">
        <v>370</v>
      </c>
      <c r="B121" s="1547" t="s">
        <v>1675</v>
      </c>
      <c r="C121" s="2142">
        <v>0.13</v>
      </c>
      <c r="D121" s="2142">
        <v>0.13</v>
      </c>
      <c r="E121" s="2142">
        <v>0.13</v>
      </c>
      <c r="F121" s="2143">
        <v>0.13</v>
      </c>
    </row>
    <row r="122" spans="1:6" ht="14.25" thickBot="1">
      <c r="A122" s="1553" t="s">
        <v>370</v>
      </c>
      <c r="B122" s="1547" t="s">
        <v>1685</v>
      </c>
      <c r="C122" s="2142">
        <v>0.13</v>
      </c>
      <c r="D122" s="2142">
        <v>0.13</v>
      </c>
      <c r="E122" s="2142">
        <v>0.125</v>
      </c>
      <c r="F122" s="2143">
        <v>0.13</v>
      </c>
    </row>
    <row r="123" spans="1:6" ht="14.25" thickBot="1">
      <c r="A123" s="1553" t="s">
        <v>370</v>
      </c>
      <c r="B123" s="1547" t="s">
        <v>1696</v>
      </c>
      <c r="C123" s="2142">
        <v>0.129</v>
      </c>
      <c r="D123" s="2142">
        <v>0.129</v>
      </c>
      <c r="E123" s="2142">
        <v>0.123</v>
      </c>
      <c r="F123" s="2143">
        <v>0.13</v>
      </c>
    </row>
    <row r="124" spans="1:6" ht="14.25" thickBot="1">
      <c r="A124" s="1553" t="s">
        <v>370</v>
      </c>
      <c r="B124" s="1547" t="s">
        <v>1707</v>
      </c>
      <c r="C124" s="2142">
        <v>0.10199999999999999</v>
      </c>
      <c r="D124" s="2142">
        <v>0.10100000000000001</v>
      </c>
      <c r="E124" s="2142">
        <v>0.08</v>
      </c>
      <c r="F124" s="2154"/>
    </row>
    <row r="125" spans="1:6" ht="14.25" thickBot="1">
      <c r="A125" s="1553" t="s">
        <v>370</v>
      </c>
      <c r="B125" s="1547" t="s">
        <v>1717</v>
      </c>
      <c r="C125" s="2142">
        <v>0.13</v>
      </c>
      <c r="D125" s="2142">
        <v>0.13</v>
      </c>
      <c r="E125" s="2142">
        <v>0.129</v>
      </c>
      <c r="F125" s="2154"/>
    </row>
    <row r="126" spans="1:6" ht="14.25" thickBot="1">
      <c r="A126" s="1553" t="s">
        <v>370</v>
      </c>
      <c r="B126" s="1547" t="s">
        <v>1727</v>
      </c>
      <c r="C126" s="2142">
        <v>0.13</v>
      </c>
      <c r="D126" s="2142">
        <v>0.13</v>
      </c>
      <c r="E126" s="2142">
        <v>0.126</v>
      </c>
      <c r="F126" s="2154"/>
    </row>
    <row r="127" spans="1:6" ht="14.25" thickBot="1">
      <c r="A127" s="1553" t="s">
        <v>370</v>
      </c>
      <c r="B127" s="1547" t="s">
        <v>1737</v>
      </c>
      <c r="C127" s="2142">
        <v>0.125</v>
      </c>
      <c r="D127" s="2142">
        <v>0.125</v>
      </c>
      <c r="E127" s="2142">
        <v>0.121</v>
      </c>
      <c r="F127" s="2154"/>
    </row>
    <row r="128" spans="1:6" ht="14.25" thickBot="1">
      <c r="A128" s="1553" t="s">
        <v>370</v>
      </c>
      <c r="B128" s="1547" t="s">
        <v>1747</v>
      </c>
      <c r="C128" s="2142">
        <v>0.12</v>
      </c>
      <c r="D128" s="2142">
        <v>0.12</v>
      </c>
      <c r="E128" s="2142">
        <v>0.105</v>
      </c>
      <c r="F128" s="2154"/>
    </row>
    <row r="129" spans="1:6" ht="14.25" thickBot="1">
      <c r="A129" s="1553" t="s">
        <v>370</v>
      </c>
      <c r="B129" s="1547" t="s">
        <v>1756</v>
      </c>
      <c r="C129" s="2142">
        <v>0.13</v>
      </c>
      <c r="D129" s="2142">
        <v>0.13</v>
      </c>
      <c r="E129" s="2142">
        <v>0.126</v>
      </c>
      <c r="F129" s="2154"/>
    </row>
    <row r="130" spans="1:6" ht="14.25" thickBot="1">
      <c r="A130" s="1553" t="s">
        <v>370</v>
      </c>
      <c r="B130" s="1547" t="s">
        <v>1765</v>
      </c>
      <c r="C130" s="2142">
        <v>0.125</v>
      </c>
      <c r="D130" s="2142">
        <v>0.125</v>
      </c>
      <c r="E130" s="2142">
        <v>0.122</v>
      </c>
      <c r="F130" s="2154"/>
    </row>
    <row r="131" spans="1:6" ht="14.25" thickBot="1">
      <c r="A131" s="1553" t="s">
        <v>370</v>
      </c>
      <c r="B131" s="1547" t="s">
        <v>1773</v>
      </c>
      <c r="C131" s="2142">
        <v>0.127</v>
      </c>
      <c r="D131" s="2142">
        <v>0.126</v>
      </c>
      <c r="E131" s="2142">
        <v>0.123</v>
      </c>
      <c r="F131" s="2154"/>
    </row>
    <row r="132" spans="1:6" ht="14.25" thickBot="1">
      <c r="A132" s="1553" t="s">
        <v>370</v>
      </c>
      <c r="B132" s="1547" t="s">
        <v>1780</v>
      </c>
      <c r="C132" s="2142">
        <v>9.0999999999999998E-2</v>
      </c>
      <c r="D132" s="2142">
        <v>0.121</v>
      </c>
      <c r="E132" s="2142">
        <v>9.9000000000000005E-2</v>
      </c>
      <c r="F132" s="2154"/>
    </row>
    <row r="133" spans="1:6" ht="14.25" thickBot="1">
      <c r="A133" s="1553" t="s">
        <v>370</v>
      </c>
      <c r="B133" s="1547" t="s">
        <v>1787</v>
      </c>
      <c r="C133" s="2142">
        <v>0.13</v>
      </c>
      <c r="D133" s="2142">
        <v>0.13</v>
      </c>
      <c r="E133" s="2142">
        <v>0.129</v>
      </c>
      <c r="F133" s="2154"/>
    </row>
    <row r="134" spans="1:6" ht="14.25" thickBot="1">
      <c r="A134" s="1553" t="s">
        <v>370</v>
      </c>
      <c r="B134" s="1547" t="s">
        <v>2536</v>
      </c>
      <c r="C134" s="2142">
        <v>6.8000000000000005E-2</v>
      </c>
      <c r="D134" s="2142">
        <v>6.5000000000000002E-2</v>
      </c>
      <c r="E134" s="2142">
        <v>6.5000000000000002E-2</v>
      </c>
      <c r="F134" s="2143">
        <v>0.13</v>
      </c>
    </row>
    <row r="135" spans="1:6" ht="14.25" thickBot="1">
      <c r="A135" s="1553" t="s">
        <v>370</v>
      </c>
      <c r="B135" s="1547" t="s">
        <v>1801</v>
      </c>
      <c r="C135" s="2142">
        <v>0.123</v>
      </c>
      <c r="D135" s="2142">
        <v>0.123</v>
      </c>
      <c r="E135" s="2142">
        <v>0.11</v>
      </c>
      <c r="F135" s="2154"/>
    </row>
    <row r="136" spans="1:6" ht="14.25" thickBot="1">
      <c r="A136" s="1553" t="s">
        <v>370</v>
      </c>
      <c r="B136" s="1547" t="s">
        <v>1808</v>
      </c>
      <c r="C136" s="2142">
        <v>0.13</v>
      </c>
      <c r="D136" s="2142">
        <v>0.13</v>
      </c>
      <c r="E136" s="2142">
        <v>0.125</v>
      </c>
      <c r="F136" s="2154"/>
    </row>
    <row r="137" spans="1:6" ht="14.25" thickBot="1">
      <c r="A137" s="1553" t="s">
        <v>370</v>
      </c>
      <c r="B137" s="1547" t="s">
        <v>1815</v>
      </c>
      <c r="C137" s="2142">
        <v>0.121</v>
      </c>
      <c r="D137" s="2142">
        <v>0.122</v>
      </c>
      <c r="E137" s="2142">
        <v>0.115</v>
      </c>
      <c r="F137" s="2154"/>
    </row>
    <row r="138" spans="1:6" ht="14.25" thickBot="1">
      <c r="A138" s="1553" t="s">
        <v>370</v>
      </c>
      <c r="B138" s="1547" t="s">
        <v>2537</v>
      </c>
      <c r="C138" s="2142">
        <v>0.105</v>
      </c>
      <c r="D138" s="2142">
        <v>0.125</v>
      </c>
      <c r="E138" s="2142">
        <v>0.112</v>
      </c>
      <c r="F138" s="2154"/>
    </row>
    <row r="139" spans="1:6" ht="14.25" thickBot="1">
      <c r="A139" s="1553" t="s">
        <v>370</v>
      </c>
      <c r="B139" s="1547" t="s">
        <v>2538</v>
      </c>
      <c r="C139" s="2142">
        <v>0.127</v>
      </c>
      <c r="D139" s="2142">
        <v>0.127</v>
      </c>
      <c r="E139" s="2142">
        <v>0.122</v>
      </c>
      <c r="F139" s="2143">
        <v>0.13</v>
      </c>
    </row>
    <row r="140" spans="1:6" ht="14.25" thickBot="1">
      <c r="A140" s="1553" t="s">
        <v>370</v>
      </c>
      <c r="B140" s="1547" t="s">
        <v>2539</v>
      </c>
      <c r="C140" s="2142">
        <v>0.125</v>
      </c>
      <c r="D140" s="2142">
        <v>0.125</v>
      </c>
      <c r="E140" s="2142">
        <v>0.11899999999999999</v>
      </c>
      <c r="F140" s="2143">
        <v>0.13</v>
      </c>
    </row>
    <row r="141" spans="1:6" ht="14.25" thickBot="1">
      <c r="A141" s="1553" t="s">
        <v>370</v>
      </c>
      <c r="B141" s="1547" t="s">
        <v>1834</v>
      </c>
      <c r="C141" s="2142">
        <v>0.125</v>
      </c>
      <c r="D141" s="2142">
        <v>0.125</v>
      </c>
      <c r="E141" s="2142">
        <v>0.11700000000000001</v>
      </c>
      <c r="F141" s="2154"/>
    </row>
    <row r="142" spans="1:6" ht="14.25" thickBot="1">
      <c r="A142" s="1553" t="s">
        <v>370</v>
      </c>
      <c r="B142" s="1547" t="s">
        <v>1839</v>
      </c>
      <c r="C142" s="2142">
        <v>0.125</v>
      </c>
      <c r="D142" s="2142">
        <v>0.125</v>
      </c>
      <c r="E142" s="2142">
        <v>0.115</v>
      </c>
      <c r="F142" s="2154"/>
    </row>
    <row r="143" spans="1:6" ht="14.25" thickBot="1">
      <c r="A143" s="1553" t="s">
        <v>370</v>
      </c>
      <c r="B143" s="1547" t="s">
        <v>1844</v>
      </c>
      <c r="C143" s="2142">
        <v>0.121</v>
      </c>
      <c r="D143" s="2142">
        <v>0.121</v>
      </c>
      <c r="E143" s="2142">
        <v>0.108</v>
      </c>
      <c r="F143" s="2154"/>
    </row>
    <row r="144" spans="1:6" ht="14.25" thickBot="1">
      <c r="A144" s="1553" t="s">
        <v>370</v>
      </c>
      <c r="B144" s="2146" t="s">
        <v>2540</v>
      </c>
      <c r="C144" s="2147">
        <v>0.126</v>
      </c>
      <c r="D144" s="2147">
        <v>0.126</v>
      </c>
      <c r="E144" s="2147">
        <v>0.121</v>
      </c>
      <c r="F144" s="2154"/>
    </row>
    <row r="145" spans="1:6" ht="14.25" thickBot="1">
      <c r="A145" s="1563" t="s">
        <v>370</v>
      </c>
      <c r="B145" s="2148" t="s">
        <v>2541</v>
      </c>
      <c r="C145" s="2156"/>
      <c r="D145" s="2156"/>
      <c r="E145" s="2156"/>
      <c r="F145" s="2149">
        <v>0.05</v>
      </c>
    </row>
    <row r="146" spans="1:6" ht="24.75" thickBot="1">
      <c r="A146" s="2150" t="s">
        <v>370</v>
      </c>
      <c r="B146" s="1557" t="s">
        <v>2542</v>
      </c>
      <c r="C146" s="2155"/>
      <c r="D146" s="2155"/>
      <c r="E146" s="2155"/>
      <c r="F146" s="2151">
        <v>0.05</v>
      </c>
    </row>
    <row r="147" spans="1:6" ht="24.75" thickBot="1">
      <c r="A147" s="1553" t="s">
        <v>370</v>
      </c>
      <c r="B147" s="1547" t="s">
        <v>2543</v>
      </c>
      <c r="C147" s="2155"/>
      <c r="D147" s="2155"/>
      <c r="E147" s="2155"/>
      <c r="F147" s="2143">
        <v>0.05</v>
      </c>
    </row>
    <row r="148" spans="1:6" ht="24.75" thickBot="1">
      <c r="A148" s="1553" t="s">
        <v>370</v>
      </c>
      <c r="B148" s="1547" t="s">
        <v>2544</v>
      </c>
      <c r="C148" s="2155"/>
      <c r="D148" s="2155"/>
      <c r="E148" s="2155"/>
      <c r="F148" s="2143">
        <v>0.05</v>
      </c>
    </row>
    <row r="149" spans="1:6" ht="24.75" thickBot="1">
      <c r="A149" s="1553" t="s">
        <v>370</v>
      </c>
      <c r="B149" s="1547" t="s">
        <v>2545</v>
      </c>
      <c r="C149" s="2155"/>
      <c r="D149" s="2155"/>
      <c r="E149" s="2155"/>
      <c r="F149" s="2143">
        <v>0.05</v>
      </c>
    </row>
    <row r="150" spans="1:6" ht="24.75" thickBot="1">
      <c r="A150" s="1553" t="s">
        <v>370</v>
      </c>
      <c r="B150" s="1547" t="s">
        <v>2546</v>
      </c>
      <c r="C150" s="2155"/>
      <c r="D150" s="2155"/>
      <c r="E150" s="2155"/>
      <c r="F150" s="2143">
        <v>0.05</v>
      </c>
    </row>
    <row r="151" spans="1:6" ht="24.75" thickBot="1">
      <c r="A151" s="1553" t="s">
        <v>370</v>
      </c>
      <c r="B151" s="1547" t="s">
        <v>2547</v>
      </c>
      <c r="C151" s="2155"/>
      <c r="D151" s="2155"/>
      <c r="E151" s="2155"/>
      <c r="F151" s="2143">
        <v>0.05</v>
      </c>
    </row>
    <row r="152" spans="1:6" ht="24.75" thickBot="1">
      <c r="A152" s="1553" t="s">
        <v>370</v>
      </c>
      <c r="B152" s="1547" t="s">
        <v>1877</v>
      </c>
      <c r="C152" s="2155"/>
      <c r="D152" s="2155"/>
      <c r="E152" s="2155"/>
      <c r="F152" s="2143">
        <v>0.05</v>
      </c>
    </row>
    <row r="153" spans="1:6" ht="14.25" thickBot="1">
      <c r="A153" s="1553" t="s">
        <v>370</v>
      </c>
      <c r="B153" s="1547" t="s">
        <v>2548</v>
      </c>
      <c r="C153" s="2155"/>
      <c r="D153" s="2155"/>
      <c r="E153" s="2155"/>
      <c r="F153" s="2143">
        <v>0.05</v>
      </c>
    </row>
    <row r="154" spans="1:6" ht="14.25" thickBot="1">
      <c r="A154" s="1553" t="s">
        <v>370</v>
      </c>
      <c r="B154" s="1547" t="s">
        <v>2549</v>
      </c>
      <c r="C154" s="2155"/>
      <c r="D154" s="2155"/>
      <c r="E154" s="2155"/>
      <c r="F154" s="2143">
        <v>0.05</v>
      </c>
    </row>
    <row r="155" spans="1:6" ht="24.75" thickBot="1">
      <c r="A155" s="1553" t="s">
        <v>370</v>
      </c>
      <c r="B155" s="1547" t="s">
        <v>2550</v>
      </c>
      <c r="C155" s="2155"/>
      <c r="D155" s="2155"/>
      <c r="E155" s="2155"/>
      <c r="F155" s="2143">
        <v>0.05</v>
      </c>
    </row>
    <row r="156" spans="1:6" ht="24.75" thickBot="1">
      <c r="A156" s="1553" t="s">
        <v>370</v>
      </c>
      <c r="B156" s="1547" t="s">
        <v>2551</v>
      </c>
      <c r="C156" s="2155"/>
      <c r="D156" s="2155"/>
      <c r="E156" s="2155"/>
      <c r="F156" s="2143">
        <v>0.05</v>
      </c>
    </row>
    <row r="157" spans="1:6" ht="14.25" thickBot="1">
      <c r="A157" s="1563" t="s">
        <v>370</v>
      </c>
      <c r="B157" s="1559" t="s">
        <v>2552</v>
      </c>
      <c r="C157" s="2152"/>
      <c r="D157" s="2152"/>
      <c r="E157" s="2152"/>
      <c r="F157" s="2145">
        <v>0.05</v>
      </c>
    </row>
    <row r="158" spans="1:6" ht="14.25" thickBot="1">
      <c r="A158" s="1553" t="s">
        <v>1896</v>
      </c>
      <c r="B158" s="1554" t="s">
        <v>2553</v>
      </c>
      <c r="C158" s="2140">
        <v>0.13</v>
      </c>
      <c r="D158" s="2140">
        <v>0.13</v>
      </c>
      <c r="E158" s="2140">
        <v>0.13</v>
      </c>
      <c r="F158" s="2141">
        <v>0.13</v>
      </c>
    </row>
    <row r="159" spans="1:6" ht="14.25" thickBot="1">
      <c r="A159" s="1553" t="s">
        <v>1896</v>
      </c>
      <c r="B159" s="1547" t="s">
        <v>1563</v>
      </c>
      <c r="C159" s="2142">
        <v>0.13</v>
      </c>
      <c r="D159" s="2142">
        <v>0.13</v>
      </c>
      <c r="E159" s="2142">
        <v>0.13</v>
      </c>
      <c r="F159" s="2143">
        <v>0.13</v>
      </c>
    </row>
    <row r="160" spans="1:6" ht="14.25" thickBot="1">
      <c r="A160" s="1553" t="s">
        <v>1896</v>
      </c>
      <c r="B160" s="1547" t="s">
        <v>1576</v>
      </c>
      <c r="C160" s="2142">
        <v>0.13</v>
      </c>
      <c r="D160" s="2142">
        <v>0.13</v>
      </c>
      <c r="E160" s="2142">
        <v>0.129</v>
      </c>
      <c r="F160" s="2143">
        <v>0.13</v>
      </c>
    </row>
    <row r="161" spans="1:6" ht="14.25" thickBot="1">
      <c r="A161" s="1553" t="s">
        <v>1896</v>
      </c>
      <c r="B161" s="1547" t="s">
        <v>1589</v>
      </c>
      <c r="C161" s="2142">
        <v>0.128</v>
      </c>
      <c r="D161" s="2142">
        <v>0.128</v>
      </c>
      <c r="E161" s="2142">
        <v>0.125</v>
      </c>
      <c r="F161" s="2143">
        <v>0.13</v>
      </c>
    </row>
    <row r="162" spans="1:6" ht="14.25" thickBot="1">
      <c r="A162" s="1553" t="s">
        <v>1896</v>
      </c>
      <c r="B162" s="1547" t="s">
        <v>1601</v>
      </c>
      <c r="C162" s="2142">
        <v>0.122</v>
      </c>
      <c r="D162" s="2142">
        <v>0.122</v>
      </c>
      <c r="E162" s="2142">
        <v>0.126</v>
      </c>
      <c r="F162" s="2143">
        <v>0.122</v>
      </c>
    </row>
    <row r="163" spans="1:6" ht="14.25" thickBot="1">
      <c r="A163" s="1553" t="s">
        <v>1896</v>
      </c>
      <c r="B163" s="1547" t="s">
        <v>1612</v>
      </c>
      <c r="C163" s="2142">
        <v>0.13</v>
      </c>
      <c r="D163" s="2142">
        <v>0.13</v>
      </c>
      <c r="E163" s="2142">
        <v>0.125</v>
      </c>
      <c r="F163" s="2143">
        <v>0.13</v>
      </c>
    </row>
    <row r="164" spans="1:6" ht="14.25" thickBot="1">
      <c r="A164" s="1553" t="s">
        <v>1896</v>
      </c>
      <c r="B164" s="1547" t="s">
        <v>1623</v>
      </c>
      <c r="C164" s="2142">
        <v>0.13</v>
      </c>
      <c r="D164" s="2142">
        <v>0.13</v>
      </c>
      <c r="E164" s="2142">
        <v>0.13</v>
      </c>
      <c r="F164" s="2143">
        <v>0.13</v>
      </c>
    </row>
    <row r="165" spans="1:6" ht="14.25" thickBot="1">
      <c r="A165" s="1553" t="s">
        <v>1896</v>
      </c>
      <c r="B165" s="1547" t="s">
        <v>1634</v>
      </c>
      <c r="C165" s="2142">
        <v>0.13</v>
      </c>
      <c r="D165" s="2142">
        <v>0.13</v>
      </c>
      <c r="E165" s="2142">
        <v>0.124</v>
      </c>
      <c r="F165" s="2143">
        <v>0.13</v>
      </c>
    </row>
    <row r="166" spans="1:6" ht="14.25" thickBot="1">
      <c r="A166" s="1553" t="s">
        <v>1896</v>
      </c>
      <c r="B166" s="1547" t="s">
        <v>1646</v>
      </c>
      <c r="C166" s="2142">
        <v>0.13</v>
      </c>
      <c r="D166" s="2142">
        <v>0.13</v>
      </c>
      <c r="E166" s="2142">
        <v>0.13</v>
      </c>
      <c r="F166" s="2143">
        <v>0.13</v>
      </c>
    </row>
    <row r="167" spans="1:6" ht="14.25" thickBot="1">
      <c r="A167" s="1553" t="s">
        <v>1896</v>
      </c>
      <c r="B167" s="1547" t="s">
        <v>1656</v>
      </c>
      <c r="C167" s="2142">
        <v>0.125</v>
      </c>
      <c r="D167" s="2142">
        <v>0.125</v>
      </c>
      <c r="E167" s="2142">
        <v>0.121</v>
      </c>
      <c r="F167" s="2154"/>
    </row>
    <row r="168" spans="1:6" ht="14.25" thickBot="1">
      <c r="A168" s="1553" t="s">
        <v>1896</v>
      </c>
      <c r="B168" s="1547" t="s">
        <v>1666</v>
      </c>
      <c r="C168" s="2142">
        <v>0.13</v>
      </c>
      <c r="D168" s="2142">
        <v>0.13</v>
      </c>
      <c r="E168" s="2142">
        <v>0.126</v>
      </c>
      <c r="F168" s="2154"/>
    </row>
    <row r="169" spans="1:6" ht="14.25" thickBot="1">
      <c r="A169" s="1553" t="s">
        <v>1896</v>
      </c>
      <c r="B169" s="1547" t="s">
        <v>1676</v>
      </c>
      <c r="C169" s="2142">
        <v>0.128</v>
      </c>
      <c r="D169" s="2142">
        <v>0.129</v>
      </c>
      <c r="E169" s="2142">
        <v>0.13</v>
      </c>
      <c r="F169" s="2154"/>
    </row>
    <row r="170" spans="1:6" ht="14.25" thickBot="1">
      <c r="A170" s="1553" t="s">
        <v>1896</v>
      </c>
      <c r="B170" s="1547" t="s">
        <v>1686</v>
      </c>
      <c r="C170" s="2142">
        <v>0.14099999999999999</v>
      </c>
      <c r="D170" s="2142">
        <v>0.13</v>
      </c>
      <c r="E170" s="2142">
        <v>0.125</v>
      </c>
      <c r="F170" s="2154"/>
    </row>
    <row r="171" spans="1:6" ht="14.25" thickBot="1">
      <c r="A171" s="1553" t="s">
        <v>1896</v>
      </c>
      <c r="B171" s="1547" t="s">
        <v>2554</v>
      </c>
      <c r="C171" s="2142">
        <v>0.127</v>
      </c>
      <c r="D171" s="2142">
        <v>0.126</v>
      </c>
      <c r="E171" s="2142">
        <v>0.126</v>
      </c>
      <c r="F171" s="2143">
        <v>0.11799999999999999</v>
      </c>
    </row>
    <row r="172" spans="1:6" ht="14.25" thickBot="1">
      <c r="A172" s="1553" t="s">
        <v>1896</v>
      </c>
      <c r="B172" s="1547" t="s">
        <v>2555</v>
      </c>
      <c r="C172" s="2142">
        <v>0.13</v>
      </c>
      <c r="D172" s="2142">
        <v>0.13</v>
      </c>
      <c r="E172" s="2142">
        <v>0.13</v>
      </c>
      <c r="F172" s="2154"/>
    </row>
    <row r="173" spans="1:6" ht="14.25" thickBot="1">
      <c r="A173" s="1553" t="s">
        <v>1896</v>
      </c>
      <c r="B173" s="1547" t="s">
        <v>1718</v>
      </c>
      <c r="C173" s="2142">
        <v>0.13</v>
      </c>
      <c r="D173" s="2142">
        <v>0.13</v>
      </c>
      <c r="E173" s="2142">
        <v>0.13</v>
      </c>
      <c r="F173" s="2154"/>
    </row>
    <row r="174" spans="1:6" ht="14.25" thickBot="1">
      <c r="A174" s="1553" t="s">
        <v>1896</v>
      </c>
      <c r="B174" s="1547" t="s">
        <v>2556</v>
      </c>
      <c r="C174" s="2142">
        <v>0.13</v>
      </c>
      <c r="D174" s="2142">
        <v>0.13</v>
      </c>
      <c r="E174" s="2142">
        <v>0.13</v>
      </c>
      <c r="F174" s="2143">
        <v>0.13</v>
      </c>
    </row>
    <row r="175" spans="1:6" ht="14.25" thickBot="1">
      <c r="A175" s="1553" t="s">
        <v>1896</v>
      </c>
      <c r="B175" s="1547" t="s">
        <v>2557</v>
      </c>
      <c r="C175" s="2142">
        <v>0.13</v>
      </c>
      <c r="D175" s="2142">
        <v>0.13</v>
      </c>
      <c r="E175" s="2142">
        <v>0.13</v>
      </c>
      <c r="F175" s="2143">
        <v>0.13</v>
      </c>
    </row>
    <row r="176" spans="1:6" ht="14.25" thickBot="1">
      <c r="A176" s="1553" t="s">
        <v>1896</v>
      </c>
      <c r="B176" s="1547" t="s">
        <v>1748</v>
      </c>
      <c r="C176" s="2142">
        <v>0.13</v>
      </c>
      <c r="D176" s="2142">
        <v>0.13</v>
      </c>
      <c r="E176" s="2142">
        <v>0.13</v>
      </c>
      <c r="F176" s="2143">
        <v>0.13</v>
      </c>
    </row>
    <row r="177" spans="1:6" ht="14.25" thickBot="1">
      <c r="A177" s="1553" t="s">
        <v>1896</v>
      </c>
      <c r="B177" s="1547" t="s">
        <v>2558</v>
      </c>
      <c r="C177" s="2142">
        <v>0.13</v>
      </c>
      <c r="D177" s="2142">
        <v>0.13</v>
      </c>
      <c r="E177" s="2142">
        <v>0.13</v>
      </c>
      <c r="F177" s="2143">
        <v>0.13</v>
      </c>
    </row>
    <row r="178" spans="1:6" ht="14.25" thickBot="1">
      <c r="A178" s="1553" t="s">
        <v>1896</v>
      </c>
      <c r="B178" s="1547" t="s">
        <v>1766</v>
      </c>
      <c r="C178" s="2142">
        <v>0.13</v>
      </c>
      <c r="D178" s="2142">
        <v>0.13</v>
      </c>
      <c r="E178" s="2142">
        <v>0.13</v>
      </c>
      <c r="F178" s="2143">
        <v>0.127</v>
      </c>
    </row>
    <row r="179" spans="1:6" ht="14.25" thickBot="1">
      <c r="A179" s="1553" t="s">
        <v>1896</v>
      </c>
      <c r="B179" s="1547" t="s">
        <v>1774</v>
      </c>
      <c r="C179" s="2142">
        <v>0.13</v>
      </c>
      <c r="D179" s="2142">
        <v>0.13</v>
      </c>
      <c r="E179" s="2142">
        <v>0.13</v>
      </c>
      <c r="F179" s="2154"/>
    </row>
    <row r="180" spans="1:6" ht="14.25" thickBot="1">
      <c r="A180" s="1553" t="s">
        <v>1896</v>
      </c>
      <c r="B180" s="1547" t="s">
        <v>2559</v>
      </c>
      <c r="C180" s="2142">
        <v>0.13</v>
      </c>
      <c r="D180" s="2142">
        <v>0.13</v>
      </c>
      <c r="E180" s="2142">
        <v>0.125</v>
      </c>
      <c r="F180" s="2143">
        <v>0.13</v>
      </c>
    </row>
    <row r="181" spans="1:6" ht="14.25" thickBot="1">
      <c r="A181" s="1553" t="s">
        <v>1896</v>
      </c>
      <c r="B181" s="1547" t="s">
        <v>1788</v>
      </c>
      <c r="C181" s="2142">
        <v>0.122</v>
      </c>
      <c r="D181" s="2142">
        <v>0.123</v>
      </c>
      <c r="E181" s="2142">
        <v>0.126</v>
      </c>
      <c r="F181" s="2143">
        <v>0.121</v>
      </c>
    </row>
    <row r="182" spans="1:6" ht="14.25" thickBot="1">
      <c r="A182" s="1553" t="s">
        <v>1896</v>
      </c>
      <c r="B182" s="1547" t="s">
        <v>1795</v>
      </c>
      <c r="C182" s="2142">
        <v>0.125</v>
      </c>
      <c r="D182" s="2142">
        <v>0.125</v>
      </c>
      <c r="E182" s="2142">
        <v>0.11700000000000001</v>
      </c>
      <c r="F182" s="2143">
        <v>0.13</v>
      </c>
    </row>
    <row r="183" spans="1:6" ht="14.25" thickBot="1">
      <c r="A183" s="1553" t="s">
        <v>1896</v>
      </c>
      <c r="B183" s="1547" t="s">
        <v>1802</v>
      </c>
      <c r="C183" s="2142">
        <v>0.127</v>
      </c>
      <c r="D183" s="2142">
        <v>0.127</v>
      </c>
      <c r="E183" s="2142">
        <v>0.128</v>
      </c>
      <c r="F183" s="2154"/>
    </row>
    <row r="184" spans="1:6" ht="14.25" thickBot="1">
      <c r="A184" s="1553" t="s">
        <v>1896</v>
      </c>
      <c r="B184" s="1547" t="s">
        <v>1809</v>
      </c>
      <c r="C184" s="2142">
        <v>0.125</v>
      </c>
      <c r="D184" s="2142">
        <v>0.125</v>
      </c>
      <c r="E184" s="2142">
        <v>0.127</v>
      </c>
      <c r="F184" s="2154"/>
    </row>
    <row r="185" spans="1:6" ht="14.25" thickBot="1">
      <c r="A185" s="1553" t="s">
        <v>1896</v>
      </c>
      <c r="B185" s="1547" t="s">
        <v>2560</v>
      </c>
      <c r="C185" s="2142">
        <v>0.127</v>
      </c>
      <c r="D185" s="2142">
        <v>0.127</v>
      </c>
      <c r="E185" s="2142">
        <v>0.128</v>
      </c>
      <c r="F185" s="2143">
        <v>0.13</v>
      </c>
    </row>
    <row r="186" spans="1:6" ht="24.75" thickBot="1">
      <c r="A186" s="1553" t="s">
        <v>1896</v>
      </c>
      <c r="B186" s="1547" t="s">
        <v>2561</v>
      </c>
      <c r="C186" s="2155"/>
      <c r="D186" s="2155"/>
      <c r="E186" s="2155"/>
      <c r="F186" s="2143">
        <v>0.05</v>
      </c>
    </row>
    <row r="187" spans="1:6" ht="14.25" thickBot="1">
      <c r="A187" s="1553" t="s">
        <v>1896</v>
      </c>
      <c r="B187" s="1547" t="s">
        <v>2562</v>
      </c>
      <c r="C187" s="2155"/>
      <c r="D187" s="2155"/>
      <c r="E187" s="2155"/>
      <c r="F187" s="2143">
        <v>0.05</v>
      </c>
    </row>
    <row r="188" spans="1:6" ht="14.25" thickBot="1">
      <c r="A188" s="1553" t="s">
        <v>1896</v>
      </c>
      <c r="B188" s="1547" t="s">
        <v>2563</v>
      </c>
      <c r="C188" s="2155"/>
      <c r="D188" s="2155"/>
      <c r="E188" s="2155"/>
      <c r="F188" s="2143">
        <v>0.05</v>
      </c>
    </row>
    <row r="189" spans="1:6" ht="24.75" thickBot="1">
      <c r="A189" s="1553" t="s">
        <v>1896</v>
      </c>
      <c r="B189" s="1547" t="s">
        <v>2564</v>
      </c>
      <c r="C189" s="2155"/>
      <c r="D189" s="2155"/>
      <c r="E189" s="2155"/>
      <c r="F189" s="2143">
        <v>0.05</v>
      </c>
    </row>
    <row r="190" spans="1:6" ht="24.75" thickBot="1">
      <c r="A190" s="1553" t="s">
        <v>1896</v>
      </c>
      <c r="B190" s="1547" t="s">
        <v>2565</v>
      </c>
      <c r="C190" s="2155"/>
      <c r="D190" s="2155"/>
      <c r="E190" s="2155"/>
      <c r="F190" s="2143">
        <v>0.05</v>
      </c>
    </row>
    <row r="191" spans="1:6" ht="24.75" thickBot="1">
      <c r="A191" s="1553" t="s">
        <v>1896</v>
      </c>
      <c r="B191" s="1547" t="s">
        <v>2566</v>
      </c>
      <c r="C191" s="2155"/>
      <c r="D191" s="2155"/>
      <c r="E191" s="2155"/>
      <c r="F191" s="2143">
        <v>0.05</v>
      </c>
    </row>
    <row r="192" spans="1:6" ht="24.75" thickBot="1">
      <c r="A192" s="1553" t="s">
        <v>1896</v>
      </c>
      <c r="B192" s="1547" t="s">
        <v>2567</v>
      </c>
      <c r="C192" s="2155"/>
      <c r="D192" s="2155"/>
      <c r="E192" s="2155"/>
      <c r="F192" s="2143">
        <v>0.05</v>
      </c>
    </row>
    <row r="193" spans="1:6" ht="24.75" thickBot="1">
      <c r="A193" s="1553" t="s">
        <v>1896</v>
      </c>
      <c r="B193" s="1547" t="s">
        <v>2568</v>
      </c>
      <c r="C193" s="2155"/>
      <c r="D193" s="2155"/>
      <c r="E193" s="2155"/>
      <c r="F193" s="2143">
        <v>0.05</v>
      </c>
    </row>
    <row r="194" spans="1:6" ht="24.75" thickBot="1">
      <c r="A194" s="1553" t="s">
        <v>1896</v>
      </c>
      <c r="B194" s="1547" t="s">
        <v>2569</v>
      </c>
      <c r="C194" s="2155"/>
      <c r="D194" s="2155"/>
      <c r="E194" s="2155"/>
      <c r="F194" s="2143">
        <v>0.05</v>
      </c>
    </row>
    <row r="195" spans="1:6" ht="14.25" thickBot="1">
      <c r="A195" s="1553" t="s">
        <v>1896</v>
      </c>
      <c r="B195" s="1547" t="s">
        <v>2570</v>
      </c>
      <c r="C195" s="2155"/>
      <c r="D195" s="2155"/>
      <c r="E195" s="2155"/>
      <c r="F195" s="2143">
        <v>0.05</v>
      </c>
    </row>
    <row r="196" spans="1:6" ht="24.75" thickBot="1">
      <c r="A196" s="1553" t="s">
        <v>1896</v>
      </c>
      <c r="B196" s="1547" t="s">
        <v>2571</v>
      </c>
      <c r="C196" s="2155"/>
      <c r="D196" s="2155"/>
      <c r="E196" s="2155"/>
      <c r="F196" s="2143">
        <v>0.05</v>
      </c>
    </row>
    <row r="197" spans="1:6" ht="24.75" thickBot="1">
      <c r="A197" s="1553" t="s">
        <v>1896</v>
      </c>
      <c r="B197" s="1547" t="s">
        <v>2572</v>
      </c>
      <c r="C197" s="2155"/>
      <c r="D197" s="2155"/>
      <c r="E197" s="2155"/>
      <c r="F197" s="2143">
        <v>0.05</v>
      </c>
    </row>
    <row r="198" spans="1:6" ht="24.75" thickBot="1">
      <c r="A198" s="1553" t="s">
        <v>1896</v>
      </c>
      <c r="B198" s="1547" t="s">
        <v>2573</v>
      </c>
      <c r="C198" s="2155"/>
      <c r="D198" s="2155"/>
      <c r="E198" s="2155"/>
      <c r="F198" s="2143">
        <v>0.05</v>
      </c>
    </row>
    <row r="199" spans="1:6" ht="24.75" thickBot="1">
      <c r="A199" s="1553" t="s">
        <v>1896</v>
      </c>
      <c r="B199" s="1547" t="s">
        <v>2574</v>
      </c>
      <c r="C199" s="2155"/>
      <c r="D199" s="2155"/>
      <c r="E199" s="2155"/>
      <c r="F199" s="2143">
        <v>0.05</v>
      </c>
    </row>
    <row r="200" spans="1:6" ht="24.75" thickBot="1">
      <c r="A200" s="1553" t="s">
        <v>1896</v>
      </c>
      <c r="B200" s="1547" t="s">
        <v>2575</v>
      </c>
      <c r="C200" s="2155"/>
      <c r="D200" s="2155"/>
      <c r="E200" s="2155"/>
      <c r="F200" s="2143">
        <v>0.05</v>
      </c>
    </row>
    <row r="201" spans="1:6" ht="24.75" thickBot="1">
      <c r="A201" s="1553" t="s">
        <v>1896</v>
      </c>
      <c r="B201" s="1547" t="s">
        <v>2576</v>
      </c>
      <c r="C201" s="2155"/>
      <c r="D201" s="2155"/>
      <c r="E201" s="2155"/>
      <c r="F201" s="2143">
        <v>0.05</v>
      </c>
    </row>
    <row r="202" spans="1:6" ht="24.75" thickBot="1">
      <c r="A202" s="1553" t="s">
        <v>1896</v>
      </c>
      <c r="B202" s="1547" t="s">
        <v>2577</v>
      </c>
      <c r="C202" s="2155"/>
      <c r="D202" s="2155"/>
      <c r="E202" s="2155"/>
      <c r="F202" s="2143">
        <v>0.05</v>
      </c>
    </row>
    <row r="203" spans="1:6" ht="24.75" thickBot="1">
      <c r="A203" s="1553" t="s">
        <v>1896</v>
      </c>
      <c r="B203" s="1547" t="s">
        <v>2578</v>
      </c>
      <c r="C203" s="2155"/>
      <c r="D203" s="2155"/>
      <c r="E203" s="2155"/>
      <c r="F203" s="2143">
        <v>0.05</v>
      </c>
    </row>
    <row r="204" spans="1:6" ht="14.25" thickBot="1">
      <c r="A204" s="1553" t="s">
        <v>1896</v>
      </c>
      <c r="B204" s="1547" t="s">
        <v>2579</v>
      </c>
      <c r="C204" s="2155"/>
      <c r="D204" s="2155"/>
      <c r="E204" s="2155"/>
      <c r="F204" s="2143">
        <v>0.05</v>
      </c>
    </row>
    <row r="205" spans="1:6" ht="14.25" thickBot="1">
      <c r="A205" s="1563" t="s">
        <v>1896</v>
      </c>
      <c r="B205" s="1559" t="s">
        <v>2580</v>
      </c>
      <c r="C205" s="2152"/>
      <c r="D205" s="2152"/>
      <c r="E205" s="2152"/>
      <c r="F205" s="2145">
        <v>0.05</v>
      </c>
    </row>
    <row r="206" spans="1:6" ht="14.25" thickBot="1">
      <c r="A206" s="1553" t="s">
        <v>1898</v>
      </c>
      <c r="B206" s="1554" t="s">
        <v>2581</v>
      </c>
      <c r="C206" s="2140">
        <v>0.15</v>
      </c>
      <c r="D206" s="2140">
        <v>0.15</v>
      </c>
      <c r="E206" s="2140">
        <v>0.15</v>
      </c>
      <c r="F206" s="2141">
        <v>0.15</v>
      </c>
    </row>
    <row r="207" spans="1:6" ht="14.25" thickBot="1">
      <c r="A207" s="1553" t="s">
        <v>1898</v>
      </c>
      <c r="B207" s="1547" t="s">
        <v>1564</v>
      </c>
      <c r="C207" s="2142">
        <v>0.15</v>
      </c>
      <c r="D207" s="2142">
        <v>0.15</v>
      </c>
      <c r="E207" s="2142">
        <v>0.15</v>
      </c>
      <c r="F207" s="2143">
        <v>0.14399999999999999</v>
      </c>
    </row>
    <row r="208" spans="1:6" ht="14.25" thickBot="1">
      <c r="A208" s="1553" t="s">
        <v>1898</v>
      </c>
      <c r="B208" s="1547" t="s">
        <v>1577</v>
      </c>
      <c r="C208" s="2142">
        <v>0.15</v>
      </c>
      <c r="D208" s="2142">
        <v>0.15</v>
      </c>
      <c r="E208" s="2142">
        <v>0.15</v>
      </c>
      <c r="F208" s="2143">
        <v>0.15</v>
      </c>
    </row>
    <row r="209" spans="1:6" ht="14.25" thickBot="1">
      <c r="A209" s="1553" t="s">
        <v>1898</v>
      </c>
      <c r="B209" s="1547" t="s">
        <v>1590</v>
      </c>
      <c r="C209" s="2142">
        <v>0.13700000000000001</v>
      </c>
      <c r="D209" s="2142">
        <v>0.13700000000000001</v>
      </c>
      <c r="E209" s="2142">
        <v>0.14000000000000001</v>
      </c>
      <c r="F209" s="2143">
        <v>0.11700000000000001</v>
      </c>
    </row>
    <row r="210" spans="1:6" ht="14.25" thickBot="1">
      <c r="A210" s="1553" t="s">
        <v>1898</v>
      </c>
      <c r="B210" s="1547" t="s">
        <v>2582</v>
      </c>
      <c r="C210" s="2142">
        <v>0.15</v>
      </c>
      <c r="D210" s="2142">
        <v>0.15</v>
      </c>
      <c r="E210" s="2142">
        <v>0.15</v>
      </c>
      <c r="F210" s="2143">
        <v>0.13800000000000001</v>
      </c>
    </row>
    <row r="211" spans="1:6" ht="14.25" thickBot="1">
      <c r="A211" s="1553" t="s">
        <v>1898</v>
      </c>
      <c r="B211" s="1547" t="s">
        <v>2583</v>
      </c>
      <c r="C211" s="2142">
        <v>0.13700000000000001</v>
      </c>
      <c r="D211" s="2142">
        <v>0.13500000000000001</v>
      </c>
      <c r="E211" s="2142">
        <v>0.13600000000000001</v>
      </c>
      <c r="F211" s="2143">
        <v>0.1</v>
      </c>
    </row>
    <row r="212" spans="1:6" ht="14.25" thickBot="1">
      <c r="A212" s="1553" t="s">
        <v>1898</v>
      </c>
      <c r="B212" s="1547" t="s">
        <v>2584</v>
      </c>
      <c r="C212" s="2142">
        <v>0.15</v>
      </c>
      <c r="D212" s="2142">
        <v>0.15</v>
      </c>
      <c r="E212" s="2142">
        <v>0.14799999999999999</v>
      </c>
      <c r="F212" s="2143">
        <v>0.13600000000000001</v>
      </c>
    </row>
    <row r="213" spans="1:6" ht="14.25" thickBot="1">
      <c r="A213" s="1553" t="s">
        <v>1898</v>
      </c>
      <c r="B213" s="1547" t="s">
        <v>1635</v>
      </c>
      <c r="C213" s="2142">
        <v>0.15</v>
      </c>
      <c r="D213" s="2142">
        <v>0.15</v>
      </c>
      <c r="E213" s="2142">
        <v>0.15</v>
      </c>
      <c r="F213" s="2143">
        <v>0.13800000000000001</v>
      </c>
    </row>
    <row r="214" spans="1:6" ht="14.25" thickBot="1">
      <c r="A214" s="1553" t="s">
        <v>1898</v>
      </c>
      <c r="B214" s="1547" t="s">
        <v>1647</v>
      </c>
      <c r="C214" s="2142">
        <v>9.0999999999999998E-2</v>
      </c>
      <c r="D214" s="2142">
        <v>0.09</v>
      </c>
      <c r="E214" s="2142">
        <v>9.1999999999999998E-2</v>
      </c>
      <c r="F214" s="2154"/>
    </row>
    <row r="215" spans="1:6" ht="14.25" thickBot="1">
      <c r="A215" s="1553" t="s">
        <v>1898</v>
      </c>
      <c r="B215" s="1547" t="s">
        <v>2585</v>
      </c>
      <c r="C215" s="2142">
        <v>0.15</v>
      </c>
      <c r="D215" s="2142">
        <v>0.15</v>
      </c>
      <c r="E215" s="2142">
        <v>0.15</v>
      </c>
      <c r="F215" s="2143">
        <v>0.15</v>
      </c>
    </row>
    <row r="216" spans="1:6" ht="14.25" thickBot="1">
      <c r="A216" s="1553" t="s">
        <v>1898</v>
      </c>
      <c r="B216" s="1547" t="s">
        <v>1667</v>
      </c>
      <c r="C216" s="2142">
        <v>0.14699999999999999</v>
      </c>
      <c r="D216" s="2142">
        <v>0.14699999999999999</v>
      </c>
      <c r="E216" s="2142">
        <v>0.15</v>
      </c>
      <c r="F216" s="2143">
        <v>0.14000000000000001</v>
      </c>
    </row>
    <row r="217" spans="1:6" ht="14.25" thickBot="1">
      <c r="A217" s="1553" t="s">
        <v>1898</v>
      </c>
      <c r="B217" s="1547" t="s">
        <v>1677</v>
      </c>
      <c r="C217" s="2142">
        <v>0.15</v>
      </c>
      <c r="D217" s="2142">
        <v>0.15</v>
      </c>
      <c r="E217" s="2142">
        <v>0.15</v>
      </c>
      <c r="F217" s="2143">
        <v>0.15</v>
      </c>
    </row>
    <row r="218" spans="1:6" ht="14.25" thickBot="1">
      <c r="A218" s="1553" t="s">
        <v>1898</v>
      </c>
      <c r="B218" s="1547" t="s">
        <v>2586</v>
      </c>
      <c r="C218" s="2142">
        <v>0.15</v>
      </c>
      <c r="D218" s="2142">
        <v>0.15</v>
      </c>
      <c r="E218" s="2142">
        <v>0.15</v>
      </c>
      <c r="F218" s="2143">
        <v>0.15</v>
      </c>
    </row>
    <row r="219" spans="1:6" ht="14.25" thickBot="1">
      <c r="A219" s="1553" t="s">
        <v>1898</v>
      </c>
      <c r="B219" s="1547" t="s">
        <v>1698</v>
      </c>
      <c r="C219" s="2142">
        <v>0.15</v>
      </c>
      <c r="D219" s="2142">
        <v>0.15</v>
      </c>
      <c r="E219" s="2142">
        <v>0.15</v>
      </c>
      <c r="F219" s="2143">
        <v>0.14799999999999999</v>
      </c>
    </row>
    <row r="220" spans="1:6" ht="14.25" thickBot="1">
      <c r="A220" s="1553" t="s">
        <v>1898</v>
      </c>
      <c r="B220" s="1547" t="s">
        <v>2587</v>
      </c>
      <c r="C220" s="2142">
        <v>0.15</v>
      </c>
      <c r="D220" s="2142">
        <v>0.15</v>
      </c>
      <c r="E220" s="2142">
        <v>0.15</v>
      </c>
      <c r="F220" s="2143">
        <v>0.15</v>
      </c>
    </row>
    <row r="221" spans="1:6" ht="14.25" thickBot="1">
      <c r="A221" s="1553" t="s">
        <v>1898</v>
      </c>
      <c r="B221" s="1547" t="s">
        <v>1719</v>
      </c>
      <c r="C221" s="2142"/>
      <c r="D221" s="2155"/>
      <c r="E221" s="2155"/>
      <c r="F221" s="2143">
        <v>0.14799999999999999</v>
      </c>
    </row>
    <row r="222" spans="1:6" ht="14.25" thickBot="1">
      <c r="A222" s="1553" t="s">
        <v>1898</v>
      </c>
      <c r="B222" s="1547" t="s">
        <v>1729</v>
      </c>
      <c r="C222" s="2142"/>
      <c r="D222" s="2155"/>
      <c r="E222" s="2155"/>
      <c r="F222" s="2143">
        <v>0.1</v>
      </c>
    </row>
    <row r="223" spans="1:6" ht="14.25" thickBot="1">
      <c r="A223" s="1553" t="s">
        <v>1898</v>
      </c>
      <c r="B223" s="1547" t="s">
        <v>1739</v>
      </c>
      <c r="C223" s="2142"/>
      <c r="D223" s="2155"/>
      <c r="E223" s="2155"/>
      <c r="F223" s="2143">
        <v>0.15</v>
      </c>
    </row>
    <row r="224" spans="1:6" ht="14.25" thickBot="1">
      <c r="A224" s="1553" t="s">
        <v>1898</v>
      </c>
      <c r="B224" s="1547" t="s">
        <v>1749</v>
      </c>
      <c r="C224" s="2142"/>
      <c r="D224" s="2155"/>
      <c r="E224" s="2155"/>
      <c r="F224" s="2143">
        <v>0.15</v>
      </c>
    </row>
    <row r="225" spans="1:6" ht="14.25" thickBot="1">
      <c r="A225" s="1553" t="s">
        <v>1898</v>
      </c>
      <c r="B225" s="1547" t="s">
        <v>2588</v>
      </c>
      <c r="C225" s="2142">
        <v>0.15</v>
      </c>
      <c r="D225" s="2142">
        <v>0.15</v>
      </c>
      <c r="E225" s="2142">
        <v>0.15</v>
      </c>
      <c r="F225" s="2143">
        <v>0.15</v>
      </c>
    </row>
    <row r="226" spans="1:6" ht="14.25" thickBot="1">
      <c r="A226" s="1553" t="s">
        <v>1898</v>
      </c>
      <c r="B226" s="1547" t="s">
        <v>1767</v>
      </c>
      <c r="C226" s="2142">
        <v>0.15</v>
      </c>
      <c r="D226" s="2142">
        <v>0.15</v>
      </c>
      <c r="E226" s="2142">
        <v>0.15</v>
      </c>
      <c r="F226" s="2143">
        <v>0.14799999999999999</v>
      </c>
    </row>
    <row r="227" spans="1:6" ht="14.25" thickBot="1">
      <c r="A227" s="1553" t="s">
        <v>1898</v>
      </c>
      <c r="B227" s="1547" t="s">
        <v>2589</v>
      </c>
      <c r="C227" s="2142">
        <v>0.15</v>
      </c>
      <c r="D227" s="2142">
        <v>0.15</v>
      </c>
      <c r="E227" s="2142">
        <v>0.15</v>
      </c>
      <c r="F227" s="2143">
        <v>0.15</v>
      </c>
    </row>
    <row r="228" spans="1:6" ht="14.25" thickBot="1">
      <c r="A228" s="1553" t="s">
        <v>1898</v>
      </c>
      <c r="B228" s="1547" t="s">
        <v>1782</v>
      </c>
      <c r="C228" s="2142">
        <v>0.15</v>
      </c>
      <c r="D228" s="2142">
        <v>0.15</v>
      </c>
      <c r="E228" s="2142">
        <v>0.15</v>
      </c>
      <c r="F228" s="2143">
        <v>0.15</v>
      </c>
    </row>
    <row r="229" spans="1:6" ht="14.25" thickBot="1">
      <c r="A229" s="1553" t="s">
        <v>1898</v>
      </c>
      <c r="B229" s="1547" t="s">
        <v>1789</v>
      </c>
      <c r="C229" s="2142">
        <v>0.15</v>
      </c>
      <c r="D229" s="2142">
        <v>0.15</v>
      </c>
      <c r="E229" s="2142">
        <v>0.15</v>
      </c>
      <c r="F229" s="2154"/>
    </row>
    <row r="230" spans="1:6" ht="14.25" thickBot="1">
      <c r="A230" s="1553" t="s">
        <v>1898</v>
      </c>
      <c r="B230" s="1547" t="s">
        <v>1796</v>
      </c>
      <c r="C230" s="2142">
        <v>0.14499999999999999</v>
      </c>
      <c r="D230" s="2142">
        <v>0.14499999999999999</v>
      </c>
      <c r="E230" s="2142">
        <v>0.14399999999999999</v>
      </c>
      <c r="F230" s="2154"/>
    </row>
    <row r="231" spans="1:6" ht="14.25" thickBot="1">
      <c r="A231" s="1553" t="s">
        <v>1898</v>
      </c>
      <c r="B231" s="1547" t="s">
        <v>2590</v>
      </c>
      <c r="C231" s="2142">
        <v>0.128</v>
      </c>
      <c r="D231" s="2142">
        <v>0.125</v>
      </c>
      <c r="E231" s="2142">
        <v>0.13200000000000001</v>
      </c>
      <c r="F231" s="2154"/>
    </row>
    <row r="232" spans="1:6" ht="14.25" thickBot="1">
      <c r="A232" s="1553" t="s">
        <v>1898</v>
      </c>
      <c r="B232" s="1547" t="s">
        <v>2591</v>
      </c>
      <c r="C232" s="2142">
        <v>0.14499999999999999</v>
      </c>
      <c r="D232" s="2142">
        <v>0.14399999999999999</v>
      </c>
      <c r="E232" s="2142">
        <v>0.14599999999999999</v>
      </c>
      <c r="F232" s="2143">
        <v>0.13800000000000001</v>
      </c>
    </row>
    <row r="233" spans="1:6" ht="14.25" thickBot="1">
      <c r="A233" s="1553" t="s">
        <v>1898</v>
      </c>
      <c r="B233" s="1547" t="s">
        <v>2592</v>
      </c>
      <c r="C233" s="2142">
        <v>0.14499999999999999</v>
      </c>
      <c r="D233" s="2142">
        <v>0.14299999999999999</v>
      </c>
      <c r="E233" s="2142">
        <v>0.14199999999999999</v>
      </c>
      <c r="F233" s="2154"/>
    </row>
    <row r="234" spans="1:6" ht="14.25" thickBot="1">
      <c r="A234" s="1553" t="s">
        <v>1898</v>
      </c>
      <c r="B234" s="1547" t="s">
        <v>2593</v>
      </c>
      <c r="C234" s="2142">
        <v>0.14000000000000001</v>
      </c>
      <c r="D234" s="2142">
        <v>0.14000000000000001</v>
      </c>
      <c r="E234" s="2142">
        <v>0.14399999999999999</v>
      </c>
      <c r="F234" s="2154"/>
    </row>
    <row r="235" spans="1:6" ht="14.25" thickBot="1">
      <c r="A235" s="1553" t="s">
        <v>1898</v>
      </c>
      <c r="B235" s="1547" t="s">
        <v>2594</v>
      </c>
      <c r="C235" s="2142">
        <v>0.14099999999999999</v>
      </c>
      <c r="D235" s="2142">
        <v>0.14199999999999999</v>
      </c>
      <c r="E235" s="2142">
        <v>0.14499999999999999</v>
      </c>
      <c r="F235" s="2143">
        <v>0.15</v>
      </c>
    </row>
    <row r="236" spans="1:6" ht="14.25" thickBot="1">
      <c r="A236" s="1553" t="s">
        <v>1898</v>
      </c>
      <c r="B236" s="1547" t="s">
        <v>1831</v>
      </c>
      <c r="C236" s="2155"/>
      <c r="D236" s="2155"/>
      <c r="E236" s="2155"/>
      <c r="F236" s="2143">
        <v>0.14299999999999999</v>
      </c>
    </row>
    <row r="237" spans="1:6" ht="24.75" thickBot="1">
      <c r="A237" s="1553" t="s">
        <v>1898</v>
      </c>
      <c r="B237" s="1547" t="s">
        <v>2595</v>
      </c>
      <c r="C237" s="2155"/>
      <c r="D237" s="2155"/>
      <c r="E237" s="2155"/>
      <c r="F237" s="2143">
        <v>0.05</v>
      </c>
    </row>
    <row r="238" spans="1:6" ht="24.75" thickBot="1">
      <c r="A238" s="1553" t="s">
        <v>1898</v>
      </c>
      <c r="B238" s="1547" t="s">
        <v>2596</v>
      </c>
      <c r="C238" s="2155"/>
      <c r="D238" s="2155"/>
      <c r="E238" s="2155"/>
      <c r="F238" s="2143">
        <v>0.05</v>
      </c>
    </row>
    <row r="239" spans="1:6" ht="24.75" thickBot="1">
      <c r="A239" s="1553" t="s">
        <v>1898</v>
      </c>
      <c r="B239" s="1547" t="s">
        <v>2597</v>
      </c>
      <c r="C239" s="2155"/>
      <c r="D239" s="2155"/>
      <c r="E239" s="2155"/>
      <c r="F239" s="2143">
        <v>0.05</v>
      </c>
    </row>
    <row r="240" spans="1:6" ht="24.75" thickBot="1">
      <c r="A240" s="1553" t="s">
        <v>1898</v>
      </c>
      <c r="B240" s="1547" t="s">
        <v>2598</v>
      </c>
      <c r="C240" s="2155"/>
      <c r="D240" s="2155"/>
      <c r="E240" s="2155"/>
      <c r="F240" s="2143">
        <v>0.05</v>
      </c>
    </row>
    <row r="241" spans="1:6" ht="24.75" thickBot="1">
      <c r="A241" s="1553" t="s">
        <v>1898</v>
      </c>
      <c r="B241" s="1547" t="s">
        <v>2599</v>
      </c>
      <c r="C241" s="2155"/>
      <c r="D241" s="2155"/>
      <c r="E241" s="2155"/>
      <c r="F241" s="2143">
        <v>0.05</v>
      </c>
    </row>
    <row r="242" spans="1:6" ht="24.75" thickBot="1">
      <c r="A242" s="1553" t="s">
        <v>1898</v>
      </c>
      <c r="B242" s="1547" t="s">
        <v>2600</v>
      </c>
      <c r="C242" s="2155"/>
      <c r="D242" s="2155"/>
      <c r="E242" s="2155"/>
      <c r="F242" s="2143">
        <v>0.05</v>
      </c>
    </row>
    <row r="243" spans="1:6" ht="24.75" thickBot="1">
      <c r="A243" s="1553" t="s">
        <v>1898</v>
      </c>
      <c r="B243" s="1547" t="s">
        <v>2601</v>
      </c>
      <c r="C243" s="2155"/>
      <c r="D243" s="2155"/>
      <c r="E243" s="2155"/>
      <c r="F243" s="2143">
        <v>0.05</v>
      </c>
    </row>
    <row r="244" spans="1:6" ht="24.75" thickBot="1">
      <c r="A244" s="1563" t="s">
        <v>1898</v>
      </c>
      <c r="B244" s="1559" t="s">
        <v>2602</v>
      </c>
      <c r="C244" s="2152"/>
      <c r="D244" s="2152"/>
      <c r="E244" s="2152"/>
      <c r="F244" s="2145">
        <v>0.05</v>
      </c>
    </row>
    <row r="245" spans="1:6" ht="14.25" thickBot="1">
      <c r="A245" s="1553" t="s">
        <v>1900</v>
      </c>
      <c r="B245" s="1554" t="s">
        <v>2603</v>
      </c>
      <c r="C245" s="2140">
        <v>0.15</v>
      </c>
      <c r="D245" s="2140">
        <v>0.15</v>
      </c>
      <c r="E245" s="2140">
        <v>0.15</v>
      </c>
      <c r="F245" s="2141">
        <v>0.14299999999999999</v>
      </c>
    </row>
    <row r="246" spans="1:6" ht="14.25" thickBot="1">
      <c r="A246" s="1553" t="s">
        <v>1900</v>
      </c>
      <c r="B246" s="1547" t="s">
        <v>1565</v>
      </c>
      <c r="C246" s="2142">
        <v>0.15</v>
      </c>
      <c r="D246" s="2142">
        <v>0.15</v>
      </c>
      <c r="E246" s="2142">
        <v>0.15</v>
      </c>
      <c r="F246" s="2143">
        <v>0.114</v>
      </c>
    </row>
    <row r="247" spans="1:6" ht="14.25" thickBot="1">
      <c r="A247" s="1553" t="s">
        <v>1900</v>
      </c>
      <c r="B247" s="1547" t="s">
        <v>2604</v>
      </c>
      <c r="C247" s="2142">
        <v>0.15</v>
      </c>
      <c r="D247" s="2142">
        <v>0.15</v>
      </c>
      <c r="E247" s="2142">
        <v>0.15</v>
      </c>
      <c r="F247" s="2143">
        <v>0.15</v>
      </c>
    </row>
    <row r="248" spans="1:6" ht="14.25" thickBot="1">
      <c r="A248" s="1553" t="s">
        <v>1900</v>
      </c>
      <c r="B248" s="1547" t="s">
        <v>2605</v>
      </c>
      <c r="C248" s="2142">
        <v>0.15</v>
      </c>
      <c r="D248" s="2142">
        <v>0.15</v>
      </c>
      <c r="E248" s="2142">
        <v>0.15</v>
      </c>
      <c r="F248" s="2143">
        <v>0.14000000000000001</v>
      </c>
    </row>
    <row r="249" spans="1:6" ht="14.25" thickBot="1">
      <c r="A249" s="1553" t="s">
        <v>1900</v>
      </c>
      <c r="B249" s="1547" t="s">
        <v>2606</v>
      </c>
      <c r="C249" s="2142">
        <v>0.15</v>
      </c>
      <c r="D249" s="2142">
        <v>0.14899999999999999</v>
      </c>
      <c r="E249" s="2142">
        <v>0.15</v>
      </c>
      <c r="F249" s="2143">
        <v>0.1</v>
      </c>
    </row>
    <row r="250" spans="1:6" ht="14.25" thickBot="1">
      <c r="A250" s="1553" t="s">
        <v>1900</v>
      </c>
      <c r="B250" s="1547" t="s">
        <v>2607</v>
      </c>
      <c r="C250" s="2142">
        <v>0.15</v>
      </c>
      <c r="D250" s="2142">
        <v>0.15</v>
      </c>
      <c r="E250" s="2142">
        <v>0.15</v>
      </c>
      <c r="F250" s="2143">
        <v>0.14399999999999999</v>
      </c>
    </row>
    <row r="251" spans="1:6" ht="14.25" thickBot="1">
      <c r="A251" s="1553" t="s">
        <v>1900</v>
      </c>
      <c r="B251" s="1547" t="s">
        <v>1625</v>
      </c>
      <c r="C251" s="2142">
        <v>0.15</v>
      </c>
      <c r="D251" s="2142">
        <v>0.15</v>
      </c>
      <c r="E251" s="2142">
        <v>0.15</v>
      </c>
      <c r="F251" s="2143">
        <v>0.14299999999999999</v>
      </c>
    </row>
    <row r="252" spans="1:6" ht="14.25" thickBot="1">
      <c r="A252" s="1553" t="s">
        <v>1900</v>
      </c>
      <c r="B252" s="1547" t="s">
        <v>1636</v>
      </c>
      <c r="C252" s="2142">
        <v>0.15</v>
      </c>
      <c r="D252" s="2142">
        <v>0.15</v>
      </c>
      <c r="E252" s="2142">
        <v>0.15</v>
      </c>
      <c r="F252" s="2143">
        <v>0.1</v>
      </c>
    </row>
    <row r="253" spans="1:6" ht="14.25" thickBot="1">
      <c r="A253" s="1553" t="s">
        <v>1900</v>
      </c>
      <c r="B253" s="1547" t="s">
        <v>1648</v>
      </c>
      <c r="C253" s="2142">
        <v>0.15</v>
      </c>
      <c r="D253" s="2142">
        <v>0.15</v>
      </c>
      <c r="E253" s="2142">
        <v>0.15</v>
      </c>
      <c r="F253" s="2143">
        <v>0.1</v>
      </c>
    </row>
    <row r="254" spans="1:6" ht="14.25" thickBot="1">
      <c r="A254" s="1553" t="s">
        <v>1900</v>
      </c>
      <c r="B254" s="1547" t="s">
        <v>1658</v>
      </c>
      <c r="C254" s="2155"/>
      <c r="D254" s="2155"/>
      <c r="E254" s="2155"/>
      <c r="F254" s="2143">
        <v>0.15</v>
      </c>
    </row>
    <row r="255" spans="1:6" ht="14.25" thickBot="1">
      <c r="A255" s="1553" t="s">
        <v>1900</v>
      </c>
      <c r="B255" s="1547" t="s">
        <v>1668</v>
      </c>
      <c r="C255" s="2155"/>
      <c r="D255" s="2155"/>
      <c r="E255" s="2155"/>
      <c r="F255" s="2143">
        <v>0.14299999999999999</v>
      </c>
    </row>
    <row r="256" spans="1:6" ht="14.25" thickBot="1">
      <c r="A256" s="1553" t="s">
        <v>1900</v>
      </c>
      <c r="B256" s="1547" t="s">
        <v>2608</v>
      </c>
      <c r="C256" s="2142">
        <v>0.14599999999999999</v>
      </c>
      <c r="D256" s="2142">
        <v>0.14699999999999999</v>
      </c>
      <c r="E256" s="2142">
        <v>0.15</v>
      </c>
      <c r="F256" s="2143">
        <v>0.13200000000000001</v>
      </c>
    </row>
    <row r="257" spans="1:6" ht="14.25" thickBot="1">
      <c r="A257" s="1553" t="s">
        <v>1900</v>
      </c>
      <c r="B257" s="1547" t="s">
        <v>1688</v>
      </c>
      <c r="C257" s="2142">
        <v>0.15</v>
      </c>
      <c r="D257" s="2142">
        <v>0.15</v>
      </c>
      <c r="E257" s="2142">
        <v>0.15</v>
      </c>
      <c r="F257" s="2143">
        <v>0.13900000000000001</v>
      </c>
    </row>
    <row r="258" spans="1:6" ht="14.25" thickBot="1">
      <c r="A258" s="1553" t="s">
        <v>1900</v>
      </c>
      <c r="B258" s="1547" t="s">
        <v>1699</v>
      </c>
      <c r="C258" s="2142">
        <v>0.15</v>
      </c>
      <c r="D258" s="2142">
        <v>0.15</v>
      </c>
      <c r="E258" s="2142">
        <v>0.15</v>
      </c>
      <c r="F258" s="2143">
        <v>0.13</v>
      </c>
    </row>
    <row r="259" spans="1:6" ht="14.25" thickBot="1">
      <c r="A259" s="1553" t="s">
        <v>1900</v>
      </c>
      <c r="B259" s="1547" t="s">
        <v>2609</v>
      </c>
      <c r="C259" s="2142">
        <v>0.14799999999999999</v>
      </c>
      <c r="D259" s="2142">
        <v>0.14899999999999999</v>
      </c>
      <c r="E259" s="2142">
        <v>0.15</v>
      </c>
      <c r="F259" s="2143">
        <v>0.13700000000000001</v>
      </c>
    </row>
    <row r="260" spans="1:6" ht="14.25" thickBot="1">
      <c r="A260" s="1553" t="s">
        <v>1900</v>
      </c>
      <c r="B260" s="1547" t="s">
        <v>1720</v>
      </c>
      <c r="C260" s="2142">
        <v>0.15</v>
      </c>
      <c r="D260" s="2142">
        <v>0.15</v>
      </c>
      <c r="E260" s="2142">
        <v>0.15</v>
      </c>
      <c r="F260" s="2143">
        <v>0.14199999999999999</v>
      </c>
    </row>
    <row r="261" spans="1:6" ht="14.25" thickBot="1">
      <c r="A261" s="1553" t="s">
        <v>1900</v>
      </c>
      <c r="B261" s="1547" t="s">
        <v>1730</v>
      </c>
      <c r="C261" s="2142">
        <v>0.15</v>
      </c>
      <c r="D261" s="2142">
        <v>0.15</v>
      </c>
      <c r="E261" s="2142">
        <v>0.14899999999999999</v>
      </c>
      <c r="F261" s="2143">
        <v>0.14799999999999999</v>
      </c>
    </row>
    <row r="262" spans="1:6" ht="14.25" thickBot="1">
      <c r="A262" s="1553" t="s">
        <v>1900</v>
      </c>
      <c r="B262" s="1547" t="s">
        <v>1740</v>
      </c>
      <c r="C262" s="2142">
        <v>0.15</v>
      </c>
      <c r="D262" s="2142">
        <v>0.15</v>
      </c>
      <c r="E262" s="2142">
        <v>0.15</v>
      </c>
      <c r="F262" s="2154"/>
    </row>
    <row r="263" spans="1:6" ht="14.25" thickBot="1">
      <c r="A263" s="1553" t="s">
        <v>1900</v>
      </c>
      <c r="B263" s="1547" t="s">
        <v>2610</v>
      </c>
      <c r="C263" s="2142">
        <v>0.14899999999999999</v>
      </c>
      <c r="D263" s="2142">
        <v>0.14899999999999999</v>
      </c>
      <c r="E263" s="2142">
        <v>0.15</v>
      </c>
      <c r="F263" s="2143">
        <v>0.13</v>
      </c>
    </row>
    <row r="264" spans="1:6" ht="14.25" thickBot="1">
      <c r="A264" s="1553" t="s">
        <v>1900</v>
      </c>
      <c r="B264" s="1547" t="s">
        <v>1759</v>
      </c>
      <c r="C264" s="2142">
        <v>0.14799999999999999</v>
      </c>
      <c r="D264" s="2142">
        <v>0.14699999999999999</v>
      </c>
      <c r="E264" s="2142">
        <v>0.15</v>
      </c>
      <c r="F264" s="2143">
        <v>7.8E-2</v>
      </c>
    </row>
    <row r="265" spans="1:6" ht="14.25" thickBot="1">
      <c r="A265" s="1553" t="s">
        <v>1900</v>
      </c>
      <c r="B265" s="1547" t="s">
        <v>1768</v>
      </c>
      <c r="C265" s="2142">
        <v>0.15</v>
      </c>
      <c r="D265" s="2142">
        <v>0.15</v>
      </c>
      <c r="E265" s="2142">
        <v>0.15</v>
      </c>
      <c r="F265" s="2143">
        <v>7.3999999999999996E-2</v>
      </c>
    </row>
    <row r="266" spans="1:6" ht="14.25" thickBot="1">
      <c r="A266" s="1553" t="s">
        <v>1900</v>
      </c>
      <c r="B266" s="1547" t="s">
        <v>1776</v>
      </c>
      <c r="C266" s="2142">
        <v>0.14699999999999999</v>
      </c>
      <c r="D266" s="2142">
        <v>0.14699999999999999</v>
      </c>
      <c r="E266" s="2142">
        <v>0.15</v>
      </c>
      <c r="F266" s="2143">
        <v>0.14299999999999999</v>
      </c>
    </row>
    <row r="267" spans="1:6" ht="14.25" thickBot="1">
      <c r="A267" s="1553" t="s">
        <v>1900</v>
      </c>
      <c r="B267" s="1547" t="s">
        <v>1783</v>
      </c>
      <c r="C267" s="2142">
        <v>0.14199999999999999</v>
      </c>
      <c r="D267" s="2142">
        <v>0.14299999999999999</v>
      </c>
      <c r="E267" s="2142">
        <v>0.15</v>
      </c>
      <c r="F267" s="2154"/>
    </row>
    <row r="268" spans="1:6" ht="14.25" thickBot="1">
      <c r="A268" s="1553" t="s">
        <v>1900</v>
      </c>
      <c r="B268" s="1547" t="s">
        <v>2611</v>
      </c>
      <c r="C268" s="2142">
        <v>0.15</v>
      </c>
      <c r="D268" s="2142">
        <v>0.15</v>
      </c>
      <c r="E268" s="2142">
        <v>0.15</v>
      </c>
      <c r="F268" s="2143">
        <v>0.13</v>
      </c>
    </row>
    <row r="269" spans="1:6" ht="14.25" thickBot="1">
      <c r="A269" s="1553" t="s">
        <v>1900</v>
      </c>
      <c r="B269" s="1547" t="s">
        <v>1797</v>
      </c>
      <c r="C269" s="2142">
        <v>0.15</v>
      </c>
      <c r="D269" s="2142">
        <v>0.15</v>
      </c>
      <c r="E269" s="2142">
        <v>0.15</v>
      </c>
      <c r="F269" s="2143">
        <v>0.14299999999999999</v>
      </c>
    </row>
    <row r="270" spans="1:6" ht="14.25" thickBot="1">
      <c r="A270" s="1553" t="s">
        <v>1900</v>
      </c>
      <c r="B270" s="1547" t="s">
        <v>1804</v>
      </c>
      <c r="C270" s="2142">
        <v>0.14499999999999999</v>
      </c>
      <c r="D270" s="2142">
        <v>0.14499999999999999</v>
      </c>
      <c r="E270" s="2142">
        <v>0.15</v>
      </c>
      <c r="F270" s="2143">
        <v>0.14699999999999999</v>
      </c>
    </row>
    <row r="271" spans="1:6" ht="14.25" thickBot="1">
      <c r="A271" s="1553" t="s">
        <v>1900</v>
      </c>
      <c r="B271" s="1547" t="s">
        <v>1811</v>
      </c>
      <c r="C271" s="2142">
        <v>0.15</v>
      </c>
      <c r="D271" s="2142">
        <v>0.15</v>
      </c>
      <c r="E271" s="2142">
        <v>0.15</v>
      </c>
      <c r="F271" s="2143">
        <v>0.13800000000000001</v>
      </c>
    </row>
    <row r="272" spans="1:6" ht="14.25" thickBot="1">
      <c r="A272" s="1553" t="s">
        <v>1900</v>
      </c>
      <c r="B272" s="1547" t="s">
        <v>1818</v>
      </c>
      <c r="C272" s="2155"/>
      <c r="D272" s="2155"/>
      <c r="E272" s="2155"/>
      <c r="F272" s="2143">
        <v>0.14000000000000001</v>
      </c>
    </row>
    <row r="273" spans="1:6" ht="14.25" thickBot="1">
      <c r="A273" s="1553" t="s">
        <v>1900</v>
      </c>
      <c r="B273" s="1547" t="s">
        <v>2612</v>
      </c>
      <c r="C273" s="2142">
        <v>0.14199999999999999</v>
      </c>
      <c r="D273" s="2142">
        <v>0.14299999999999999</v>
      </c>
      <c r="E273" s="2142">
        <v>0.15</v>
      </c>
      <c r="F273" s="2143">
        <v>0.1</v>
      </c>
    </row>
    <row r="274" spans="1:6" ht="14.25" thickBot="1">
      <c r="A274" s="1553" t="s">
        <v>1900</v>
      </c>
      <c r="B274" s="1547" t="s">
        <v>2613</v>
      </c>
      <c r="C274" s="2142">
        <v>0.14799999999999999</v>
      </c>
      <c r="D274" s="2142">
        <v>0.14799999999999999</v>
      </c>
      <c r="E274" s="2142">
        <v>0.15</v>
      </c>
      <c r="F274" s="2143">
        <v>6.7000000000000004E-2</v>
      </c>
    </row>
    <row r="275" spans="1:6" ht="14.25" thickBot="1">
      <c r="A275" s="1553" t="s">
        <v>1900</v>
      </c>
      <c r="B275" s="1547" t="s">
        <v>2614</v>
      </c>
      <c r="C275" s="2142">
        <v>0.15</v>
      </c>
      <c r="D275" s="2142">
        <v>0.15</v>
      </c>
      <c r="E275" s="2142">
        <v>0.15</v>
      </c>
      <c r="F275" s="2143">
        <v>0.15</v>
      </c>
    </row>
    <row r="276" spans="1:6" ht="14.25" thickBot="1">
      <c r="A276" s="1553" t="s">
        <v>1900</v>
      </c>
      <c r="B276" s="1547" t="s">
        <v>2615</v>
      </c>
      <c r="C276" s="2142">
        <v>0.14499999999999999</v>
      </c>
      <c r="D276" s="2142">
        <v>0.14299999999999999</v>
      </c>
      <c r="E276" s="2142">
        <v>0.15</v>
      </c>
      <c r="F276" s="2143">
        <v>5.8999999999999997E-2</v>
      </c>
    </row>
    <row r="277" spans="1:6" ht="14.25" thickBot="1">
      <c r="A277" s="1553" t="s">
        <v>1900</v>
      </c>
      <c r="B277" s="1547" t="s">
        <v>2616</v>
      </c>
      <c r="C277" s="2142">
        <v>0.15</v>
      </c>
      <c r="D277" s="2142">
        <v>0.15</v>
      </c>
      <c r="E277" s="2142">
        <v>0.15</v>
      </c>
      <c r="F277" s="2143">
        <v>0.121</v>
      </c>
    </row>
    <row r="278" spans="1:6" ht="14.25" thickBot="1">
      <c r="A278" s="1553" t="s">
        <v>1900</v>
      </c>
      <c r="B278" s="1547" t="s">
        <v>2617</v>
      </c>
      <c r="C278" s="2142">
        <v>0.15</v>
      </c>
      <c r="D278" s="2142">
        <v>0.15</v>
      </c>
      <c r="E278" s="2142">
        <v>0.15</v>
      </c>
      <c r="F278" s="2143">
        <v>0.13800000000000001</v>
      </c>
    </row>
    <row r="279" spans="1:6" ht="24.75" thickBot="1">
      <c r="A279" s="1553" t="s">
        <v>1900</v>
      </c>
      <c r="B279" s="1547" t="s">
        <v>2618</v>
      </c>
      <c r="C279" s="2155"/>
      <c r="D279" s="2155"/>
      <c r="E279" s="2155"/>
      <c r="F279" s="2143">
        <v>0.05</v>
      </c>
    </row>
    <row r="280" spans="1:6" ht="24.75" thickBot="1">
      <c r="A280" s="1553" t="s">
        <v>1900</v>
      </c>
      <c r="B280" s="1547" t="s">
        <v>2619</v>
      </c>
      <c r="C280" s="2155"/>
      <c r="D280" s="2155"/>
      <c r="E280" s="2155"/>
      <c r="F280" s="2143">
        <v>0.05</v>
      </c>
    </row>
    <row r="281" spans="1:6" ht="24.75" thickBot="1">
      <c r="A281" s="1553" t="s">
        <v>1900</v>
      </c>
      <c r="B281" s="1547" t="s">
        <v>2620</v>
      </c>
      <c r="C281" s="2155"/>
      <c r="D281" s="2155"/>
      <c r="E281" s="2155"/>
      <c r="F281" s="2143">
        <v>0.05</v>
      </c>
    </row>
    <row r="282" spans="1:6" ht="24.75" thickBot="1">
      <c r="A282" s="1553" t="s">
        <v>1900</v>
      </c>
      <c r="B282" s="1547" t="s">
        <v>2621</v>
      </c>
      <c r="C282" s="2155"/>
      <c r="D282" s="2155"/>
      <c r="E282" s="2155"/>
      <c r="F282" s="2143">
        <v>0.05</v>
      </c>
    </row>
    <row r="283" spans="1:6" ht="24.75" thickBot="1">
      <c r="A283" s="1553" t="s">
        <v>1900</v>
      </c>
      <c r="B283" s="1547" t="s">
        <v>2622</v>
      </c>
      <c r="C283" s="2155"/>
      <c r="D283" s="2155"/>
      <c r="E283" s="2155"/>
      <c r="F283" s="2143">
        <v>0.05</v>
      </c>
    </row>
    <row r="284" spans="1:6" ht="24.75" thickBot="1">
      <c r="A284" s="1553" t="s">
        <v>1900</v>
      </c>
      <c r="B284" s="1547" t="s">
        <v>2623</v>
      </c>
      <c r="C284" s="2155"/>
      <c r="D284" s="2155"/>
      <c r="E284" s="2155"/>
      <c r="F284" s="2143">
        <v>0.05</v>
      </c>
    </row>
    <row r="285" spans="1:6" ht="24.75" thickBot="1">
      <c r="A285" s="1553" t="s">
        <v>1900</v>
      </c>
      <c r="B285" s="1547" t="s">
        <v>2624</v>
      </c>
      <c r="C285" s="2155"/>
      <c r="D285" s="2155"/>
      <c r="E285" s="2155"/>
      <c r="F285" s="2143">
        <v>0.05</v>
      </c>
    </row>
    <row r="286" spans="1:6" ht="24.75" thickBot="1">
      <c r="A286" s="1553" t="s">
        <v>1900</v>
      </c>
      <c r="B286" s="1547" t="s">
        <v>2625</v>
      </c>
      <c r="C286" s="2155"/>
      <c r="D286" s="2155"/>
      <c r="E286" s="2155"/>
      <c r="F286" s="2143">
        <v>0.05</v>
      </c>
    </row>
    <row r="287" spans="1:6" ht="24.75" thickBot="1">
      <c r="A287" s="1553" t="s">
        <v>1900</v>
      </c>
      <c r="B287" s="1547" t="s">
        <v>2626</v>
      </c>
      <c r="C287" s="2155"/>
      <c r="D287" s="2155"/>
      <c r="E287" s="2155"/>
      <c r="F287" s="2143">
        <v>0.05</v>
      </c>
    </row>
    <row r="288" spans="1:6" ht="24.75" thickBot="1">
      <c r="A288" s="1553" t="s">
        <v>1900</v>
      </c>
      <c r="B288" s="1547" t="s">
        <v>2627</v>
      </c>
      <c r="C288" s="2155"/>
      <c r="D288" s="2155"/>
      <c r="E288" s="2155"/>
      <c r="F288" s="2143">
        <v>0.05</v>
      </c>
    </row>
    <row r="289" spans="1:6" ht="24.75" thickBot="1">
      <c r="A289" s="1563" t="s">
        <v>1900</v>
      </c>
      <c r="B289" s="1559" t="s">
        <v>2628</v>
      </c>
      <c r="C289" s="2152"/>
      <c r="D289" s="2152"/>
      <c r="E289" s="2152"/>
      <c r="F289" s="2145">
        <v>0.05</v>
      </c>
    </row>
    <row r="290" spans="1:6" ht="14.25" thickBot="1">
      <c r="A290" s="1553" t="s">
        <v>1904</v>
      </c>
      <c r="B290" s="1554" t="s">
        <v>2629</v>
      </c>
      <c r="C290" s="2140">
        <v>0.15</v>
      </c>
      <c r="D290" s="2140">
        <v>0.15</v>
      </c>
      <c r="E290" s="2140">
        <v>0.15</v>
      </c>
      <c r="F290" s="2157"/>
    </row>
    <row r="291" spans="1:6" ht="14.25" thickBot="1">
      <c r="A291" s="1553" t="s">
        <v>1904</v>
      </c>
      <c r="B291" s="1547" t="s">
        <v>1566</v>
      </c>
      <c r="C291" s="2142">
        <v>0.15</v>
      </c>
      <c r="D291" s="2142">
        <v>0.15</v>
      </c>
      <c r="E291" s="2142">
        <v>0.15</v>
      </c>
      <c r="F291" s="2154"/>
    </row>
    <row r="292" spans="1:6" ht="14.25" thickBot="1">
      <c r="A292" s="1553" t="s">
        <v>1904</v>
      </c>
      <c r="B292" s="1547" t="s">
        <v>2630</v>
      </c>
      <c r="C292" s="2142">
        <v>0.15</v>
      </c>
      <c r="D292" s="2142">
        <v>0.15</v>
      </c>
      <c r="E292" s="2142">
        <v>0.15</v>
      </c>
      <c r="F292" s="2143">
        <v>0.14699999999999999</v>
      </c>
    </row>
    <row r="293" spans="1:6" ht="14.25" thickBot="1">
      <c r="A293" s="1553" t="s">
        <v>1904</v>
      </c>
      <c r="B293" s="1547" t="s">
        <v>2631</v>
      </c>
      <c r="C293" s="2155"/>
      <c r="D293" s="2155"/>
      <c r="E293" s="2155"/>
      <c r="F293" s="2143">
        <v>0.1</v>
      </c>
    </row>
    <row r="294" spans="1:6" ht="14.25" thickBot="1">
      <c r="A294" s="1553" t="s">
        <v>1904</v>
      </c>
      <c r="B294" s="1547" t="s">
        <v>2632</v>
      </c>
      <c r="C294" s="2142">
        <v>0.15</v>
      </c>
      <c r="D294" s="2142">
        <v>0.15</v>
      </c>
      <c r="E294" s="2142">
        <v>0.15</v>
      </c>
      <c r="F294" s="2143">
        <v>0.15</v>
      </c>
    </row>
    <row r="295" spans="1:6" ht="14.25" thickBot="1">
      <c r="A295" s="1553" t="s">
        <v>1904</v>
      </c>
      <c r="B295" s="1547" t="s">
        <v>1604</v>
      </c>
      <c r="C295" s="2142">
        <v>0.15</v>
      </c>
      <c r="D295" s="2142">
        <v>0.15</v>
      </c>
      <c r="E295" s="2142">
        <v>0.15</v>
      </c>
      <c r="F295" s="2143">
        <v>0.15</v>
      </c>
    </row>
    <row r="296" spans="1:6" ht="14.25" thickBot="1">
      <c r="A296" s="1553" t="s">
        <v>1904</v>
      </c>
      <c r="B296" s="1547" t="s">
        <v>2633</v>
      </c>
      <c r="C296" s="2142">
        <v>0.15</v>
      </c>
      <c r="D296" s="2142">
        <v>0.15</v>
      </c>
      <c r="E296" s="2142">
        <v>0.15</v>
      </c>
      <c r="F296" s="2143">
        <v>0.15</v>
      </c>
    </row>
    <row r="297" spans="1:6" ht="14.25" thickBot="1">
      <c r="A297" s="1553" t="s">
        <v>1904</v>
      </c>
      <c r="B297" s="1547" t="s">
        <v>2634</v>
      </c>
      <c r="C297" s="2142">
        <v>0.14799999999999999</v>
      </c>
      <c r="D297" s="2142">
        <v>0.14899999999999999</v>
      </c>
      <c r="E297" s="2142">
        <v>0.15</v>
      </c>
      <c r="F297" s="2143">
        <v>0.13700000000000001</v>
      </c>
    </row>
    <row r="298" spans="1:6" ht="14.25" thickBot="1">
      <c r="A298" s="1553" t="s">
        <v>1904</v>
      </c>
      <c r="B298" s="1547" t="s">
        <v>1637</v>
      </c>
      <c r="C298" s="2142">
        <v>0.13400000000000001</v>
      </c>
      <c r="D298" s="2142">
        <v>0.13400000000000001</v>
      </c>
      <c r="E298" s="2142">
        <v>0.14499999999999999</v>
      </c>
      <c r="F298" s="2143">
        <v>0.14799999999999999</v>
      </c>
    </row>
    <row r="299" spans="1:6" ht="14.25" thickBot="1">
      <c r="A299" s="1553" t="s">
        <v>1904</v>
      </c>
      <c r="B299" s="1547" t="s">
        <v>1649</v>
      </c>
      <c r="C299" s="2142">
        <v>0.15</v>
      </c>
      <c r="D299" s="2142">
        <v>0.15</v>
      </c>
      <c r="E299" s="2142">
        <v>0.15</v>
      </c>
      <c r="F299" s="2154"/>
    </row>
    <row r="300" spans="1:6" ht="14.25" thickBot="1">
      <c r="A300" s="1553" t="s">
        <v>1904</v>
      </c>
      <c r="B300" s="1547" t="s">
        <v>2635</v>
      </c>
      <c r="C300" s="2142">
        <v>0.15</v>
      </c>
      <c r="D300" s="2142">
        <v>0.15</v>
      </c>
      <c r="E300" s="2142">
        <v>0.15</v>
      </c>
      <c r="F300" s="2143">
        <v>0.15</v>
      </c>
    </row>
    <row r="301" spans="1:6" ht="14.25" thickBot="1">
      <c r="A301" s="1553" t="s">
        <v>1904</v>
      </c>
      <c r="B301" s="1547" t="s">
        <v>1669</v>
      </c>
      <c r="C301" s="2142">
        <v>0.15</v>
      </c>
      <c r="D301" s="2142">
        <v>0.15</v>
      </c>
      <c r="E301" s="2142">
        <v>0.15</v>
      </c>
      <c r="F301" s="2154"/>
    </row>
    <row r="302" spans="1:6" ht="14.25" thickBot="1">
      <c r="A302" s="1553" t="s">
        <v>1904</v>
      </c>
      <c r="B302" s="1547" t="s">
        <v>2636</v>
      </c>
      <c r="C302" s="2142">
        <v>0.15</v>
      </c>
      <c r="D302" s="2142">
        <v>0.15</v>
      </c>
      <c r="E302" s="2142">
        <v>0.15</v>
      </c>
      <c r="F302" s="2143">
        <v>0.15</v>
      </c>
    </row>
    <row r="303" spans="1:6" ht="14.25" thickBot="1">
      <c r="A303" s="1553" t="s">
        <v>1904</v>
      </c>
      <c r="B303" s="1547" t="s">
        <v>1689</v>
      </c>
      <c r="C303" s="2142">
        <v>0.15</v>
      </c>
      <c r="D303" s="2142">
        <v>0.15</v>
      </c>
      <c r="E303" s="2142">
        <v>0.15</v>
      </c>
      <c r="F303" s="2143">
        <v>0.15</v>
      </c>
    </row>
    <row r="304" spans="1:6" ht="14.25" thickBot="1">
      <c r="A304" s="1553" t="s">
        <v>1904</v>
      </c>
      <c r="B304" s="1547" t="s">
        <v>1700</v>
      </c>
      <c r="C304" s="2142">
        <v>0.15</v>
      </c>
      <c r="D304" s="2142">
        <v>0.15</v>
      </c>
      <c r="E304" s="2142">
        <v>0.15</v>
      </c>
      <c r="F304" s="2154"/>
    </row>
    <row r="305" spans="1:6" ht="14.25" thickBot="1">
      <c r="A305" s="1553" t="s">
        <v>1904</v>
      </c>
      <c r="B305" s="1547" t="s">
        <v>2637</v>
      </c>
      <c r="C305" s="2142">
        <v>0.15</v>
      </c>
      <c r="D305" s="2142">
        <v>0.15</v>
      </c>
      <c r="E305" s="2142">
        <v>0.15</v>
      </c>
      <c r="F305" s="2143">
        <v>0.14000000000000001</v>
      </c>
    </row>
    <row r="306" spans="1:6" ht="14.25" thickBot="1">
      <c r="A306" s="1553" t="s">
        <v>1904</v>
      </c>
      <c r="B306" s="1547" t="s">
        <v>1721</v>
      </c>
      <c r="C306" s="2142">
        <v>0.15</v>
      </c>
      <c r="D306" s="2142">
        <v>0.15</v>
      </c>
      <c r="E306" s="2142">
        <v>0.15</v>
      </c>
      <c r="F306" s="2154"/>
    </row>
    <row r="307" spans="1:6" ht="14.25" thickBot="1">
      <c r="A307" s="1553" t="s">
        <v>1904</v>
      </c>
      <c r="B307" s="1547" t="s">
        <v>2638</v>
      </c>
      <c r="C307" s="2142">
        <v>0.15</v>
      </c>
      <c r="D307" s="2142">
        <v>0.15</v>
      </c>
      <c r="E307" s="2142">
        <v>0.15</v>
      </c>
      <c r="F307" s="2143">
        <v>0.14299999999999999</v>
      </c>
    </row>
    <row r="308" spans="1:6" ht="14.25" thickBot="1">
      <c r="A308" s="1553" t="s">
        <v>1904</v>
      </c>
      <c r="B308" s="1547" t="s">
        <v>1741</v>
      </c>
      <c r="C308" s="2142">
        <v>0.15</v>
      </c>
      <c r="D308" s="2142">
        <v>0.15</v>
      </c>
      <c r="E308" s="2142">
        <v>0.15</v>
      </c>
      <c r="F308" s="2143">
        <v>0.15</v>
      </c>
    </row>
    <row r="309" spans="1:6" ht="14.25" thickBot="1">
      <c r="A309" s="1553" t="s">
        <v>1904</v>
      </c>
      <c r="B309" s="1547" t="s">
        <v>1751</v>
      </c>
      <c r="C309" s="2142">
        <v>0.15</v>
      </c>
      <c r="D309" s="2142">
        <v>0.15</v>
      </c>
      <c r="E309" s="2142">
        <v>0.15</v>
      </c>
      <c r="F309" s="2154"/>
    </row>
    <row r="310" spans="1:6" ht="14.25" thickBot="1">
      <c r="A310" s="1553" t="s">
        <v>1904</v>
      </c>
      <c r="B310" s="1547" t="s">
        <v>2639</v>
      </c>
      <c r="C310" s="2142">
        <v>0.15</v>
      </c>
      <c r="D310" s="2142">
        <v>0.15</v>
      </c>
      <c r="E310" s="2142">
        <v>0.15</v>
      </c>
      <c r="F310" s="2143">
        <v>0.13700000000000001</v>
      </c>
    </row>
    <row r="311" spans="1:6" ht="14.25" thickBot="1">
      <c r="A311" s="1553" t="s">
        <v>1904</v>
      </c>
      <c r="B311" s="1547" t="s">
        <v>2640</v>
      </c>
      <c r="C311" s="2142">
        <v>0.15</v>
      </c>
      <c r="D311" s="2142">
        <v>0.15</v>
      </c>
      <c r="E311" s="2142">
        <v>0.15</v>
      </c>
      <c r="F311" s="2143">
        <v>0.15</v>
      </c>
    </row>
    <row r="312" spans="1:6" ht="14.25" thickBot="1">
      <c r="A312" s="1553" t="s">
        <v>1904</v>
      </c>
      <c r="B312" s="1547" t="s">
        <v>1777</v>
      </c>
      <c r="C312" s="2142">
        <v>0.15</v>
      </c>
      <c r="D312" s="2142">
        <v>0.15</v>
      </c>
      <c r="E312" s="2142">
        <v>0.15</v>
      </c>
      <c r="F312" s="2143">
        <v>0.1</v>
      </c>
    </row>
    <row r="313" spans="1:6" ht="14.25" thickBot="1">
      <c r="A313" s="1553" t="s">
        <v>1904</v>
      </c>
      <c r="B313" s="1547" t="s">
        <v>2641</v>
      </c>
      <c r="C313" s="2142">
        <v>0.15</v>
      </c>
      <c r="D313" s="2142">
        <v>0.15</v>
      </c>
      <c r="E313" s="2142">
        <v>0.15</v>
      </c>
      <c r="F313" s="2143">
        <v>0.15</v>
      </c>
    </row>
    <row r="314" spans="1:6" ht="24.75" thickBot="1">
      <c r="A314" s="1553" t="s">
        <v>1904</v>
      </c>
      <c r="B314" s="1547" t="s">
        <v>2642</v>
      </c>
      <c r="C314" s="2155"/>
      <c r="D314" s="2155"/>
      <c r="E314" s="2155"/>
      <c r="F314" s="2143">
        <v>0.05</v>
      </c>
    </row>
    <row r="315" spans="1:6" ht="24.75" thickBot="1">
      <c r="A315" s="1553" t="s">
        <v>1904</v>
      </c>
      <c r="B315" s="1547" t="s">
        <v>2643</v>
      </c>
      <c r="C315" s="2155"/>
      <c r="D315" s="2155"/>
      <c r="E315" s="2155"/>
      <c r="F315" s="2143">
        <v>0.05</v>
      </c>
    </row>
    <row r="316" spans="1:6" ht="24.75" thickBot="1">
      <c r="A316" s="1563" t="s">
        <v>1904</v>
      </c>
      <c r="B316" s="1559" t="s">
        <v>2644</v>
      </c>
      <c r="C316" s="2152"/>
      <c r="D316" s="2152"/>
      <c r="E316" s="2152"/>
      <c r="F316" s="2145">
        <v>0.05</v>
      </c>
    </row>
    <row r="317" spans="1:6" ht="14.25" thickBot="1">
      <c r="A317" s="1553" t="s">
        <v>2645</v>
      </c>
      <c r="B317" s="1554" t="s">
        <v>2646</v>
      </c>
      <c r="C317" s="2140">
        <v>0.15</v>
      </c>
      <c r="D317" s="2140">
        <v>0.15</v>
      </c>
      <c r="E317" s="2140">
        <v>0.15</v>
      </c>
      <c r="F317" s="2141">
        <v>0.15</v>
      </c>
    </row>
    <row r="318" spans="1:6" ht="14.25" thickBot="1">
      <c r="A318" s="1553" t="s">
        <v>2645</v>
      </c>
      <c r="B318" s="1547" t="s">
        <v>2647</v>
      </c>
      <c r="C318" s="2142">
        <v>0.107</v>
      </c>
      <c r="D318" s="2142">
        <v>0.11</v>
      </c>
      <c r="E318" s="2142">
        <v>0.112</v>
      </c>
      <c r="F318" s="2154"/>
    </row>
    <row r="319" spans="1:6" ht="14.25" thickBot="1">
      <c r="A319" s="1553" t="s">
        <v>2645</v>
      </c>
      <c r="B319" s="1547" t="s">
        <v>2648</v>
      </c>
      <c r="C319" s="2142">
        <v>0.15</v>
      </c>
      <c r="D319" s="2142">
        <v>0.15</v>
      </c>
      <c r="E319" s="2142">
        <v>0.15</v>
      </c>
      <c r="F319" s="2143">
        <v>0.15</v>
      </c>
    </row>
    <row r="320" spans="1:6" ht="14.25" thickBot="1">
      <c r="A320" s="1553" t="s">
        <v>2645</v>
      </c>
      <c r="B320" s="1547" t="s">
        <v>1593</v>
      </c>
      <c r="C320" s="2142">
        <v>0.15</v>
      </c>
      <c r="D320" s="2142">
        <v>0.15</v>
      </c>
      <c r="E320" s="2142">
        <v>0.15</v>
      </c>
      <c r="F320" s="2154"/>
    </row>
    <row r="321" spans="1:6" ht="14.25" thickBot="1">
      <c r="A321" s="1553" t="s">
        <v>2645</v>
      </c>
      <c r="B321" s="1547" t="s">
        <v>2649</v>
      </c>
      <c r="C321" s="2142">
        <v>0.15</v>
      </c>
      <c r="D321" s="2142">
        <v>0.15</v>
      </c>
      <c r="E321" s="2142">
        <v>0.15</v>
      </c>
      <c r="F321" s="2154"/>
    </row>
    <row r="322" spans="1:6" ht="14.25" thickBot="1">
      <c r="A322" s="1553" t="s">
        <v>2645</v>
      </c>
      <c r="B322" s="1547" t="s">
        <v>2650</v>
      </c>
      <c r="C322" s="2142">
        <v>0.15</v>
      </c>
      <c r="D322" s="2142">
        <v>0.15</v>
      </c>
      <c r="E322" s="2142">
        <v>0.15</v>
      </c>
      <c r="F322" s="2143">
        <v>0.15</v>
      </c>
    </row>
    <row r="323" spans="1:6" ht="14.25" thickBot="1">
      <c r="A323" s="1553" t="s">
        <v>2645</v>
      </c>
      <c r="B323" s="1547" t="s">
        <v>2651</v>
      </c>
      <c r="C323" s="2142">
        <v>0.15</v>
      </c>
      <c r="D323" s="2142">
        <v>0.15</v>
      </c>
      <c r="E323" s="2142">
        <v>0.15</v>
      </c>
      <c r="F323" s="2154"/>
    </row>
    <row r="324" spans="1:6" ht="14.25" thickBot="1">
      <c r="A324" s="1553" t="s">
        <v>2645</v>
      </c>
      <c r="B324" s="1547" t="s">
        <v>2652</v>
      </c>
      <c r="C324" s="2142">
        <v>0.15</v>
      </c>
      <c r="D324" s="2142">
        <v>0.15</v>
      </c>
      <c r="E324" s="2142">
        <v>0.15</v>
      </c>
      <c r="F324" s="2154"/>
    </row>
    <row r="325" spans="1:6" ht="14.25" thickBot="1">
      <c r="A325" s="1553" t="s">
        <v>2645</v>
      </c>
      <c r="B325" s="1547" t="s">
        <v>2653</v>
      </c>
      <c r="C325" s="2142">
        <v>0.15</v>
      </c>
      <c r="D325" s="2142">
        <v>0.15</v>
      </c>
      <c r="E325" s="2142">
        <v>0.15</v>
      </c>
      <c r="F325" s="2143">
        <v>0.14699999999999999</v>
      </c>
    </row>
    <row r="326" spans="1:6" ht="14.25" thickBot="1">
      <c r="A326" s="1553" t="s">
        <v>2645</v>
      </c>
      <c r="B326" s="1547" t="s">
        <v>1660</v>
      </c>
      <c r="C326" s="2142">
        <v>0.15</v>
      </c>
      <c r="D326" s="2142">
        <v>0.15</v>
      </c>
      <c r="E326" s="2142">
        <v>0.15</v>
      </c>
      <c r="F326" s="2154"/>
    </row>
    <row r="327" spans="1:6" ht="14.25" thickBot="1">
      <c r="A327" s="1553" t="s">
        <v>2645</v>
      </c>
      <c r="B327" s="1547" t="s">
        <v>2654</v>
      </c>
      <c r="C327" s="2142">
        <v>0.15</v>
      </c>
      <c r="D327" s="2142">
        <v>0.15</v>
      </c>
      <c r="E327" s="2142">
        <v>0.15</v>
      </c>
      <c r="F327" s="2143">
        <v>0.15</v>
      </c>
    </row>
    <row r="328" spans="1:6" ht="14.25" thickBot="1">
      <c r="A328" s="1553" t="s">
        <v>2645</v>
      </c>
      <c r="B328" s="1547" t="s">
        <v>1680</v>
      </c>
      <c r="C328" s="2142">
        <v>0.15</v>
      </c>
      <c r="D328" s="2142">
        <v>0.15</v>
      </c>
      <c r="E328" s="2142">
        <v>0.15</v>
      </c>
      <c r="F328" s="2143">
        <v>0.14099999999999999</v>
      </c>
    </row>
    <row r="329" spans="1:6" ht="14.25" thickBot="1">
      <c r="A329" s="1553" t="s">
        <v>2645</v>
      </c>
      <c r="B329" s="1547" t="s">
        <v>1690</v>
      </c>
      <c r="C329" s="2142">
        <v>0.15</v>
      </c>
      <c r="D329" s="2142">
        <v>0.15</v>
      </c>
      <c r="E329" s="2142">
        <v>0.15</v>
      </c>
      <c r="F329" s="2143">
        <v>0.15</v>
      </c>
    </row>
    <row r="330" spans="1:6" ht="14.25" thickBot="1">
      <c r="A330" s="1553" t="s">
        <v>2645</v>
      </c>
      <c r="B330" s="1547" t="s">
        <v>1701</v>
      </c>
      <c r="C330" s="2142">
        <v>0.15</v>
      </c>
      <c r="D330" s="2142">
        <v>0.15</v>
      </c>
      <c r="E330" s="2142">
        <v>0.15</v>
      </c>
      <c r="F330" s="2154"/>
    </row>
    <row r="331" spans="1:6" ht="14.25" thickBot="1">
      <c r="A331" s="1553" t="s">
        <v>2645</v>
      </c>
      <c r="B331" s="1547" t="s">
        <v>2655</v>
      </c>
      <c r="C331" s="2142">
        <v>0.15</v>
      </c>
      <c r="D331" s="2142">
        <v>0.15</v>
      </c>
      <c r="E331" s="2142">
        <v>0.15</v>
      </c>
      <c r="F331" s="2143">
        <v>0.15</v>
      </c>
    </row>
    <row r="332" spans="1:6" ht="14.25" thickBot="1">
      <c r="A332" s="1553" t="s">
        <v>2645</v>
      </c>
      <c r="B332" s="1547" t="s">
        <v>1722</v>
      </c>
      <c r="C332" s="2142">
        <v>0.15</v>
      </c>
      <c r="D332" s="2142">
        <v>0.15</v>
      </c>
      <c r="E332" s="2142">
        <v>0.15</v>
      </c>
      <c r="F332" s="2143">
        <v>0.15</v>
      </c>
    </row>
    <row r="333" spans="1:6" ht="14.25" thickBot="1">
      <c r="A333" s="1553" t="s">
        <v>2645</v>
      </c>
      <c r="B333" s="1547" t="s">
        <v>2656</v>
      </c>
      <c r="C333" s="2142">
        <v>0.15</v>
      </c>
      <c r="D333" s="2142">
        <v>0.15</v>
      </c>
      <c r="E333" s="2142">
        <v>0.15</v>
      </c>
      <c r="F333" s="2143">
        <v>0.14099999999999999</v>
      </c>
    </row>
    <row r="334" spans="1:6" ht="14.25" thickBot="1">
      <c r="A334" s="1553" t="s">
        <v>2645</v>
      </c>
      <c r="B334" s="1547" t="s">
        <v>1742</v>
      </c>
      <c r="C334" s="2142">
        <v>0.15</v>
      </c>
      <c r="D334" s="2142">
        <v>0.15</v>
      </c>
      <c r="E334" s="2142">
        <v>0.15</v>
      </c>
      <c r="F334" s="2143">
        <v>0.15</v>
      </c>
    </row>
    <row r="335" spans="1:6" ht="14.25" thickBot="1">
      <c r="A335" s="1553" t="s">
        <v>2645</v>
      </c>
      <c r="B335" s="1547" t="s">
        <v>1752</v>
      </c>
      <c r="C335" s="2142">
        <v>0.15</v>
      </c>
      <c r="D335" s="2142">
        <v>0.15</v>
      </c>
      <c r="E335" s="2142">
        <v>0.15</v>
      </c>
      <c r="F335" s="2154"/>
    </row>
    <row r="336" spans="1:6" ht="14.25" thickBot="1">
      <c r="A336" s="1553" t="s">
        <v>2645</v>
      </c>
      <c r="B336" s="1547" t="s">
        <v>2657</v>
      </c>
      <c r="C336" s="2142">
        <v>0.15</v>
      </c>
      <c r="D336" s="2142">
        <v>0.15</v>
      </c>
      <c r="E336" s="2142">
        <v>0.15</v>
      </c>
      <c r="F336" s="2143">
        <v>0.11799999999999999</v>
      </c>
    </row>
    <row r="337" spans="1:6" ht="14.25" thickBot="1">
      <c r="A337" s="1563" t="s">
        <v>2645</v>
      </c>
      <c r="B337" s="1559" t="s">
        <v>1770</v>
      </c>
      <c r="C337" s="2152"/>
      <c r="D337" s="2152"/>
      <c r="E337" s="2152"/>
      <c r="F337" s="2145">
        <v>0.14299999999999999</v>
      </c>
    </row>
    <row r="338" spans="1:6" ht="14.25" thickBot="1">
      <c r="A338" s="1553" t="s">
        <v>2658</v>
      </c>
      <c r="B338" s="1554" t="s">
        <v>2659</v>
      </c>
      <c r="C338" s="2140">
        <v>0.15</v>
      </c>
      <c r="D338" s="2140">
        <v>0.15</v>
      </c>
      <c r="E338" s="2140">
        <v>0.15</v>
      </c>
      <c r="F338" s="2157"/>
    </row>
    <row r="339" spans="1:6" ht="14.25" thickBot="1">
      <c r="A339" s="1553" t="s">
        <v>2658</v>
      </c>
      <c r="B339" s="1547" t="s">
        <v>2660</v>
      </c>
      <c r="C339" s="2142">
        <v>0.15</v>
      </c>
      <c r="D339" s="2142">
        <v>0.15</v>
      </c>
      <c r="E339" s="2142">
        <v>0.15</v>
      </c>
      <c r="F339" s="2154"/>
    </row>
    <row r="340" spans="1:6" ht="14.25" thickBot="1">
      <c r="A340" s="1553" t="s">
        <v>2658</v>
      </c>
      <c r="B340" s="1547" t="s">
        <v>2661</v>
      </c>
      <c r="C340" s="2142">
        <v>0.15</v>
      </c>
      <c r="D340" s="2142">
        <v>0.15</v>
      </c>
      <c r="E340" s="2142">
        <v>0.15</v>
      </c>
      <c r="F340" s="2154"/>
    </row>
    <row r="341" spans="1:6" ht="14.25" thickBot="1">
      <c r="A341" s="1553" t="s">
        <v>2658</v>
      </c>
      <c r="B341" s="1547" t="s">
        <v>2662</v>
      </c>
      <c r="C341" s="2142">
        <v>0.15</v>
      </c>
      <c r="D341" s="2142">
        <v>0.15</v>
      </c>
      <c r="E341" s="2142">
        <v>0.15</v>
      </c>
      <c r="F341" s="2143">
        <v>0.15</v>
      </c>
    </row>
    <row r="342" spans="1:6" ht="14.25" thickBot="1">
      <c r="A342" s="1553" t="s">
        <v>2658</v>
      </c>
      <c r="B342" s="1547" t="s">
        <v>2663</v>
      </c>
      <c r="C342" s="2142">
        <v>0.15</v>
      </c>
      <c r="D342" s="2142">
        <v>0.15</v>
      </c>
      <c r="E342" s="2142">
        <v>0.15</v>
      </c>
      <c r="F342" s="2143">
        <v>0.15</v>
      </c>
    </row>
    <row r="343" spans="1:6" ht="14.25" thickBot="1">
      <c r="A343" s="1553" t="s">
        <v>2658</v>
      </c>
      <c r="B343" s="1547" t="s">
        <v>2664</v>
      </c>
      <c r="C343" s="2142">
        <v>0.15</v>
      </c>
      <c r="D343" s="2142">
        <v>0.15</v>
      </c>
      <c r="E343" s="2142">
        <v>0.15</v>
      </c>
      <c r="F343" s="2143">
        <v>0.15</v>
      </c>
    </row>
    <row r="344" spans="1:6" ht="14.25" thickBot="1">
      <c r="A344" s="1563" t="s">
        <v>2658</v>
      </c>
      <c r="B344" s="1559" t="s">
        <v>2665</v>
      </c>
      <c r="C344" s="2144">
        <v>0.15</v>
      </c>
      <c r="D344" s="2144">
        <v>0.15</v>
      </c>
      <c r="E344" s="2144">
        <v>0.15</v>
      </c>
      <c r="F344" s="2145">
        <v>0.15</v>
      </c>
    </row>
  </sheetData>
  <sheetProtection password="C66D" sheet="1" objects="1" scenarios="1"/>
  <mergeCells count="1">
    <mergeCell ref="A1:B1"/>
  </mergeCells>
  <phoneticPr fontId="1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3317</v>
      </c>
      <c r="C1" s="3239">
        <f>项目基本情况!D3</f>
        <v>42930</v>
      </c>
      <c r="D1" s="3245" t="s">
        <v>3318</v>
      </c>
      <c r="E1" s="3240">
        <f>'数据-取费表'!B22</f>
        <v>2</v>
      </c>
      <c r="F1" s="3245" t="s">
        <v>3319</v>
      </c>
      <c r="G1" s="3241">
        <f ca="1">INDIRECT("d"&amp;$K$1)/100</f>
        <v>4.7500000000000001E-2</v>
      </c>
      <c r="H1" s="3245" t="s">
        <v>3349</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3320</v>
      </c>
      <c r="E2" s="3181"/>
      <c r="F2" s="3181" t="s">
        <v>3321</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3322</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3323</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3324</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3325</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3326</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3327</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3328</v>
      </c>
      <c r="C10" s="3209"/>
      <c r="D10" s="3209"/>
      <c r="E10" s="3209"/>
      <c r="F10" s="3209"/>
      <c r="G10" s="3209"/>
      <c r="H10" s="3209"/>
      <c r="I10" s="3183"/>
      <c r="J10" s="3183"/>
      <c r="K10" s="3209"/>
      <c r="L10" s="3210" t="s">
        <v>3329</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3330</v>
      </c>
      <c r="C11" s="3214" t="s">
        <v>3331</v>
      </c>
      <c r="D11" s="3215" t="s">
        <v>3332</v>
      </c>
      <c r="E11" s="3216"/>
      <c r="F11" s="3215" t="s">
        <v>3333</v>
      </c>
      <c r="G11" s="3217"/>
      <c r="H11" s="3216"/>
      <c r="I11" s="3215" t="s">
        <v>3334</v>
      </c>
      <c r="J11" s="3216"/>
      <c r="K11" s="3212"/>
      <c r="L11" s="3213" t="s">
        <v>3330</v>
      </c>
      <c r="M11" s="3214" t="s">
        <v>3331</v>
      </c>
      <c r="N11" s="3213" t="s">
        <v>3335</v>
      </c>
      <c r="O11" s="3215" t="s">
        <v>3336</v>
      </c>
      <c r="P11" s="3217"/>
      <c r="Q11" s="3217"/>
      <c r="R11" s="3217"/>
      <c r="S11" s="3217"/>
      <c r="T11" s="3216"/>
      <c r="U11" s="3215" t="s">
        <v>3337</v>
      </c>
      <c r="V11" s="3217"/>
      <c r="W11" s="3216"/>
      <c r="X11" s="3213" t="s">
        <v>3338</v>
      </c>
      <c r="Y11" s="3213" t="s">
        <v>3339</v>
      </c>
      <c r="Z11" s="3213" t="s">
        <v>3340</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3341</v>
      </c>
      <c r="E12" s="3222" t="s">
        <v>3342</v>
      </c>
      <c r="F12" s="3222" t="s">
        <v>3343</v>
      </c>
      <c r="G12" s="3222" t="s">
        <v>3344</v>
      </c>
      <c r="H12" s="3222" t="s">
        <v>3326</v>
      </c>
      <c r="I12" s="3223" t="s">
        <v>3345</v>
      </c>
      <c r="J12" s="3223" t="s">
        <v>3345</v>
      </c>
      <c r="K12" s="3219"/>
      <c r="L12" s="3220"/>
      <c r="M12" s="3221"/>
      <c r="N12" s="3220"/>
      <c r="O12" s="3223" t="s">
        <v>3346</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3347</v>
      </c>
      <c r="C13" s="3227">
        <v>42301</v>
      </c>
      <c r="D13" s="3228">
        <v>4.3499999999999996</v>
      </c>
      <c r="E13" s="3228">
        <v>4.3499999999999996</v>
      </c>
      <c r="F13" s="3228">
        <v>4.75</v>
      </c>
      <c r="G13" s="3228">
        <v>4.75</v>
      </c>
      <c r="H13" s="3228">
        <v>4.9000000000000004</v>
      </c>
      <c r="I13" s="3228">
        <v>2.75</v>
      </c>
      <c r="J13" s="3228">
        <v>3.25</v>
      </c>
      <c r="K13" s="3225"/>
      <c r="L13" s="3226" t="s">
        <v>3347</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3348</v>
      </c>
      <c r="Y42" s="3232" t="s">
        <v>3348</v>
      </c>
      <c r="Z42" s="3232" t="s">
        <v>3348</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3348</v>
      </c>
      <c r="Y43" s="3232" t="s">
        <v>3348</v>
      </c>
      <c r="Z43" s="3232" t="s">
        <v>3348</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3348</v>
      </c>
      <c r="Y44" s="3232" t="s">
        <v>3348</v>
      </c>
      <c r="Z44" s="3232" t="s">
        <v>3348</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3348</v>
      </c>
      <c r="Y45" s="3232" t="s">
        <v>3348</v>
      </c>
      <c r="Z45" s="3232" t="s">
        <v>3348</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3348</v>
      </c>
      <c r="Y46" s="3232" t="s">
        <v>3348</v>
      </c>
      <c r="Z46" s="3232" t="s">
        <v>3348</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3348</v>
      </c>
      <c r="Y47" s="3232" t="s">
        <v>3348</v>
      </c>
      <c r="Z47" s="3232" t="s">
        <v>3348</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3348</v>
      </c>
      <c r="Y48" s="3232" t="s">
        <v>3348</v>
      </c>
      <c r="Z48" s="3232" t="s">
        <v>3348</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3348</v>
      </c>
      <c r="Y49" s="3232" t="s">
        <v>3348</v>
      </c>
      <c r="Z49" s="3232" t="s">
        <v>3348</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3348</v>
      </c>
      <c r="Y50" s="3232" t="s">
        <v>3348</v>
      </c>
      <c r="Z50" s="3232" t="s">
        <v>3348</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3348</v>
      </c>
      <c r="V51" s="3232" t="s">
        <v>3348</v>
      </c>
      <c r="W51" s="3232" t="s">
        <v>3348</v>
      </c>
      <c r="X51" s="3232" t="s">
        <v>3348</v>
      </c>
      <c r="Y51" s="3232" t="s">
        <v>3348</v>
      </c>
      <c r="Z51" s="3232" t="s">
        <v>3348</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3348</v>
      </c>
      <c r="J55" s="3232" t="s">
        <v>3348</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74" t="s">
        <v>2408</v>
      </c>
      <c r="B1" s="3374"/>
      <c r="C1" s="3374"/>
      <c r="D1" s="3374"/>
      <c r="E1" s="3374"/>
      <c r="F1" s="3374"/>
      <c r="G1" s="3374"/>
      <c r="H1" s="3374"/>
      <c r="I1" s="3374"/>
    </row>
    <row r="2" spans="1:9" ht="30" customHeight="1" thickTop="1">
      <c r="A2" s="3375" t="s">
        <v>3286</v>
      </c>
      <c r="B2" s="3375" t="s">
        <v>2409</v>
      </c>
      <c r="C2" s="3375" t="s">
        <v>2410</v>
      </c>
      <c r="D2" s="3375" t="str">
        <f>结果表!D116</f>
        <v>出让国有建设用地使用权价值</v>
      </c>
      <c r="E2" s="3375"/>
      <c r="F2" s="3375" t="str">
        <f>结果表!F116</f>
        <v>建筑物价值</v>
      </c>
      <c r="G2" s="3375"/>
      <c r="H2" s="3375" t="s">
        <v>6</v>
      </c>
      <c r="I2" s="3375"/>
    </row>
    <row r="3" spans="1:9" ht="14.25">
      <c r="A3" s="3369"/>
      <c r="B3" s="3369"/>
      <c r="C3" s="3369"/>
      <c r="D3" s="1935" t="s">
        <v>7</v>
      </c>
      <c r="E3" s="1935" t="s">
        <v>2411</v>
      </c>
      <c r="F3" s="1935" t="s">
        <v>7</v>
      </c>
      <c r="G3" s="1935" t="s">
        <v>8</v>
      </c>
      <c r="H3" s="1935" t="s">
        <v>7</v>
      </c>
      <c r="I3" s="1935" t="s">
        <v>8</v>
      </c>
    </row>
    <row r="4" spans="1:9" ht="28.5">
      <c r="A4" s="2006" t="str">
        <f>项目基本情况!S2</f>
        <v>北京市海淀区彰化路138号院房地产</v>
      </c>
      <c r="B4" s="2000">
        <f>项目基本情况!C17</f>
        <v>11376.31</v>
      </c>
      <c r="C4" s="2000">
        <f>项目基本情况!C18</f>
        <v>2992.36</v>
      </c>
      <c r="D4" s="2000">
        <f ca="1">结果表!D118</f>
        <v>45055</v>
      </c>
      <c r="E4" s="2000">
        <f ca="1">结果表!E118</f>
        <v>39605</v>
      </c>
      <c r="F4" s="2000">
        <f ca="1">结果表!F118</f>
        <v>6792</v>
      </c>
      <c r="G4" s="2000">
        <f ca="1">结果表!G118</f>
        <v>5970</v>
      </c>
      <c r="H4" s="2000">
        <f ca="1">结果表!H118</f>
        <v>51847</v>
      </c>
      <c r="I4" s="2000">
        <f ca="1">结果表!I118</f>
        <v>45575</v>
      </c>
    </row>
    <row r="5" spans="1:9" ht="30" customHeight="1">
      <c r="A5" s="3369" t="s">
        <v>9</v>
      </c>
      <c r="B5" s="3369"/>
      <c r="C5" s="3369"/>
      <c r="D5" s="3370" t="str">
        <f ca="1">结果表!D119</f>
        <v>肆亿伍仟零伍拾伍万元整</v>
      </c>
      <c r="E5" s="3370"/>
      <c r="F5" s="3370" t="str">
        <f ca="1">结果表!F119</f>
        <v>陆仟柒佰玖拾贰万元整</v>
      </c>
      <c r="G5" s="3370"/>
      <c r="H5" s="3370" t="str">
        <f ca="1">结果表!H119</f>
        <v>伍亿壹仟捌佰肆拾柒万元整</v>
      </c>
      <c r="I5" s="3370"/>
    </row>
    <row r="6" spans="1:9" ht="15.75">
      <c r="A6" s="3367" t="str">
        <f>结果表!A120</f>
        <v>估价师知悉的法定优先受偿款</v>
      </c>
      <c r="B6" s="3367"/>
      <c r="C6" s="3367"/>
      <c r="D6" s="3368">
        <f>结果表!D120</f>
        <v>0</v>
      </c>
      <c r="E6" s="3368"/>
      <c r="F6" s="3368"/>
      <c r="G6" s="3368"/>
      <c r="H6" s="3368"/>
      <c r="I6" s="3368"/>
    </row>
    <row r="7" spans="1:9" ht="14.25">
      <c r="A7" s="3369" t="s">
        <v>9</v>
      </c>
      <c r="B7" s="3369"/>
      <c r="C7" s="3369"/>
      <c r="D7" s="3371" t="str">
        <f>结果表!D121</f>
        <v>零元整</v>
      </c>
      <c r="E7" s="3372"/>
      <c r="F7" s="3372"/>
      <c r="G7" s="3372"/>
      <c r="H7" s="3372"/>
      <c r="I7" s="3373"/>
    </row>
    <row r="8" spans="1:9" ht="15.75">
      <c r="A8" s="3367" t="str">
        <f>结果表!A122</f>
        <v/>
      </c>
      <c r="B8" s="3367"/>
      <c r="C8" s="3367"/>
      <c r="D8" s="3368" t="str">
        <f>结果表!D122</f>
        <v>——</v>
      </c>
      <c r="E8" s="3368"/>
      <c r="F8" s="3368"/>
      <c r="G8" s="3368"/>
      <c r="H8" s="3368"/>
      <c r="I8" s="3368"/>
    </row>
    <row r="9" spans="1:9" ht="14.25">
      <c r="A9" s="3369" t="s">
        <v>9</v>
      </c>
      <c r="B9" s="3369"/>
      <c r="C9" s="3369"/>
      <c r="D9" s="3370" t="e">
        <f>结果表!D123</f>
        <v>#VALUE!</v>
      </c>
      <c r="E9" s="3370"/>
      <c r="F9" s="3370"/>
      <c r="G9" s="3370"/>
      <c r="H9" s="3370"/>
      <c r="I9" s="3370"/>
    </row>
    <row r="10" spans="1:9" ht="15.75">
      <c r="A10" s="3367" t="str">
        <f>结果表!A124</f>
        <v>抵押担保权已注销时的房地产抵押价值</v>
      </c>
      <c r="B10" s="3367"/>
      <c r="C10" s="3367"/>
      <c r="D10" s="3368">
        <f ca="1">结果表!D124</f>
        <v>51847</v>
      </c>
      <c r="E10" s="3368"/>
      <c r="F10" s="3368"/>
      <c r="G10" s="3368"/>
      <c r="H10" s="3368"/>
      <c r="I10" s="3368"/>
    </row>
    <row r="11" spans="1:9" ht="14.25">
      <c r="A11" s="3369" t="s">
        <v>9</v>
      </c>
      <c r="B11" s="3369"/>
      <c r="C11" s="3369"/>
      <c r="D11" s="3370" t="str">
        <f ca="1">结果表!D125</f>
        <v>伍亿壹仟捌佰肆拾柒万元整</v>
      </c>
      <c r="E11" s="3370"/>
      <c r="F11" s="3370"/>
      <c r="G11" s="3370"/>
      <c r="H11" s="3370"/>
      <c r="I11" s="3370"/>
    </row>
    <row r="12" spans="1:9" ht="15.75">
      <c r="A12" s="3367" t="str">
        <f>结果表!A126</f>
        <v/>
      </c>
      <c r="B12" s="3367"/>
      <c r="C12" s="3367"/>
      <c r="D12" s="3368" t="str">
        <f>结果表!D126</f>
        <v>——</v>
      </c>
      <c r="E12" s="3368"/>
      <c r="F12" s="3368"/>
      <c r="G12" s="3368"/>
      <c r="H12" s="3368"/>
      <c r="I12" s="3368"/>
    </row>
    <row r="13" spans="1:9" ht="15" thickBot="1">
      <c r="A13" s="3364" t="s">
        <v>9</v>
      </c>
      <c r="B13" s="3364"/>
      <c r="C13" s="3364"/>
      <c r="D13" s="3365" t="e">
        <f>结果表!D127</f>
        <v>#VALUE!</v>
      </c>
      <c r="E13" s="3365"/>
      <c r="F13" s="3365"/>
      <c r="G13" s="3365"/>
      <c r="H13" s="3365"/>
      <c r="I13" s="3365"/>
    </row>
    <row r="14" spans="1:9" ht="14.25" thickTop="1">
      <c r="A14" s="3366" t="s">
        <v>2412</v>
      </c>
      <c r="B14" s="3366"/>
      <c r="C14" s="3366"/>
      <c r="D14" s="3366"/>
      <c r="E14" s="3366"/>
      <c r="F14" s="3366"/>
      <c r="G14" s="3366"/>
      <c r="H14" s="3366"/>
      <c r="I14" s="3366"/>
    </row>
    <row r="16" spans="1:9" ht="18.75">
      <c r="A16" s="2015" t="s">
        <v>2413</v>
      </c>
      <c r="B16" s="2016"/>
      <c r="C16" s="2016"/>
      <c r="D16" s="2016"/>
      <c r="E16" s="2016"/>
      <c r="F16" s="2016"/>
      <c r="G16" s="2016"/>
      <c r="H16" s="2016"/>
      <c r="I16" s="2016"/>
    </row>
    <row r="17" spans="1:9">
      <c r="A17" s="2016"/>
      <c r="B17" s="2016"/>
      <c r="C17" s="2016"/>
      <c r="D17" s="2016"/>
      <c r="E17" s="2016"/>
      <c r="F17" s="2016"/>
      <c r="G17" s="2016"/>
      <c r="H17" s="2016"/>
      <c r="I17" s="2016"/>
    </row>
    <row r="18" spans="1:9">
      <c r="A18" s="2016"/>
      <c r="B18" s="2016"/>
      <c r="C18" s="2016"/>
      <c r="D18" s="2016"/>
      <c r="E18" s="2016"/>
      <c r="F18" s="2016"/>
      <c r="G18" s="2016"/>
      <c r="H18" s="2016"/>
      <c r="I18" s="2016"/>
    </row>
    <row r="19" spans="1:9">
      <c r="A19" s="2016"/>
      <c r="B19" s="2016"/>
      <c r="C19" s="2016"/>
      <c r="D19" s="2016"/>
      <c r="E19" s="2016"/>
      <c r="F19" s="2016"/>
      <c r="G19" s="2016"/>
      <c r="H19" s="2016"/>
      <c r="I19" s="2016"/>
    </row>
    <row r="20" spans="1:9">
      <c r="A20" s="2016"/>
      <c r="B20" s="2016"/>
      <c r="C20" s="2016"/>
      <c r="D20" s="2016"/>
      <c r="E20" s="2016"/>
      <c r="F20" s="2016"/>
      <c r="G20" s="2016"/>
      <c r="H20" s="2016"/>
      <c r="I20" s="2016"/>
    </row>
    <row r="21" spans="1:9">
      <c r="A21" s="2016"/>
      <c r="B21" s="2016"/>
      <c r="C21" s="2016"/>
      <c r="D21" s="2016"/>
      <c r="E21" s="2016"/>
      <c r="F21" s="2016"/>
      <c r="G21" s="2016"/>
      <c r="H21" s="2016"/>
      <c r="I21" s="2016"/>
    </row>
    <row r="22" spans="1:9">
      <c r="A22" s="2016"/>
      <c r="B22" s="2016"/>
      <c r="C22" s="2016"/>
      <c r="D22" s="2016"/>
      <c r="E22" s="2016"/>
      <c r="F22" s="2016"/>
      <c r="G22" s="2016"/>
      <c r="H22" s="2016"/>
      <c r="I22" s="201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2" t="s">
        <v>3263</v>
      </c>
      <c r="B1" s="3382"/>
      <c r="C1" s="3382"/>
      <c r="D1" s="3382"/>
    </row>
    <row r="2" spans="1:4" ht="18.75">
      <c r="A2" s="3383" t="s">
        <v>2485</v>
      </c>
      <c r="B2" s="3383"/>
      <c r="C2" s="3383"/>
      <c r="D2" s="3383"/>
    </row>
    <row r="3" spans="1:4" ht="18.75">
      <c r="A3" s="2647" t="s">
        <v>2486</v>
      </c>
      <c r="B3" s="2647" t="s">
        <v>2487</v>
      </c>
      <c r="C3" s="2647" t="s">
        <v>2488</v>
      </c>
      <c r="D3" s="2647" t="s">
        <v>2489</v>
      </c>
    </row>
    <row r="4" spans="1:4" ht="56.25" customHeight="1">
      <c r="A4" s="2653" t="str">
        <f>项目基本情况!B4</f>
        <v>王鹏</v>
      </c>
      <c r="B4" s="2648">
        <f ca="1">项目基本情况!C4</f>
        <v>1120050019</v>
      </c>
      <c r="C4" s="2651"/>
      <c r="D4" s="2649" t="s">
        <v>2490</v>
      </c>
    </row>
    <row r="5" spans="1:4" ht="56.25" customHeight="1">
      <c r="A5" s="2653" t="str">
        <f>项目基本情况!D4</f>
        <v>郑燚</v>
      </c>
      <c r="B5" s="2648">
        <f ca="1">项目基本情况!E4</f>
        <v>1120070131</v>
      </c>
      <c r="C5" s="2652"/>
      <c r="D5" s="2649" t="s">
        <v>2490</v>
      </c>
    </row>
    <row r="6" spans="1:4" ht="18.75">
      <c r="A6" s="3383" t="s">
        <v>3020</v>
      </c>
      <c r="B6" s="3383"/>
      <c r="C6" s="3383"/>
      <c r="D6" s="3383"/>
    </row>
    <row r="7" spans="1:4" ht="18.75">
      <c r="A7" s="2647" t="s">
        <v>2486</v>
      </c>
      <c r="B7" s="2648" t="s">
        <v>2491</v>
      </c>
      <c r="C7" s="2647" t="s">
        <v>2488</v>
      </c>
      <c r="D7" s="2647" t="s">
        <v>2489</v>
      </c>
    </row>
    <row r="8" spans="1:4" ht="56.25" customHeight="1">
      <c r="A8" s="2650" t="s">
        <v>2492</v>
      </c>
      <c r="B8" s="2650" t="s">
        <v>23</v>
      </c>
      <c r="C8" s="2651"/>
      <c r="D8" s="2649" t="s">
        <v>2490</v>
      </c>
    </row>
    <row r="9" spans="1:4">
      <c r="A9" s="1519"/>
      <c r="B9" s="1519"/>
      <c r="C9" s="1519"/>
      <c r="D9" s="1519"/>
    </row>
    <row r="10" spans="1:4" ht="18.75">
      <c r="A10" s="2117" t="s">
        <v>2493</v>
      </c>
      <c r="B10" s="1519"/>
      <c r="C10" s="1519"/>
      <c r="D10" s="1519"/>
    </row>
    <row r="11" spans="1:4" ht="30" customHeight="1">
      <c r="A11" s="3384" t="s">
        <v>3116</v>
      </c>
      <c r="B11" s="3376"/>
      <c r="C11" s="3376"/>
      <c r="D11" s="3376"/>
    </row>
    <row r="12" spans="1:4" ht="14.25">
      <c r="A12" s="3376" t="str">
        <f>IF(项目基本情况!B8="抵押","2.本《评估意见函》仅供金融机构进行内部审核使用，不做其他目的之用。","")</f>
        <v>2.本《评估意见函》仅供金融机构进行内部审核使用，不做其他目的之用。</v>
      </c>
      <c r="B12" s="3381"/>
      <c r="C12" s="3381"/>
      <c r="D12" s="3381"/>
    </row>
    <row r="13" spans="1:4" ht="30" customHeight="1">
      <c r="A13" s="33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1"/>
      <c r="C13" s="3381"/>
      <c r="D13" s="3381"/>
    </row>
    <row r="14" spans="1:4" ht="15.75" customHeight="1">
      <c r="A14" s="3376" t="str">
        <f>IF(项目基本情况!B8="抵押","4.本次评估估价师所知悉的法定优先受偿款情况说明如下：","")</f>
        <v>4.本次评估估价师所知悉的法定优先受偿款情况说明如下：</v>
      </c>
      <c r="B14" s="3381"/>
      <c r="C14" s="3381"/>
      <c r="D14" s="3381"/>
    </row>
    <row r="15" spans="1:4" ht="42" customHeight="1">
      <c r="A15" s="337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76"/>
      <c r="C15" s="3376"/>
      <c r="D15" s="3376"/>
    </row>
    <row r="16" spans="1:4" ht="30" customHeight="1">
      <c r="A16" s="3378" t="s">
        <v>2497</v>
      </c>
      <c r="B16" s="3378"/>
      <c r="C16" s="3378"/>
      <c r="D16" s="3378"/>
    </row>
    <row r="17" spans="1:4" ht="144" customHeight="1">
      <c r="A17" s="3378" t="s">
        <v>2498</v>
      </c>
      <c r="B17" s="3378"/>
      <c r="C17" s="3378"/>
      <c r="D17" s="3378"/>
    </row>
    <row r="18" spans="1:4" ht="15.75" customHeight="1">
      <c r="A18" s="3376" t="str">
        <f>IF(项目基本情况!B8="抵押",结果表!K120,"")</f>
        <v>故，本次评估不存在估价师知悉的法定优先受偿款</v>
      </c>
      <c r="B18" s="3376"/>
      <c r="C18" s="3376"/>
      <c r="D18" s="3376"/>
    </row>
    <row r="19" spans="1:4" ht="46.5" customHeight="1">
      <c r="A19" s="33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6"/>
      <c r="C20" s="3376"/>
      <c r="D20" s="3376"/>
    </row>
    <row r="21" spans="1:4" ht="57.75" customHeight="1">
      <c r="A21" s="337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9"/>
      <c r="C21" s="3379"/>
      <c r="D21" s="3379"/>
    </row>
    <row r="22" spans="1:4" ht="18.75" customHeight="1">
      <c r="A22" s="3380" t="s">
        <v>3284</v>
      </c>
      <c r="B22" s="3380"/>
      <c r="C22" s="3380"/>
      <c r="D22" s="3380"/>
    </row>
    <row r="23" spans="1:4">
      <c r="A23" s="2007"/>
      <c r="B23" s="2016"/>
      <c r="C23" s="2016"/>
      <c r="D23" s="2016"/>
    </row>
    <row r="24" spans="1:4">
      <c r="A24" s="2007"/>
      <c r="B24" s="2016"/>
      <c r="C24" s="2016"/>
      <c r="D24" s="2016"/>
    </row>
    <row r="25" spans="1:4" ht="18.75">
      <c r="A25" s="2005" t="s">
        <v>2494</v>
      </c>
    </row>
    <row r="26" spans="1:4" ht="18.75">
      <c r="A26" s="1977"/>
    </row>
    <row r="27" spans="1:4" ht="18.75">
      <c r="A27" s="1977" t="s">
        <v>2495</v>
      </c>
    </row>
    <row r="30" spans="1:4" ht="18.75">
      <c r="D30" s="2005" t="s">
        <v>2496</v>
      </c>
    </row>
    <row r="31" spans="1:4" ht="13.5" customHeight="1">
      <c r="C31" s="3377">
        <v>42551</v>
      </c>
      <c r="D31" s="337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2016" customWidth="1"/>
    <col min="3" max="10" width="12.5" style="2016" customWidth="1"/>
    <col min="11" max="16384" width="9" style="2016"/>
  </cols>
  <sheetData>
    <row r="1" spans="1:10" ht="18.75">
      <c r="A1" s="2910" t="s">
        <v>2502</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807</v>
      </c>
    </row>
    <row r="3" spans="1:7">
      <c r="A3" s="1146" t="s">
        <v>780</v>
      </c>
      <c r="B3" s="1147" t="s">
        <v>781</v>
      </c>
      <c r="G3" s="1148"/>
    </row>
    <row r="4" spans="1:7">
      <c r="G4" s="1148"/>
    </row>
    <row r="5" spans="1:7">
      <c r="A5" s="1150" t="s">
        <v>771</v>
      </c>
      <c r="B5" s="1147" t="s">
        <v>782</v>
      </c>
      <c r="G5" s="1148"/>
    </row>
    <row r="6" spans="1:7">
      <c r="G6" s="1148"/>
    </row>
    <row r="7" spans="1:7">
      <c r="A7" s="1151" t="s">
        <v>1489</v>
      </c>
      <c r="B7" s="1147" t="s">
        <v>783</v>
      </c>
      <c r="G7" s="1148"/>
    </row>
    <row r="8" spans="1:7">
      <c r="G8" s="1148"/>
    </row>
    <row r="9" spans="1:7">
      <c r="A9" s="1152" t="s">
        <v>772</v>
      </c>
      <c r="B9" s="1147" t="s">
        <v>784</v>
      </c>
    </row>
    <row r="11" spans="1:7">
      <c r="A11" s="1153" t="s">
        <v>773</v>
      </c>
      <c r="B11" s="1154" t="s">
        <v>770</v>
      </c>
    </row>
    <row r="13" spans="1:7">
      <c r="A13" s="1155" t="s">
        <v>785</v>
      </c>
    </row>
    <row r="15" spans="1:7" ht="13.5">
      <c r="A15" s="3390" t="s">
        <v>786</v>
      </c>
      <c r="B15" s="3385" t="s">
        <v>1490</v>
      </c>
      <c r="C15" s="3386"/>
    </row>
    <row r="16" spans="1:7" ht="13.5">
      <c r="A16" s="3391"/>
      <c r="B16" s="3385" t="s">
        <v>758</v>
      </c>
      <c r="C16" s="3386"/>
    </row>
    <row r="17" spans="1:3" ht="13.5">
      <c r="A17" s="3391"/>
      <c r="B17" s="3388" t="s">
        <v>787</v>
      </c>
      <c r="C17" s="1156" t="s">
        <v>786</v>
      </c>
    </row>
    <row r="18" spans="1:3" ht="13.5">
      <c r="A18" s="3391"/>
      <c r="B18" s="3388"/>
      <c r="C18" s="1156" t="s">
        <v>788</v>
      </c>
    </row>
    <row r="19" spans="1:3" ht="13.5">
      <c r="A19" s="3391"/>
      <c r="B19" s="3388"/>
      <c r="C19" s="1156" t="s">
        <v>789</v>
      </c>
    </row>
    <row r="20" spans="1:3" ht="13.5">
      <c r="A20" s="3392"/>
      <c r="B20" s="3387" t="s">
        <v>790</v>
      </c>
      <c r="C20" s="3386"/>
    </row>
    <row r="21" spans="1:3" ht="13.5">
      <c r="A21" s="1157" t="s">
        <v>791</v>
      </c>
      <c r="B21" s="1158"/>
      <c r="C21" s="1159"/>
    </row>
    <row r="22" spans="1:3" ht="13.5">
      <c r="A22" s="3389" t="s">
        <v>792</v>
      </c>
      <c r="B22" s="3387" t="s">
        <v>793</v>
      </c>
      <c r="C22" s="3386"/>
    </row>
    <row r="23" spans="1:3" ht="13.5">
      <c r="A23" s="3389"/>
      <c r="B23" s="3387" t="s">
        <v>794</v>
      </c>
      <c r="C23" s="3386"/>
    </row>
    <row r="24" spans="1:3" ht="13.5">
      <c r="A24" s="3389"/>
      <c r="B24" s="3387" t="s">
        <v>795</v>
      </c>
      <c r="C24" s="3386"/>
    </row>
    <row r="25" spans="1:3" ht="13.5">
      <c r="A25" s="3389"/>
      <c r="B25" s="3388" t="s">
        <v>796</v>
      </c>
      <c r="C25" s="1156" t="s">
        <v>797</v>
      </c>
    </row>
    <row r="26" spans="1:3" ht="13.5">
      <c r="A26" s="3389"/>
      <c r="B26" s="3388"/>
      <c r="C26" s="1156" t="s">
        <v>798</v>
      </c>
    </row>
    <row r="27" spans="1:3" ht="13.5">
      <c r="A27" s="3389"/>
      <c r="B27" s="3388"/>
      <c r="C27" s="1156" t="s">
        <v>799</v>
      </c>
    </row>
    <row r="28" spans="1:3" ht="13.5">
      <c r="A28" s="3389"/>
      <c r="B28" s="3388"/>
      <c r="C28" s="1156" t="s">
        <v>800</v>
      </c>
    </row>
    <row r="29" spans="1:3" ht="13.5">
      <c r="A29" s="3389"/>
      <c r="B29" s="3388"/>
      <c r="C29" s="1156" t="s">
        <v>801</v>
      </c>
    </row>
    <row r="30" spans="1:3" ht="13.5">
      <c r="A30" s="3389"/>
      <c r="B30" s="3388"/>
      <c r="C30" s="1156" t="s">
        <v>802</v>
      </c>
    </row>
    <row r="31" spans="1:3" ht="13.5">
      <c r="A31" s="3389"/>
      <c r="B31" s="3388"/>
      <c r="C31" s="1156" t="s">
        <v>803</v>
      </c>
    </row>
    <row r="32" spans="1:3" ht="13.5">
      <c r="A32" s="3389"/>
      <c r="B32" s="3388"/>
      <c r="C32" s="1156" t="s">
        <v>804</v>
      </c>
    </row>
    <row r="33" spans="1:3" ht="13.5">
      <c r="A33" s="3389"/>
      <c r="B33" s="3388"/>
      <c r="C33" s="1156" t="s">
        <v>805</v>
      </c>
    </row>
    <row r="34" spans="1:3">
      <c r="A34" s="1160" t="s">
        <v>774</v>
      </c>
    </row>
    <row r="37" spans="1:3">
      <c r="A37" s="1160" t="s">
        <v>806</v>
      </c>
    </row>
    <row r="38" spans="1:3" ht="13.5">
      <c r="A38" s="1161" t="s">
        <v>775</v>
      </c>
    </row>
    <row r="39" spans="1:3" ht="13.5">
      <c r="A39" s="1161" t="s">
        <v>776</v>
      </c>
    </row>
    <row r="40" spans="1:3" ht="13.5">
      <c r="A40" s="1161" t="s">
        <v>777</v>
      </c>
    </row>
    <row r="41" spans="1:3" ht="13.5">
      <c r="A41" s="1162" t="s">
        <v>778</v>
      </c>
    </row>
    <row r="42" spans="1:3" ht="13.5">
      <c r="A42" s="1161"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910"/>
    <col min="3" max="3" width="23.625" style="1910" bestFit="1" customWidth="1"/>
    <col min="4" max="5" width="22.625" style="1910"/>
    <col min="6" max="6" width="25.625" style="1910" customWidth="1"/>
    <col min="7" max="16384" width="22.625" style="1910"/>
  </cols>
  <sheetData>
    <row r="2" spans="1:6" ht="24" customHeight="1">
      <c r="A2" s="1912" t="s">
        <v>2330</v>
      </c>
      <c r="B2" s="1913">
        <f ca="1">TODAY()</f>
        <v>42934</v>
      </c>
      <c r="C2" s="1914" t="s">
        <v>2331</v>
      </c>
      <c r="D2" s="1914"/>
    </row>
    <row r="3" spans="1:6" ht="24" customHeight="1">
      <c r="A3" s="1915" t="s">
        <v>2332</v>
      </c>
      <c r="B3" s="1916" t="s">
        <v>2333</v>
      </c>
      <c r="C3" s="1916" t="s">
        <v>2334</v>
      </c>
      <c r="D3" s="1917" t="s">
        <v>2335</v>
      </c>
      <c r="E3" s="1918" t="s">
        <v>2336</v>
      </c>
      <c r="F3" s="1916" t="s">
        <v>2334</v>
      </c>
    </row>
    <row r="4" spans="1:6" ht="24" customHeight="1">
      <c r="A4" s="3247" t="s">
        <v>2337</v>
      </c>
      <c r="B4" s="1918">
        <f ca="1">IF(C4&lt;B2,"已过期",1119970066)</f>
        <v>1119970066</v>
      </c>
      <c r="C4" s="3248">
        <v>43849</v>
      </c>
      <c r="D4" s="3247" t="s">
        <v>2337</v>
      </c>
      <c r="E4" s="1918">
        <f ca="1">IF(F4&lt;B2,"已过期",96010014)</f>
        <v>96010014</v>
      </c>
      <c r="F4" s="1927">
        <v>47118</v>
      </c>
    </row>
    <row r="5" spans="1:6" ht="24" customHeight="1">
      <c r="A5" s="3247" t="s">
        <v>2338</v>
      </c>
      <c r="B5" s="1918">
        <f ca="1">IF(C5&lt;B2,"已过期",1119970074)</f>
        <v>1119970074</v>
      </c>
      <c r="C5" s="3248">
        <v>43849</v>
      </c>
      <c r="D5" s="3247" t="s">
        <v>2338</v>
      </c>
      <c r="E5" s="1918">
        <f ca="1">IF(F5&lt;B2,"已过期",2002110027)</f>
        <v>2002110027</v>
      </c>
      <c r="F5" s="1927">
        <v>46752</v>
      </c>
    </row>
    <row r="6" spans="1:6" ht="24" customHeight="1">
      <c r="A6" s="3247" t="s">
        <v>2339</v>
      </c>
      <c r="B6" s="1918">
        <f ca="1">IF(C6&lt;B2,"已过期",1119970111)</f>
        <v>1119970111</v>
      </c>
      <c r="C6" s="3248">
        <v>43849</v>
      </c>
      <c r="D6" s="3247" t="s">
        <v>2339</v>
      </c>
      <c r="E6" s="1918">
        <f ca="1">IF(F6&lt;B2,"已过期",94010078)</f>
        <v>94010078</v>
      </c>
      <c r="F6" s="1927">
        <v>46387</v>
      </c>
    </row>
    <row r="7" spans="1:6" ht="24" customHeight="1">
      <c r="A7" s="3247" t="s">
        <v>2340</v>
      </c>
      <c r="B7" s="1918">
        <f ca="1">IF(C7&lt;B2,"已过期",1120050019)</f>
        <v>1120050019</v>
      </c>
      <c r="C7" s="3248">
        <v>43359</v>
      </c>
      <c r="D7" s="3247" t="s">
        <v>2340</v>
      </c>
      <c r="E7" s="1918">
        <f ca="1">IF(F7&lt;B2,"已过期",2002110030)</f>
        <v>2002110030</v>
      </c>
      <c r="F7" s="1927">
        <v>46387</v>
      </c>
    </row>
    <row r="8" spans="1:6" ht="24" customHeight="1">
      <c r="A8" s="3247" t="s">
        <v>2341</v>
      </c>
      <c r="B8" s="1918">
        <f ca="1">IF(C8&lt;B2,"已过期",1120000080)</f>
        <v>1120000080</v>
      </c>
      <c r="C8" s="3248">
        <v>43849</v>
      </c>
      <c r="D8" s="3247" t="s">
        <v>2341</v>
      </c>
      <c r="E8" s="1918">
        <f ca="1">IF(F8&lt;B2,"已过期",2000110082)</f>
        <v>2000110082</v>
      </c>
      <c r="F8" s="1927">
        <v>46387</v>
      </c>
    </row>
    <row r="9" spans="1:6" ht="24" customHeight="1">
      <c r="A9" s="3247" t="s">
        <v>2342</v>
      </c>
      <c r="B9" s="1918">
        <f ca="1">IF(C9&lt;B2,"已过期",1419970001)</f>
        <v>1419970001</v>
      </c>
      <c r="C9" s="3248">
        <v>43867</v>
      </c>
      <c r="D9" s="3247" t="s">
        <v>2342</v>
      </c>
      <c r="E9" s="1918">
        <f ca="1">IF(F9&lt;B2,"已过期",2002110125)</f>
        <v>2002110125</v>
      </c>
      <c r="F9" s="1927">
        <v>47118</v>
      </c>
    </row>
    <row r="10" spans="1:6" ht="24" customHeight="1">
      <c r="A10" s="3247" t="s">
        <v>2343</v>
      </c>
      <c r="B10" s="1918">
        <f ca="1">IF(C10&lt;B2,"已过期",1120060040)</f>
        <v>1120060040</v>
      </c>
      <c r="C10" s="3248">
        <v>43483</v>
      </c>
      <c r="D10" s="3247" t="s">
        <v>2343</v>
      </c>
      <c r="E10" s="1918">
        <f ca="1">IF(F10&lt;B2,"已过期",2004110096)</f>
        <v>2004110096</v>
      </c>
      <c r="F10" s="1927">
        <v>47118</v>
      </c>
    </row>
    <row r="11" spans="1:6" ht="24" customHeight="1">
      <c r="A11" s="3247" t="s">
        <v>2344</v>
      </c>
      <c r="B11" s="1918">
        <f ca="1">IF(C11&lt;B2,"已过期",1120100036)</f>
        <v>1120100036</v>
      </c>
      <c r="C11" s="3248">
        <v>43622</v>
      </c>
      <c r="D11" s="3247" t="s">
        <v>2344</v>
      </c>
      <c r="E11" s="1918">
        <f ca="1">IF(F11&lt;B2,"已过期",2010110070)</f>
        <v>2010110070</v>
      </c>
      <c r="F11" s="1927">
        <v>47907</v>
      </c>
    </row>
    <row r="12" spans="1:6" ht="24" customHeight="1">
      <c r="A12" s="3247"/>
      <c r="B12" s="1918"/>
      <c r="C12" s="3248"/>
      <c r="D12" s="3247"/>
      <c r="E12" s="1918"/>
      <c r="F12" s="1918"/>
    </row>
    <row r="13" spans="1:6" ht="24" customHeight="1">
      <c r="A13" s="3247" t="s">
        <v>2345</v>
      </c>
      <c r="B13" s="1918">
        <f ca="1">IF(C13&lt;B2,"已过期",1120070131)</f>
        <v>1120070131</v>
      </c>
      <c r="C13" s="3248">
        <v>43814</v>
      </c>
      <c r="D13" s="3247" t="s">
        <v>2345</v>
      </c>
      <c r="E13" s="1918">
        <v>2014110011</v>
      </c>
      <c r="F13" s="1927">
        <v>49302</v>
      </c>
    </row>
    <row r="14" spans="1:6" ht="24" customHeight="1">
      <c r="A14" s="3247" t="s">
        <v>2346</v>
      </c>
      <c r="B14" s="1918">
        <f ca="1">IF(C14&lt;B2,"已过期",1120130020)</f>
        <v>1120130020</v>
      </c>
      <c r="C14" s="3248">
        <v>43622</v>
      </c>
      <c r="D14" s="3247"/>
      <c r="E14" s="1918"/>
      <c r="F14" s="1918"/>
    </row>
    <row r="15" spans="1:6" ht="24" customHeight="1">
      <c r="A15" s="3249" t="s">
        <v>3114</v>
      </c>
      <c r="B15" s="1918">
        <v>1120070085</v>
      </c>
      <c r="C15" s="3248">
        <v>43814</v>
      </c>
      <c r="D15" s="3249" t="s">
        <v>3114</v>
      </c>
      <c r="E15" s="1918">
        <v>2004110128</v>
      </c>
      <c r="F15" s="1919">
        <v>47118</v>
      </c>
    </row>
    <row r="16" spans="1:6" ht="24" customHeight="1">
      <c r="A16" s="3247" t="s">
        <v>2347</v>
      </c>
      <c r="B16" s="1918">
        <f ca="1">IF(C16&lt;B2,"已过期",1120140022)</f>
        <v>1120140022</v>
      </c>
      <c r="C16" s="3248">
        <v>42987</v>
      </c>
      <c r="D16" s="3247" t="s">
        <v>2347</v>
      </c>
      <c r="E16" s="1918">
        <f ca="1">IF(F16&lt;B2,"已过期",2008110059)</f>
        <v>2008110059</v>
      </c>
      <c r="F16" s="1927">
        <v>47177</v>
      </c>
    </row>
    <row r="17" spans="1:7" ht="24" customHeight="1">
      <c r="A17" s="3247" t="s">
        <v>2348</v>
      </c>
      <c r="B17" s="1918">
        <f ca="1">IF(C17&lt;B2,"已过期",1120140020)</f>
        <v>1120140020</v>
      </c>
      <c r="C17" s="3248">
        <v>42987</v>
      </c>
      <c r="D17" s="3247"/>
      <c r="E17" s="1918"/>
      <c r="F17" s="1927"/>
    </row>
    <row r="18" spans="1:7" ht="24" customHeight="1">
      <c r="A18" s="3247" t="s">
        <v>2349</v>
      </c>
      <c r="B18" s="1918">
        <f ca="1">IF(C18&lt;B2,"已过期",1120140024)</f>
        <v>1120140024</v>
      </c>
      <c r="C18" s="3248">
        <v>42987</v>
      </c>
      <c r="D18" s="3247" t="s">
        <v>2349</v>
      </c>
      <c r="E18" s="1918">
        <f ca="1">IF(F18&lt;B2,"已过期",2011110048)</f>
        <v>2011110048</v>
      </c>
      <c r="F18" s="1927">
        <v>48302</v>
      </c>
    </row>
    <row r="19" spans="1:7" ht="24" customHeight="1">
      <c r="A19" s="3247" t="s">
        <v>2350</v>
      </c>
      <c r="B19" s="1918">
        <f ca="1">IF(C19&lt;B2,"已过期",1120140019)</f>
        <v>1120140019</v>
      </c>
      <c r="C19" s="3248">
        <v>42987</v>
      </c>
      <c r="D19" s="3247"/>
      <c r="E19" s="1918"/>
      <c r="F19" s="1918"/>
    </row>
    <row r="20" spans="1:7" ht="24" customHeight="1">
      <c r="A20" s="3247" t="s">
        <v>2351</v>
      </c>
      <c r="B20" s="1918">
        <f ca="1">IF(C20&lt;B2,"已过期",1120140023)</f>
        <v>1120140023</v>
      </c>
      <c r="C20" s="3248">
        <v>42987</v>
      </c>
      <c r="D20" s="3247"/>
      <c r="E20" s="1918"/>
      <c r="F20" s="1918"/>
    </row>
    <row r="21" spans="1:7" ht="24" customHeight="1">
      <c r="A21" s="3247"/>
      <c r="B21" s="1918"/>
      <c r="C21" s="3248"/>
      <c r="D21" s="3247" t="s">
        <v>2352</v>
      </c>
      <c r="E21" s="1918">
        <f ca="1">IF(F21&lt;B2,"已过期",2011110090)</f>
        <v>2011110090</v>
      </c>
      <c r="F21" s="1927">
        <v>48302</v>
      </c>
    </row>
    <row r="22" spans="1:7" ht="24" customHeight="1">
      <c r="A22" s="3247" t="s">
        <v>2353</v>
      </c>
      <c r="B22" s="1918">
        <f ca="1">IF(C22&lt;B2,"已过期",1120020033)</f>
        <v>1120020033</v>
      </c>
      <c r="C22" s="3248">
        <v>43304</v>
      </c>
      <c r="D22" s="3247" t="s">
        <v>2353</v>
      </c>
      <c r="E22" s="1918">
        <f ca="1">IF(F22&lt;B2,"已过期",2000110137)</f>
        <v>2000110137</v>
      </c>
      <c r="F22" s="1927">
        <v>46387</v>
      </c>
    </row>
    <row r="23" spans="1:7" ht="24" customHeight="1">
      <c r="A23" s="3247" t="s">
        <v>2354</v>
      </c>
      <c r="B23" s="1918">
        <f ca="1">IF(C23&lt;B2,"已过期",1120130048)</f>
        <v>1120130048</v>
      </c>
      <c r="C23" s="3248">
        <v>43686</v>
      </c>
      <c r="D23" s="3247"/>
      <c r="E23" s="1918"/>
      <c r="F23" s="1918"/>
    </row>
    <row r="24" spans="1:7" s="1920" customFormat="1" ht="24" customHeight="1">
      <c r="A24" s="3249" t="s">
        <v>3350</v>
      </c>
      <c r="B24" s="3249" t="s">
        <v>3350</v>
      </c>
      <c r="C24" s="3249" t="s">
        <v>3350</v>
      </c>
      <c r="D24" s="3249" t="s">
        <v>3350</v>
      </c>
      <c r="E24" s="3249" t="s">
        <v>3350</v>
      </c>
      <c r="F24" s="3249" t="s">
        <v>3350</v>
      </c>
    </row>
    <row r="25" spans="1:7" ht="24" customHeight="1">
      <c r="A25" s="3393" t="s">
        <v>2355</v>
      </c>
      <c r="B25" s="3393"/>
      <c r="C25" s="3393"/>
      <c r="D25" s="3393"/>
      <c r="E25" s="3393"/>
      <c r="F25" s="3393"/>
      <c r="G25" s="3393"/>
    </row>
    <row r="26" spans="1:7" s="1922" customFormat="1" ht="24" customHeight="1">
      <c r="A26" s="3394" t="s">
        <v>2356</v>
      </c>
      <c r="B26" s="3394"/>
      <c r="C26" s="3394"/>
      <c r="D26" s="1921"/>
      <c r="E26" s="3394" t="s">
        <v>2357</v>
      </c>
      <c r="F26" s="3394"/>
      <c r="G26" s="3394"/>
    </row>
    <row r="27" spans="1:7" s="1924" customFormat="1" ht="24" customHeight="1">
      <c r="A27" s="1923" t="s">
        <v>2358</v>
      </c>
      <c r="B27" s="1916" t="s">
        <v>2359</v>
      </c>
      <c r="C27" s="1916" t="s">
        <v>2360</v>
      </c>
      <c r="D27" s="1916"/>
      <c r="E27" s="1918" t="s">
        <v>2358</v>
      </c>
      <c r="F27" s="1916" t="s">
        <v>2359</v>
      </c>
      <c r="G27" s="1916" t="s">
        <v>2360</v>
      </c>
    </row>
    <row r="28" spans="1:7" s="1924" customFormat="1" ht="24" customHeight="1">
      <c r="A28" s="1925" t="s">
        <v>2361</v>
      </c>
      <c r="B28" s="1926" t="s">
        <v>2362</v>
      </c>
      <c r="C28" s="1927">
        <v>43725</v>
      </c>
      <c r="D28" s="1927"/>
      <c r="E28" s="1925" t="s">
        <v>2363</v>
      </c>
      <c r="F28" s="1925" t="s">
        <v>2364</v>
      </c>
      <c r="G28" s="2136">
        <v>44377</v>
      </c>
    </row>
    <row r="29" spans="1:7" s="1924" customFormat="1" ht="24" customHeight="1">
      <c r="A29" s="1925"/>
      <c r="B29" s="1925"/>
      <c r="C29" s="1928"/>
      <c r="D29" s="1928"/>
      <c r="E29" s="1925" t="s">
        <v>2365</v>
      </c>
      <c r="F29" s="2466" t="s">
        <v>2756</v>
      </c>
      <c r="G29" s="2467">
        <v>42916</v>
      </c>
    </row>
    <row r="30" spans="1:7" ht="24" customHeight="1">
      <c r="C30" s="1929"/>
      <c r="D30" s="1929"/>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基准地价修正</vt:lpstr>
      <vt:lpstr>收益法（汇总）</vt:lpstr>
      <vt:lpstr>收益法 (办公)</vt:lpstr>
      <vt:lpstr>收益法（商业）</vt:lpstr>
      <vt:lpstr>收益法 (酒店)</vt:lpstr>
      <vt:lpstr>假设开发法</vt:lpstr>
      <vt:lpstr>收益法（商业） (地下)</vt:lpstr>
      <vt:lpstr>成本法 (元)</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(酒店)'!Print_Area</vt:lpstr>
      <vt:lpstr>'收益法 (元)'!Print_Area</vt:lpstr>
      <vt:lpstr>'收益法（商业）'!Print_Area</vt:lpstr>
      <vt:lpstr>'收益法（商业） (地下)'!Print_Area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2017-07-18T05:47:25Z</cp:lastPrinted>
  <dcterms:created xsi:type="dcterms:W3CDTF">2015-07-13T07:17:23Z</dcterms:created>
  <dcterms:modified xsi:type="dcterms:W3CDTF">2017-07-18T06:41:16Z</dcterms:modified>
</cp:coreProperties>
</file>