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技术指标" sheetId="77" r:id="rId14"/>
    <sheet name="预测（地下商业、车库）" sheetId="78" r:id="rId15"/>
    <sheet name="预测（T1-3）" sheetId="79"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 sheetId="39" r:id="rId24"/>
    <sheet name="土地案例（住宅）" sheetId="88" r:id="rId25"/>
    <sheet name="土地比较法-商业" sheetId="86" r:id="rId26"/>
    <sheet name="土地案例（商业）" sheetId="87" r:id="rId27"/>
    <sheet name="地价增长、案例位置" sheetId="85" r:id="rId28"/>
    <sheet name="假设开发法" sheetId="12" r:id="rId29"/>
    <sheet name="收益法（地上商业）" sheetId="15" r:id="rId30"/>
    <sheet name="收益法（地下商业）" sheetId="81" r:id="rId31"/>
    <sheet name="比较法-公寓" sheetId="83" state="hidden" r:id="rId32"/>
    <sheet name="比较法-住宅 (2)" sheetId="89" state="hidden" r:id="rId33"/>
    <sheet name="比较法-办公" sheetId="34" r:id="rId34"/>
    <sheet name="比较法-住宅" sheetId="21" r:id="rId35"/>
    <sheet name="收益法 (元)" sheetId="67" state="hidden" r:id="rId36"/>
    <sheet name="收益法（汇总）" sheetId="70" state="hidden" r:id="rId37"/>
    <sheet name="酒店收入计算" sheetId="66" state="hidden" r:id="rId38"/>
    <sheet name="收益法（地下车位）" sheetId="82" r:id="rId39"/>
    <sheet name="比较法-商业" sheetId="33" state="hidden" r:id="rId40"/>
    <sheet name="比较法-工业" sheetId="37" state="hidden" r:id="rId41"/>
    <sheet name="比较法-车位" sheetId="35"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4" sheetId="80" r:id="rId56"/>
  </sheets>
  <definedNames>
    <definedName name="_xlnm._FilterDatabase" localSheetId="33"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1" hidden="1">'比较法-公寓'!$A$1:$L$49</definedName>
    <definedName name="_xlnm._FilterDatabase" localSheetId="39" hidden="1">'比较法-商业'!$A$1:$L$49</definedName>
    <definedName name="_xlnm._FilterDatabase" localSheetId="34" hidden="1">'比较法-住宅'!$A$1:$L$49</definedName>
    <definedName name="_xlnm._FilterDatabase" localSheetId="32" hidden="1">'比较法-住宅 (2)'!$A$1:$L$49</definedName>
    <definedName name="_xlnm._FilterDatabase" localSheetId="11" hidden="1">'数据-基础表'!$A$12:$AT$587</definedName>
    <definedName name="_xlnm._FilterDatabase" localSheetId="26" hidden="1">'土地案例（商业）'!$A$1:$P$68</definedName>
    <definedName name="_xlnm._FilterDatabase" localSheetId="24" hidden="1">'土地案例（住宅）'!$A$1:$P$208</definedName>
    <definedName name="_xlnm._FilterDatabase" localSheetId="43" hidden="1">'土地比较法-工业'!$A$1:$L$43</definedName>
    <definedName name="_xlnm._FilterDatabase" localSheetId="25" hidden="1">'土地比较法-商业'!$A$1:$L$48</definedName>
    <definedName name="_xlnm._FilterDatabase" localSheetId="23" hidden="1">'土地比较法-住宅'!$A$1:$L$48</definedName>
    <definedName name="_xlnm._FilterDatabase" localSheetId="10" hidden="1">项目基本情况!$A$42:$N$42</definedName>
    <definedName name="_xlnm.Print_Area" localSheetId="8">估价师及机构信息!$A$1:$F$29</definedName>
    <definedName name="_xlnm.Print_Area" localSheetId="35">'收益法 (元)'!$A$1:$AK$69</definedName>
    <definedName name="_xlnm.Print_Area" localSheetId="29">'收益法（地上商业）'!$A$1:$AK$69</definedName>
    <definedName name="_xlnm.Print_Area" localSheetId="38">'收益法（地下车位）'!$A$1:$AK$69</definedName>
    <definedName name="_xlnm.Print_Area" localSheetId="30">'收益法（地下商业）'!$A$1:$AK$69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5">'土地比较法-商业'!$A$73:$M$73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5">'土地比较法-商业'!$B$106:$M$106</definedName>
    <definedName name="套综道路等级">'土地比较法-住宅'!$B$106:$M$106</definedName>
    <definedName name="套综工程地质条件" localSheetId="25">'土地比较法-商业'!$B$125:$M$125</definedName>
    <definedName name="套综工程地质条件">'土地比较法-住宅'!$B$125:$M$125</definedName>
    <definedName name="套综交易情况" localSheetId="25">'土地比较法-商业'!$A$73:$M$73</definedName>
    <definedName name="套综交易情况">'土地比较法-住宅'!$A$73:$M$73</definedName>
    <definedName name="套综临街宽度及深度" localSheetId="25">'土地比较法-商业'!$B$121:$M$121</definedName>
    <definedName name="套综临街宽度及深度">'土地比较法-住宅'!$B$121:$M$121</definedName>
    <definedName name="套综土地级别" localSheetId="25">'土地比较法-商业'!$B$108:$M$108</definedName>
    <definedName name="套综土地级别">'土地比较法-住宅'!$B$108:$M$108</definedName>
    <definedName name="套综用途" localSheetId="25">'土地比较法-商业'!$B$75:$M$75</definedName>
    <definedName name="套综用途">'土地比较法-住宅'!$B$75:$M$75</definedName>
    <definedName name="套综宗地内开发程度" localSheetId="25">'土地比较法-商业'!$B$123:$M$123</definedName>
    <definedName name="套综宗地内开发程度">'土地比较法-住宅'!$B$123:$M$123</definedName>
    <definedName name="套综宗地形状" localSheetId="25">'土地比较法-商业'!$B$119:$M$119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'比较法-公寓'!$B$88:$M$88</definedName>
    <definedName name="住宅朝向" localSheetId="32">'比较法-住宅 (2)'!$B$88:$M$88</definedName>
    <definedName name="住宅朝向">'比较法-住宅'!$B$88:$M$88</definedName>
    <definedName name="住宅房型" localSheetId="31">'比较法-公寓'!$B$118:$M$118</definedName>
    <definedName name="住宅房型" localSheetId="32">'比较法-住宅 (2)'!$B$118:$M$118</definedName>
    <definedName name="住宅房型">'比较法-住宅'!$B$118:$M$118</definedName>
    <definedName name="住宅公共部分装修" localSheetId="31">'比较法-公寓'!$B$109:$M$109</definedName>
    <definedName name="住宅公共部分装修" localSheetId="32">'比较法-住宅 (2)'!$B$109:$M$109</definedName>
    <definedName name="住宅公共部分装修">'比较法-住宅'!$B$109:$M$109</definedName>
    <definedName name="住宅基础设施水平" localSheetId="31">'比较法-公寓'!$B$116:$M$116</definedName>
    <definedName name="住宅基础设施水平" localSheetId="32">'比较法-住宅 (2)'!$B$116:$M$116</definedName>
    <definedName name="住宅基础设施水平">'比较法-住宅'!$B$116:$M$116</definedName>
    <definedName name="住宅建筑结构" localSheetId="31">'比较法-公寓'!$B$105:$M$105</definedName>
    <definedName name="住宅建筑结构" localSheetId="32">'比较法-住宅 (2)'!$B$105:$M$105</definedName>
    <definedName name="住宅建筑结构">'比较法-住宅'!$B$105:$M$105</definedName>
    <definedName name="住宅建筑类型" localSheetId="31">'比较法-公寓'!$B$100:$M$100</definedName>
    <definedName name="住宅建筑类型" localSheetId="32">'比较法-住宅 (2)'!$B$100:$M$100</definedName>
    <definedName name="住宅建筑类型">'比较法-住宅'!$B$100:$M$100</definedName>
    <definedName name="住宅建筑品质" localSheetId="31">'比较法-公寓'!$B$107:$M$107</definedName>
    <definedName name="住宅建筑品质" localSheetId="32">'比较法-住宅 (2)'!$B$107:$M$107</definedName>
    <definedName name="住宅建筑品质">'比较法-住宅'!$B$107:$M$107</definedName>
    <definedName name="住宅交易情况" localSheetId="31">'比较法-公寓'!$A$61:$M$61</definedName>
    <definedName name="住宅交易情况" localSheetId="32">'比较法-住宅 (2)'!$A$61:$M$61</definedName>
    <definedName name="住宅交易情况">'比较法-住宅'!$A$61:$M$61</definedName>
    <definedName name="住宅楼层" localSheetId="31">'比较法-公寓'!$B$86:$M$86</definedName>
    <definedName name="住宅楼层" localSheetId="32">'比较法-住宅 (2)'!$B$86:$M$86</definedName>
    <definedName name="住宅楼层">'比较法-住宅'!$B$86:$M$86</definedName>
    <definedName name="住宅内部装修" localSheetId="31">'比较法-公寓'!$B$122:$M$122</definedName>
    <definedName name="住宅内部装修" localSheetId="32">'比较法-住宅 (2)'!$B$122:$M$122</definedName>
    <definedName name="住宅内部装修">'比较法-住宅'!$B$122:$M$122</definedName>
    <definedName name="住宅物业管理" localSheetId="31">'比较法-公寓'!$B$114:$M$114</definedName>
    <definedName name="住宅物业管理" localSheetId="32">'比较法-住宅 (2)'!$B$114:$M$114</definedName>
    <definedName name="住宅物业管理">'比较法-住宅'!$B$114:$M$114</definedName>
    <definedName name="住宅用途" localSheetId="31">'比较法-公寓'!$B$63:$M$63</definedName>
    <definedName name="住宅用途" localSheetId="32">'比较法-住宅 (2)'!$B$63:$M$63</definedName>
    <definedName name="住宅用途">'比较法-住宅'!$B$63:$M$63</definedName>
    <definedName name="住宅主力户型面积" localSheetId="31">'比较法-公寓'!$B$120:$M$120</definedName>
    <definedName name="住宅主力户型面积" localSheetId="32">'比较法-住宅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41" i="9" l="1"/>
  <c r="D40" i="9"/>
  <c r="B41" i="9"/>
  <c r="B40" i="9"/>
  <c r="H9" i="68" l="1"/>
  <c r="H18" i="12"/>
  <c r="AD14" i="3"/>
  <c r="K11" i="21"/>
  <c r="I48" i="34"/>
  <c r="G48" i="34"/>
  <c r="E48" i="34"/>
  <c r="AN14" i="3"/>
  <c r="B7" i="4" l="1"/>
  <c r="B5" i="4"/>
  <c r="BB13" i="3"/>
  <c r="BB5" i="3"/>
  <c r="BD13" i="3"/>
  <c r="BD5" i="3"/>
  <c r="BE13" i="3"/>
  <c r="BE5" i="3"/>
  <c r="BF13" i="3"/>
  <c r="BF5" i="3"/>
  <c r="E8" i="6"/>
  <c r="F27" i="6"/>
  <c r="BQ13" i="3"/>
  <c r="BQ5" i="3"/>
  <c r="BS13" i="3"/>
  <c r="BS5" i="3"/>
  <c r="F28" i="6"/>
  <c r="BM13" i="3"/>
  <c r="BO13" i="3"/>
  <c r="BC13" i="3"/>
  <c r="BG13" i="3"/>
  <c r="BH13" i="3"/>
  <c r="BI13" i="3"/>
  <c r="BJ13" i="3"/>
  <c r="BK13" i="3"/>
  <c r="BA13" i="3"/>
  <c r="BN13" i="3"/>
  <c r="BP13" i="3"/>
  <c r="BR13" i="3"/>
  <c r="BT13" i="3"/>
  <c r="BL13" i="3"/>
  <c r="AZ13" i="3"/>
  <c r="BT5" i="3"/>
  <c r="BN5" i="3"/>
  <c r="D3" i="21"/>
  <c r="I47" i="21"/>
  <c r="G47" i="21"/>
  <c r="E47" i="21"/>
  <c r="W21" i="1"/>
  <c r="W22" i="1"/>
  <c r="W23" i="1"/>
  <c r="W20" i="1"/>
  <c r="I7" i="21"/>
  <c r="G7" i="21"/>
  <c r="F17" i="34"/>
  <c r="AA17" i="34" s="1"/>
  <c r="D70" i="34"/>
  <c r="H17" i="34"/>
  <c r="AB17" i="34" s="1"/>
  <c r="J17" i="34"/>
  <c r="AC17" i="34" s="1"/>
  <c r="D3" i="34"/>
  <c r="R48" i="34"/>
  <c r="V48" i="34"/>
  <c r="G11" i="34"/>
  <c r="I7" i="34"/>
  <c r="G7" i="34"/>
  <c r="J140" i="89"/>
  <c r="C145" i="89"/>
  <c r="K139" i="89"/>
  <c r="K145" i="89"/>
  <c r="K144" i="89"/>
  <c r="K143" i="89"/>
  <c r="J142" i="89"/>
  <c r="K141" i="89"/>
  <c r="B130" i="89"/>
  <c r="B128" i="89"/>
  <c r="B126" i="89"/>
  <c r="D125" i="89"/>
  <c r="E125" i="89"/>
  <c r="F125" i="89"/>
  <c r="G125" i="89"/>
  <c r="D123" i="89"/>
  <c r="E123" i="89"/>
  <c r="F123" i="89"/>
  <c r="G123" i="89"/>
  <c r="H123" i="89"/>
  <c r="I123" i="89"/>
  <c r="J123" i="89"/>
  <c r="K123" i="89"/>
  <c r="L123" i="89"/>
  <c r="M123" i="89"/>
  <c r="D119" i="89"/>
  <c r="E119" i="89"/>
  <c r="F119" i="89"/>
  <c r="G119" i="89"/>
  <c r="H119" i="89"/>
  <c r="I119" i="89"/>
  <c r="J119" i="89"/>
  <c r="K119" i="89"/>
  <c r="L119" i="89"/>
  <c r="M119" i="89"/>
  <c r="D117" i="89"/>
  <c r="E117" i="89"/>
  <c r="F117" i="89"/>
  <c r="G117" i="89"/>
  <c r="D115" i="89"/>
  <c r="E115" i="89"/>
  <c r="F115" i="89"/>
  <c r="G115" i="89"/>
  <c r="H115" i="89"/>
  <c r="I115" i="89"/>
  <c r="J115" i="89"/>
  <c r="K115" i="89"/>
  <c r="L115" i="89"/>
  <c r="M115" i="89"/>
  <c r="D113" i="89"/>
  <c r="E113" i="89"/>
  <c r="F113" i="89"/>
  <c r="G113" i="89"/>
  <c r="H113" i="89"/>
  <c r="H111" i="89"/>
  <c r="G111" i="89"/>
  <c r="F111" i="89"/>
  <c r="E111" i="89"/>
  <c r="D111" i="89"/>
  <c r="C111" i="89"/>
  <c r="D110" i="89"/>
  <c r="E110" i="89"/>
  <c r="F110" i="89"/>
  <c r="G110" i="89"/>
  <c r="H110" i="89"/>
  <c r="I110" i="89"/>
  <c r="J110" i="89"/>
  <c r="K110" i="89"/>
  <c r="L110" i="89"/>
  <c r="M110" i="89"/>
  <c r="D108" i="89"/>
  <c r="E108" i="89"/>
  <c r="F108" i="89"/>
  <c r="G108" i="89"/>
  <c r="H108" i="89"/>
  <c r="I108" i="89"/>
  <c r="J108" i="89"/>
  <c r="K108" i="89"/>
  <c r="L108" i="89"/>
  <c r="M108" i="89"/>
  <c r="D106" i="89"/>
  <c r="E106" i="89"/>
  <c r="F106" i="89"/>
  <c r="G106" i="89"/>
  <c r="H106" i="89"/>
  <c r="I106" i="89"/>
  <c r="J106" i="89"/>
  <c r="K106" i="89"/>
  <c r="L106" i="89"/>
  <c r="M106" i="89"/>
  <c r="M102" i="89"/>
  <c r="L102" i="89"/>
  <c r="K102" i="89"/>
  <c r="J102" i="89"/>
  <c r="I102" i="89"/>
  <c r="H102" i="89"/>
  <c r="G102" i="89"/>
  <c r="F102" i="89"/>
  <c r="E102" i="89"/>
  <c r="D102" i="89"/>
  <c r="C102" i="89"/>
  <c r="D101" i="89"/>
  <c r="E101" i="89"/>
  <c r="F101" i="89"/>
  <c r="G101" i="89"/>
  <c r="H101" i="89"/>
  <c r="I101" i="89"/>
  <c r="J101" i="89"/>
  <c r="K101" i="89"/>
  <c r="L101" i="89"/>
  <c r="M101" i="89"/>
  <c r="B98" i="89"/>
  <c r="B96" i="89"/>
  <c r="B94" i="89"/>
  <c r="B92" i="89"/>
  <c r="B90" i="89"/>
  <c r="D89" i="89"/>
  <c r="E89" i="89"/>
  <c r="F89" i="89"/>
  <c r="G89" i="89"/>
  <c r="H89" i="89"/>
  <c r="I89" i="89"/>
  <c r="J89" i="89"/>
  <c r="K89" i="89"/>
  <c r="L89" i="89"/>
  <c r="M89" i="89"/>
  <c r="M87" i="89"/>
  <c r="L87" i="89"/>
  <c r="K87" i="89"/>
  <c r="J87" i="89"/>
  <c r="I87" i="89"/>
  <c r="H87" i="89"/>
  <c r="G87" i="89"/>
  <c r="F87" i="89"/>
  <c r="E87" i="89"/>
  <c r="D87" i="89"/>
  <c r="D85" i="89"/>
  <c r="E85" i="89"/>
  <c r="F85" i="89"/>
  <c r="G85" i="89"/>
  <c r="D83" i="89"/>
  <c r="E83" i="89"/>
  <c r="F83" i="89"/>
  <c r="G83" i="89"/>
  <c r="D81" i="89"/>
  <c r="E81" i="89"/>
  <c r="F81" i="89"/>
  <c r="G81" i="89"/>
  <c r="D79" i="89"/>
  <c r="E79" i="89"/>
  <c r="F79" i="89"/>
  <c r="G79" i="89"/>
  <c r="D77" i="89"/>
  <c r="E77" i="89"/>
  <c r="F77" i="89"/>
  <c r="G77" i="89"/>
  <c r="B74" i="89"/>
  <c r="B72" i="89"/>
  <c r="B70" i="89"/>
  <c r="D69" i="89"/>
  <c r="E69" i="89"/>
  <c r="F69" i="89"/>
  <c r="G69" i="89"/>
  <c r="H69" i="89"/>
  <c r="I69" i="89"/>
  <c r="J69" i="89"/>
  <c r="K69" i="89"/>
  <c r="L69" i="89"/>
  <c r="M69" i="89"/>
  <c r="M67" i="89"/>
  <c r="L67" i="89"/>
  <c r="K67" i="89"/>
  <c r="J67" i="89"/>
  <c r="I67" i="89"/>
  <c r="H67" i="89"/>
  <c r="G67" i="89"/>
  <c r="F67" i="89"/>
  <c r="E67" i="89"/>
  <c r="D67" i="89"/>
  <c r="C67" i="89"/>
  <c r="D66" i="89"/>
  <c r="E66" i="89"/>
  <c r="F66" i="89"/>
  <c r="G66" i="89"/>
  <c r="H66" i="89"/>
  <c r="I66" i="89"/>
  <c r="C63" i="89"/>
  <c r="C7" i="89"/>
  <c r="C58" i="89"/>
  <c r="D58" i="89"/>
  <c r="E58" i="89"/>
  <c r="F58" i="89"/>
  <c r="G58" i="89"/>
  <c r="H58" i="89"/>
  <c r="I58" i="89"/>
  <c r="J58" i="89"/>
  <c r="K58" i="89"/>
  <c r="L58" i="89"/>
  <c r="M58" i="89"/>
  <c r="N58" i="89"/>
  <c r="O58" i="89"/>
  <c r="I54" i="89"/>
  <c r="J54" i="89"/>
  <c r="G54" i="89"/>
  <c r="H54" i="89"/>
  <c r="E54" i="89"/>
  <c r="F54" i="89"/>
  <c r="V47" i="89"/>
  <c r="J7" i="89"/>
  <c r="AC7" i="89"/>
  <c r="V48" i="89"/>
  <c r="I48" i="89"/>
  <c r="R47" i="89"/>
  <c r="F7" i="89"/>
  <c r="AA7" i="89"/>
  <c r="R48" i="89"/>
  <c r="E48" i="89"/>
  <c r="I53" i="89"/>
  <c r="J53" i="89"/>
  <c r="T47" i="89"/>
  <c r="H7" i="89"/>
  <c r="AB7" i="89"/>
  <c r="T48" i="89"/>
  <c r="G48" i="89"/>
  <c r="G53" i="89"/>
  <c r="H53" i="89"/>
  <c r="E53" i="89"/>
  <c r="F53" i="89"/>
  <c r="I52" i="89"/>
  <c r="J52" i="89"/>
  <c r="G52" i="89"/>
  <c r="H52" i="89"/>
  <c r="E52" i="89"/>
  <c r="F52" i="89"/>
  <c r="R49" i="89"/>
  <c r="P49" i="89"/>
  <c r="C49" i="89"/>
  <c r="P48" i="89"/>
  <c r="C48" i="89"/>
  <c r="P47" i="89"/>
  <c r="J46" i="89"/>
  <c r="AC46" i="89"/>
  <c r="H46" i="89"/>
  <c r="AB46" i="89"/>
  <c r="F46" i="89"/>
  <c r="AA46" i="89"/>
  <c r="Q46" i="89"/>
  <c r="Z46" i="89"/>
  <c r="W46" i="89"/>
  <c r="U46" i="89"/>
  <c r="S46" i="89"/>
  <c r="J45" i="89"/>
  <c r="AC45" i="89"/>
  <c r="H45" i="89"/>
  <c r="AB45" i="89"/>
  <c r="F45" i="89"/>
  <c r="AA45" i="89"/>
  <c r="Q45" i="89"/>
  <c r="Z45" i="89"/>
  <c r="W45" i="89"/>
  <c r="U45" i="89"/>
  <c r="S45" i="89"/>
  <c r="J44" i="89"/>
  <c r="AC44" i="89"/>
  <c r="H44" i="89"/>
  <c r="AB44" i="89"/>
  <c r="F44" i="89"/>
  <c r="AA44" i="89"/>
  <c r="Q44" i="89"/>
  <c r="Z44" i="89"/>
  <c r="W44" i="89"/>
  <c r="U44" i="89"/>
  <c r="S44" i="89"/>
  <c r="J43" i="89"/>
  <c r="AC43" i="89"/>
  <c r="H43" i="89"/>
  <c r="AB43" i="89"/>
  <c r="F43" i="89"/>
  <c r="AA43" i="89"/>
  <c r="Q43" i="89"/>
  <c r="Z43" i="89"/>
  <c r="W43" i="89"/>
  <c r="U43" i="89"/>
  <c r="S43" i="89"/>
  <c r="J42" i="89"/>
  <c r="AC42" i="89"/>
  <c r="H42" i="89"/>
  <c r="AB42" i="89"/>
  <c r="F42" i="89"/>
  <c r="AA42" i="89"/>
  <c r="Q42" i="89"/>
  <c r="Z42" i="89"/>
  <c r="W42" i="89"/>
  <c r="U42" i="89"/>
  <c r="S42" i="89"/>
  <c r="J41" i="89"/>
  <c r="AC41" i="89"/>
  <c r="H41" i="89"/>
  <c r="AB41" i="89"/>
  <c r="F41" i="89"/>
  <c r="AA41" i="89"/>
  <c r="Q41" i="89"/>
  <c r="Z41" i="89"/>
  <c r="W41" i="89"/>
  <c r="U41" i="89"/>
  <c r="S41" i="89"/>
  <c r="J40" i="89"/>
  <c r="AC40" i="89"/>
  <c r="H40" i="89"/>
  <c r="AB40" i="89"/>
  <c r="F40" i="89"/>
  <c r="AA40" i="89"/>
  <c r="Q40" i="89"/>
  <c r="Z40" i="89"/>
  <c r="W40" i="89"/>
  <c r="U40" i="89"/>
  <c r="S40" i="89"/>
  <c r="J39" i="89"/>
  <c r="AC39" i="89"/>
  <c r="H39" i="89"/>
  <c r="AB39" i="89"/>
  <c r="F39" i="89"/>
  <c r="AA39" i="89"/>
  <c r="Q39" i="89"/>
  <c r="Z39" i="89"/>
  <c r="W39" i="89"/>
  <c r="U39" i="89"/>
  <c r="S39" i="89"/>
  <c r="J38" i="89"/>
  <c r="AC38" i="89"/>
  <c r="H38" i="89"/>
  <c r="AB38" i="89"/>
  <c r="F38" i="89"/>
  <c r="AA38" i="89"/>
  <c r="Q38" i="89"/>
  <c r="Z38" i="89"/>
  <c r="W38" i="89"/>
  <c r="U38" i="89"/>
  <c r="S38" i="89"/>
  <c r="J37" i="89"/>
  <c r="AC37" i="89"/>
  <c r="H37" i="89"/>
  <c r="AB37" i="89"/>
  <c r="F37" i="89"/>
  <c r="AA37" i="89"/>
  <c r="Q37" i="89"/>
  <c r="Z37" i="89"/>
  <c r="W37" i="89"/>
  <c r="U37" i="89"/>
  <c r="S37" i="89"/>
  <c r="J36" i="89"/>
  <c r="AC36" i="89"/>
  <c r="H36" i="89"/>
  <c r="AB36" i="89"/>
  <c r="F36" i="89"/>
  <c r="AA36" i="89"/>
  <c r="Q36" i="89"/>
  <c r="Z36" i="89"/>
  <c r="W36" i="89"/>
  <c r="U36" i="89"/>
  <c r="S36" i="89"/>
  <c r="J35" i="89"/>
  <c r="AC35" i="89"/>
  <c r="H35" i="89"/>
  <c r="AB35" i="89"/>
  <c r="F35" i="89"/>
  <c r="AA35" i="89"/>
  <c r="Q35" i="89"/>
  <c r="Z35" i="89"/>
  <c r="W35" i="89"/>
  <c r="U35" i="89"/>
  <c r="S35" i="89"/>
  <c r="J34" i="89"/>
  <c r="AC34" i="89"/>
  <c r="H34" i="89"/>
  <c r="AB34" i="89"/>
  <c r="F34" i="89"/>
  <c r="AA34" i="89"/>
  <c r="Q34" i="89"/>
  <c r="Z34" i="89"/>
  <c r="W34" i="89"/>
  <c r="U34" i="89"/>
  <c r="S34" i="89"/>
  <c r="J33" i="89"/>
  <c r="AC33" i="89"/>
  <c r="H33" i="89"/>
  <c r="AB33" i="89"/>
  <c r="F33" i="89"/>
  <c r="AA33" i="89"/>
  <c r="Q33" i="89"/>
  <c r="Z33" i="89"/>
  <c r="W33" i="89"/>
  <c r="U33" i="89"/>
  <c r="S33" i="89"/>
  <c r="J32" i="89"/>
  <c r="AC32" i="89"/>
  <c r="H32" i="89"/>
  <c r="AB32" i="89"/>
  <c r="F32" i="89"/>
  <c r="AA32" i="89"/>
  <c r="Q32" i="89"/>
  <c r="Z32" i="89"/>
  <c r="W32" i="89"/>
  <c r="U32" i="89"/>
  <c r="S32" i="89"/>
  <c r="J31" i="89"/>
  <c r="AC31" i="89"/>
  <c r="H31" i="89"/>
  <c r="AB31" i="89"/>
  <c r="F31" i="89"/>
  <c r="AA31" i="89"/>
  <c r="Q31" i="89"/>
  <c r="Z31" i="89"/>
  <c r="W31" i="89"/>
  <c r="U31" i="89"/>
  <c r="S31" i="89"/>
  <c r="J30" i="89"/>
  <c r="AC30" i="89"/>
  <c r="H30" i="89"/>
  <c r="AB30" i="89"/>
  <c r="F30" i="89"/>
  <c r="AA30" i="89"/>
  <c r="Q30" i="89"/>
  <c r="Z30" i="89"/>
  <c r="W30" i="89"/>
  <c r="U30" i="89"/>
  <c r="S30" i="89"/>
  <c r="J29" i="89"/>
  <c r="AC29" i="89"/>
  <c r="H29" i="89"/>
  <c r="AB29" i="89"/>
  <c r="F29" i="89"/>
  <c r="AA29" i="89"/>
  <c r="Q29" i="89"/>
  <c r="Z29" i="89"/>
  <c r="W29" i="89"/>
  <c r="U29" i="89"/>
  <c r="S29" i="89"/>
  <c r="J28" i="89"/>
  <c r="AC28" i="89"/>
  <c r="H28" i="89"/>
  <c r="AB28" i="89"/>
  <c r="F28" i="89"/>
  <c r="AA28" i="89"/>
  <c r="Q28" i="89"/>
  <c r="Z28" i="89"/>
  <c r="W28" i="89"/>
  <c r="U28" i="89"/>
  <c r="S28" i="89"/>
  <c r="J27" i="89"/>
  <c r="AC27" i="89"/>
  <c r="H27" i="89"/>
  <c r="AB27" i="89"/>
  <c r="F27" i="89"/>
  <c r="AA27" i="89"/>
  <c r="Q27" i="89"/>
  <c r="Z27" i="89"/>
  <c r="W27" i="89"/>
  <c r="U27" i="89"/>
  <c r="S27" i="89"/>
  <c r="J26" i="89"/>
  <c r="AC26" i="89"/>
  <c r="H26" i="89"/>
  <c r="AB26" i="89"/>
  <c r="F26" i="89"/>
  <c r="AA26" i="89"/>
  <c r="Q26" i="89"/>
  <c r="Z26" i="89"/>
  <c r="W26" i="89"/>
  <c r="U26" i="89"/>
  <c r="S26" i="89"/>
  <c r="J25" i="89"/>
  <c r="AC25" i="89"/>
  <c r="H25" i="89"/>
  <c r="AB25" i="89"/>
  <c r="F25" i="89"/>
  <c r="AA25" i="89"/>
  <c r="Q25" i="89"/>
  <c r="Z25" i="89"/>
  <c r="W25" i="89"/>
  <c r="U25" i="89"/>
  <c r="S25" i="89"/>
  <c r="J23" i="89"/>
  <c r="AC23" i="89"/>
  <c r="H23" i="89"/>
  <c r="AB23" i="89"/>
  <c r="F23" i="89"/>
  <c r="AA23" i="89"/>
  <c r="Q23" i="89"/>
  <c r="Z23" i="89"/>
  <c r="W23" i="89"/>
  <c r="U23" i="89"/>
  <c r="S23" i="89"/>
  <c r="C23" i="89"/>
  <c r="J21" i="89"/>
  <c r="AC21" i="89"/>
  <c r="H21" i="89"/>
  <c r="AB21" i="89"/>
  <c r="F21" i="89"/>
  <c r="AA21" i="89"/>
  <c r="Q21" i="89"/>
  <c r="Z21" i="89"/>
  <c r="W21" i="89"/>
  <c r="U21" i="89"/>
  <c r="S21" i="89"/>
  <c r="C21" i="89"/>
  <c r="J19" i="89"/>
  <c r="AC19" i="89"/>
  <c r="H19" i="89"/>
  <c r="AB19" i="89"/>
  <c r="F19" i="89"/>
  <c r="AA19" i="89"/>
  <c r="Q19" i="89"/>
  <c r="Z19" i="89"/>
  <c r="W19" i="89"/>
  <c r="U19" i="89"/>
  <c r="S19" i="89"/>
  <c r="C19" i="89"/>
  <c r="J17" i="89"/>
  <c r="AC17" i="89"/>
  <c r="H17" i="89"/>
  <c r="AB17" i="89"/>
  <c r="F17" i="89"/>
  <c r="AA17" i="89"/>
  <c r="Q17" i="89"/>
  <c r="Z17" i="89"/>
  <c r="W17" i="89"/>
  <c r="U17" i="89"/>
  <c r="S17" i="89"/>
  <c r="C17" i="89"/>
  <c r="J15" i="89"/>
  <c r="AC15" i="89"/>
  <c r="H15" i="89"/>
  <c r="AB15" i="89"/>
  <c r="F15" i="89"/>
  <c r="AA15" i="89"/>
  <c r="Q15" i="89"/>
  <c r="Z15" i="89"/>
  <c r="W15" i="89"/>
  <c r="U15" i="89"/>
  <c r="S15" i="89"/>
  <c r="C15" i="89"/>
  <c r="J14" i="89"/>
  <c r="AC14" i="89"/>
  <c r="H14" i="89"/>
  <c r="AB14" i="89"/>
  <c r="F14" i="89"/>
  <c r="AA14" i="89"/>
  <c r="Q14" i="89"/>
  <c r="Z14" i="89"/>
  <c r="W14" i="89"/>
  <c r="U14" i="89"/>
  <c r="S14" i="89"/>
  <c r="J13" i="89"/>
  <c r="AC13" i="89"/>
  <c r="H13" i="89"/>
  <c r="AB13" i="89"/>
  <c r="F13" i="89"/>
  <c r="AA13" i="89"/>
  <c r="Q13" i="89"/>
  <c r="Z13" i="89"/>
  <c r="W13" i="89"/>
  <c r="U13" i="89"/>
  <c r="S13" i="89"/>
  <c r="J12" i="89"/>
  <c r="AC12" i="89"/>
  <c r="H12" i="89"/>
  <c r="AB12" i="89"/>
  <c r="F12" i="89"/>
  <c r="AA12" i="89"/>
  <c r="Q12" i="89"/>
  <c r="Z12" i="89"/>
  <c r="W12" i="89"/>
  <c r="U12" i="89"/>
  <c r="S12" i="89"/>
  <c r="J11" i="89"/>
  <c r="AC11" i="89"/>
  <c r="H11" i="89"/>
  <c r="AB11" i="89"/>
  <c r="F11" i="89"/>
  <c r="AA11" i="89"/>
  <c r="Q11" i="89"/>
  <c r="Z11" i="89"/>
  <c r="W11" i="89"/>
  <c r="U11" i="89"/>
  <c r="S11" i="89"/>
  <c r="J10" i="89"/>
  <c r="AC10" i="89"/>
  <c r="H10" i="89"/>
  <c r="AB10" i="89"/>
  <c r="F10" i="89"/>
  <c r="AA10" i="89"/>
  <c r="Q10" i="89"/>
  <c r="Z10" i="89"/>
  <c r="W10" i="89"/>
  <c r="U10" i="89"/>
  <c r="S10" i="89"/>
  <c r="J9" i="89"/>
  <c r="AC9" i="89"/>
  <c r="H9" i="89"/>
  <c r="AB9" i="89"/>
  <c r="F9" i="89"/>
  <c r="AA9" i="89"/>
  <c r="Q9" i="89"/>
  <c r="Z9" i="89"/>
  <c r="W9" i="89"/>
  <c r="U9" i="89"/>
  <c r="S9" i="89"/>
  <c r="J8" i="89"/>
  <c r="AC8" i="89"/>
  <c r="H8" i="89"/>
  <c r="AB8" i="89"/>
  <c r="F8" i="89"/>
  <c r="AA8" i="89"/>
  <c r="W8" i="89"/>
  <c r="U8" i="89"/>
  <c r="S8" i="89"/>
  <c r="W7" i="89"/>
  <c r="U7" i="89"/>
  <c r="S7" i="89"/>
  <c r="D3" i="89"/>
  <c r="B3" i="89"/>
  <c r="B2" i="89"/>
  <c r="I46" i="86"/>
  <c r="G46" i="86"/>
  <c r="E46" i="86"/>
  <c r="I38" i="86"/>
  <c r="G38" i="86"/>
  <c r="E38" i="86"/>
  <c r="E75" i="86"/>
  <c r="D75" i="86"/>
  <c r="I7" i="86"/>
  <c r="G7" i="86"/>
  <c r="E7" i="86"/>
  <c r="I6" i="86"/>
  <c r="I5" i="86"/>
  <c r="G6" i="86"/>
  <c r="G5" i="86"/>
  <c r="E6" i="86"/>
  <c r="E5" i="86"/>
  <c r="D75" i="39"/>
  <c r="I6" i="39"/>
  <c r="G6" i="39"/>
  <c r="E6" i="39"/>
  <c r="I46" i="39"/>
  <c r="G46" i="39"/>
  <c r="E46" i="39"/>
  <c r="I38" i="39"/>
  <c r="G38" i="39"/>
  <c r="E38" i="39"/>
  <c r="I7" i="39"/>
  <c r="G7" i="39"/>
  <c r="E7" i="39"/>
  <c r="I5" i="39"/>
  <c r="G5" i="39"/>
  <c r="E5" i="39"/>
  <c r="E80" i="86"/>
  <c r="F80" i="86"/>
  <c r="G80" i="86"/>
  <c r="H80" i="86"/>
  <c r="I80" i="86"/>
  <c r="J80" i="86"/>
  <c r="K80" i="86"/>
  <c r="L80" i="86"/>
  <c r="M80" i="86"/>
  <c r="D80" i="86"/>
  <c r="C32" i="86"/>
  <c r="D80" i="39"/>
  <c r="E80" i="39"/>
  <c r="F80" i="39"/>
  <c r="G80" i="39"/>
  <c r="H80" i="39"/>
  <c r="I80" i="39"/>
  <c r="J80" i="39"/>
  <c r="K80" i="39"/>
  <c r="L80" i="39"/>
  <c r="M80" i="39"/>
  <c r="D107" i="39"/>
  <c r="E107" i="39"/>
  <c r="F107" i="39"/>
  <c r="F32" i="39"/>
  <c r="AA32" i="39"/>
  <c r="D81" i="39"/>
  <c r="E81" i="39"/>
  <c r="F81" i="39"/>
  <c r="G81" i="39"/>
  <c r="H81" i="39"/>
  <c r="D89" i="39"/>
  <c r="F15" i="39"/>
  <c r="AA15" i="39"/>
  <c r="D71" i="39"/>
  <c r="E71" i="39"/>
  <c r="F7" i="39"/>
  <c r="AA7" i="39"/>
  <c r="F9" i="39"/>
  <c r="AA9" i="39"/>
  <c r="R46" i="39"/>
  <c r="F17" i="39"/>
  <c r="AA17" i="39"/>
  <c r="F19" i="39"/>
  <c r="AA19" i="39"/>
  <c r="F21" i="39"/>
  <c r="AA21" i="39" s="1"/>
  <c r="F23" i="39"/>
  <c r="AA23" i="39"/>
  <c r="D101" i="39"/>
  <c r="E101" i="39"/>
  <c r="F27" i="39"/>
  <c r="AA27" i="39"/>
  <c r="F29" i="39"/>
  <c r="AA29" i="39"/>
  <c r="F31" i="39"/>
  <c r="AA31" i="39"/>
  <c r="H32" i="39"/>
  <c r="AB32" i="39"/>
  <c r="E89" i="39"/>
  <c r="H15" i="39"/>
  <c r="AB15" i="39"/>
  <c r="F71" i="39"/>
  <c r="G71" i="39"/>
  <c r="H7" i="39"/>
  <c r="AB7" i="39"/>
  <c r="H9" i="39"/>
  <c r="AB9" i="39"/>
  <c r="T46" i="39"/>
  <c r="H17" i="39"/>
  <c r="AB17" i="39"/>
  <c r="H19" i="39"/>
  <c r="AB19" i="39"/>
  <c r="H21" i="39"/>
  <c r="AB21" i="39" s="1"/>
  <c r="H23" i="39"/>
  <c r="AB23" i="39"/>
  <c r="H27" i="39"/>
  <c r="AB27" i="39"/>
  <c r="H29" i="39"/>
  <c r="AB29" i="39"/>
  <c r="H31" i="39"/>
  <c r="AB31" i="39"/>
  <c r="J32" i="39"/>
  <c r="AC32" i="39"/>
  <c r="J15" i="39"/>
  <c r="AC15" i="39"/>
  <c r="J7" i="39"/>
  <c r="AC7" i="39"/>
  <c r="J9" i="39"/>
  <c r="AC9" i="39"/>
  <c r="V46" i="39"/>
  <c r="J17" i="39"/>
  <c r="AC17" i="39"/>
  <c r="J19" i="39"/>
  <c r="AC19" i="39"/>
  <c r="J21" i="39"/>
  <c r="AC21" i="39" s="1"/>
  <c r="J23" i="39"/>
  <c r="AC23" i="39"/>
  <c r="J27" i="39"/>
  <c r="AC27" i="39"/>
  <c r="J29" i="39"/>
  <c r="AC29" i="39"/>
  <c r="J31" i="39"/>
  <c r="AC31" i="39"/>
  <c r="F25" i="86"/>
  <c r="AA25" i="86" s="1"/>
  <c r="D107" i="86"/>
  <c r="E107" i="86"/>
  <c r="F107" i="86"/>
  <c r="F32" i="86"/>
  <c r="AA32" i="86"/>
  <c r="D93" i="86"/>
  <c r="F19" i="86"/>
  <c r="AA19" i="86"/>
  <c r="D81" i="86"/>
  <c r="E81" i="86"/>
  <c r="F81" i="86"/>
  <c r="G81" i="86"/>
  <c r="R46" i="86"/>
  <c r="D71" i="86"/>
  <c r="E71" i="86"/>
  <c r="F71" i="86"/>
  <c r="F7" i="86"/>
  <c r="AA7" i="86"/>
  <c r="F9" i="86"/>
  <c r="AA9" i="86"/>
  <c r="F17" i="86"/>
  <c r="AA17" i="86"/>
  <c r="F21" i="86"/>
  <c r="AA21" i="86" s="1"/>
  <c r="F15" i="86"/>
  <c r="AA15" i="86"/>
  <c r="H25" i="86"/>
  <c r="AB25" i="86" s="1"/>
  <c r="H32" i="86"/>
  <c r="AB32" i="86"/>
  <c r="E93" i="86"/>
  <c r="H19" i="86"/>
  <c r="AB19" i="86"/>
  <c r="T46" i="86"/>
  <c r="G71" i="86"/>
  <c r="H7" i="86"/>
  <c r="AB7" i="86"/>
  <c r="H9" i="86"/>
  <c r="AB9" i="86"/>
  <c r="H15" i="86"/>
  <c r="AB15" i="86"/>
  <c r="H17" i="86"/>
  <c r="AB17" i="86"/>
  <c r="H21" i="86"/>
  <c r="AB21" i="86" s="1"/>
  <c r="H23" i="86"/>
  <c r="AB23" i="86"/>
  <c r="H27" i="86"/>
  <c r="AB27" i="86" s="1"/>
  <c r="H29" i="86"/>
  <c r="AB29" i="86"/>
  <c r="H31" i="86"/>
  <c r="AB31" i="86"/>
  <c r="J25" i="86"/>
  <c r="AC25" i="86" s="1"/>
  <c r="J32" i="86"/>
  <c r="AC32" i="86"/>
  <c r="J19" i="86"/>
  <c r="AC19" i="86"/>
  <c r="V46" i="86"/>
  <c r="H71" i="86"/>
  <c r="J7" i="86"/>
  <c r="AC7" i="86"/>
  <c r="J9" i="86"/>
  <c r="AC9" i="86"/>
  <c r="J15" i="86"/>
  <c r="AC15" i="86"/>
  <c r="J17" i="86"/>
  <c r="AC17" i="86"/>
  <c r="J21" i="86"/>
  <c r="AC21" i="86" s="1"/>
  <c r="J27" i="86"/>
  <c r="AC27" i="86"/>
  <c r="J29" i="86"/>
  <c r="AC29" i="86"/>
  <c r="B131" i="86"/>
  <c r="B129" i="86"/>
  <c r="B127" i="86"/>
  <c r="D126" i="86"/>
  <c r="E126" i="86"/>
  <c r="F126" i="86"/>
  <c r="G126" i="86"/>
  <c r="H126" i="86"/>
  <c r="I126" i="86"/>
  <c r="J126" i="86"/>
  <c r="K126" i="86"/>
  <c r="L126" i="86"/>
  <c r="M126" i="86"/>
  <c r="D124" i="86"/>
  <c r="E124" i="86"/>
  <c r="F124" i="86"/>
  <c r="G124" i="86"/>
  <c r="H124" i="86"/>
  <c r="I124" i="86"/>
  <c r="J124" i="86"/>
  <c r="K124" i="86"/>
  <c r="L124" i="86"/>
  <c r="M124" i="86"/>
  <c r="D122" i="86"/>
  <c r="E122" i="86"/>
  <c r="F122" i="86"/>
  <c r="G122" i="86"/>
  <c r="H122" i="86"/>
  <c r="I122" i="86"/>
  <c r="J122" i="86"/>
  <c r="K122" i="86"/>
  <c r="L122" i="86"/>
  <c r="M122" i="86"/>
  <c r="D120" i="86"/>
  <c r="E120" i="86"/>
  <c r="F120" i="86"/>
  <c r="G120" i="86"/>
  <c r="H120" i="86"/>
  <c r="I120" i="86"/>
  <c r="J120" i="86"/>
  <c r="K120" i="86"/>
  <c r="L120" i="86"/>
  <c r="M120" i="86"/>
  <c r="M116" i="86"/>
  <c r="L116" i="86"/>
  <c r="K116" i="86"/>
  <c r="J116" i="86"/>
  <c r="I116" i="86"/>
  <c r="H116" i="86"/>
  <c r="G116" i="86"/>
  <c r="F116" i="86"/>
  <c r="E116" i="86"/>
  <c r="D116" i="86"/>
  <c r="C116" i="86"/>
  <c r="B114" i="86"/>
  <c r="B112" i="86"/>
  <c r="B110" i="86"/>
  <c r="D109" i="86"/>
  <c r="E109" i="86"/>
  <c r="F109" i="86"/>
  <c r="G109" i="86"/>
  <c r="H109" i="86"/>
  <c r="I109" i="86"/>
  <c r="J109" i="86"/>
  <c r="K109" i="86"/>
  <c r="L109" i="86"/>
  <c r="M109" i="86"/>
  <c r="G107" i="86"/>
  <c r="H107" i="86"/>
  <c r="I107" i="86"/>
  <c r="J107" i="86"/>
  <c r="K107" i="86"/>
  <c r="L107" i="86"/>
  <c r="M107" i="86"/>
  <c r="D105" i="86"/>
  <c r="E105" i="86"/>
  <c r="F105" i="86"/>
  <c r="G105" i="86"/>
  <c r="H105" i="86"/>
  <c r="I105" i="86"/>
  <c r="J105" i="86"/>
  <c r="K105" i="86"/>
  <c r="L105" i="86"/>
  <c r="M105" i="86"/>
  <c r="B104" i="86"/>
  <c r="D103" i="86"/>
  <c r="E103" i="86"/>
  <c r="F103" i="86"/>
  <c r="G103" i="86"/>
  <c r="D101" i="86"/>
  <c r="E101" i="86"/>
  <c r="F101" i="86"/>
  <c r="G101" i="86"/>
  <c r="D99" i="86"/>
  <c r="E99" i="86"/>
  <c r="F99" i="86"/>
  <c r="G99" i="86"/>
  <c r="D97" i="86"/>
  <c r="E97" i="86"/>
  <c r="F97" i="86"/>
  <c r="G97" i="86"/>
  <c r="D95" i="86"/>
  <c r="E95" i="86"/>
  <c r="F95" i="86"/>
  <c r="G95" i="86"/>
  <c r="F93" i="86"/>
  <c r="G93" i="86"/>
  <c r="D91" i="86"/>
  <c r="E91" i="86"/>
  <c r="F91" i="86"/>
  <c r="G91" i="86"/>
  <c r="D89" i="86"/>
  <c r="E89" i="86"/>
  <c r="F89" i="86"/>
  <c r="G89" i="86"/>
  <c r="B86" i="86"/>
  <c r="B84" i="86"/>
  <c r="B82" i="86"/>
  <c r="H81" i="86"/>
  <c r="I81" i="86"/>
  <c r="J81" i="86"/>
  <c r="K81" i="86"/>
  <c r="L81" i="86"/>
  <c r="M81" i="86"/>
  <c r="M79" i="86"/>
  <c r="L79" i="86"/>
  <c r="K79" i="86"/>
  <c r="J79" i="86"/>
  <c r="I79" i="86"/>
  <c r="H79" i="86"/>
  <c r="G79" i="86"/>
  <c r="F79" i="86"/>
  <c r="E79" i="86"/>
  <c r="D79" i="86"/>
  <c r="C79" i="86"/>
  <c r="I71" i="86"/>
  <c r="J71" i="86"/>
  <c r="K71" i="86"/>
  <c r="L71" i="86"/>
  <c r="M71" i="86"/>
  <c r="N71" i="86"/>
  <c r="O71" i="86"/>
  <c r="B71" i="86"/>
  <c r="C7" i="86"/>
  <c r="C68" i="86"/>
  <c r="D68" i="86"/>
  <c r="E68" i="86"/>
  <c r="F68" i="86"/>
  <c r="G68" i="86"/>
  <c r="H68" i="86"/>
  <c r="I68" i="86"/>
  <c r="J68" i="86"/>
  <c r="K68" i="86"/>
  <c r="L68" i="86"/>
  <c r="M68" i="86"/>
  <c r="N68" i="86"/>
  <c r="O68" i="86"/>
  <c r="O70" i="86"/>
  <c r="N70" i="86"/>
  <c r="M70" i="86"/>
  <c r="L70" i="86"/>
  <c r="K70" i="86"/>
  <c r="J70" i="86"/>
  <c r="I70" i="86"/>
  <c r="H70" i="86"/>
  <c r="G70" i="86"/>
  <c r="F70" i="86"/>
  <c r="E70" i="86"/>
  <c r="D70" i="86"/>
  <c r="C70" i="86"/>
  <c r="F8" i="86"/>
  <c r="AA8" i="86"/>
  <c r="F12" i="86"/>
  <c r="AA12" i="86"/>
  <c r="F13" i="86"/>
  <c r="AA13" i="86"/>
  <c r="F14" i="86"/>
  <c r="AA14" i="86"/>
  <c r="F23" i="86"/>
  <c r="AA23" i="86"/>
  <c r="F27" i="86"/>
  <c r="AA27" i="86"/>
  <c r="F29" i="86"/>
  <c r="AA29" i="86"/>
  <c r="F31" i="86"/>
  <c r="AA31" i="86"/>
  <c r="F34" i="86"/>
  <c r="AA34" i="86"/>
  <c r="F35" i="86"/>
  <c r="AA35" i="86"/>
  <c r="F36" i="86"/>
  <c r="AA36" i="86"/>
  <c r="F37" i="86"/>
  <c r="AA37" i="86"/>
  <c r="F39" i="86"/>
  <c r="AA39" i="86"/>
  <c r="F40" i="86"/>
  <c r="AA40" i="86"/>
  <c r="F41" i="86"/>
  <c r="AA41" i="86"/>
  <c r="F42" i="86"/>
  <c r="AA42" i="86"/>
  <c r="F43" i="86"/>
  <c r="AA43" i="86"/>
  <c r="F44" i="86"/>
  <c r="AA44" i="86"/>
  <c r="F45" i="86"/>
  <c r="AA45" i="86"/>
  <c r="H8" i="86"/>
  <c r="AB8" i="86"/>
  <c r="H12" i="86"/>
  <c r="AB12" i="86"/>
  <c r="H13" i="86"/>
  <c r="AB13" i="86"/>
  <c r="H14" i="86"/>
  <c r="AB14" i="86"/>
  <c r="H34" i="86"/>
  <c r="AB34" i="86"/>
  <c r="H35" i="86"/>
  <c r="AB35" i="86"/>
  <c r="H36" i="86"/>
  <c r="AB36" i="86"/>
  <c r="H37" i="86"/>
  <c r="AB37" i="86"/>
  <c r="H39" i="86"/>
  <c r="AB39" i="86"/>
  <c r="H40" i="86"/>
  <c r="AB40" i="86"/>
  <c r="H41" i="86"/>
  <c r="AB41" i="86"/>
  <c r="H42" i="86"/>
  <c r="AB42" i="86"/>
  <c r="H43" i="86"/>
  <c r="AB43" i="86"/>
  <c r="H44" i="86"/>
  <c r="AB44" i="86"/>
  <c r="H45" i="86"/>
  <c r="AB45" i="86"/>
  <c r="J8" i="86"/>
  <c r="AC8" i="86"/>
  <c r="J12" i="86"/>
  <c r="AC12" i="86"/>
  <c r="J13" i="86"/>
  <c r="AC13" i="86"/>
  <c r="J14" i="86"/>
  <c r="AC14" i="86"/>
  <c r="J23" i="86"/>
  <c r="AC23" i="86"/>
  <c r="J31" i="86"/>
  <c r="AC31" i="86"/>
  <c r="J34" i="86"/>
  <c r="AC34" i="86"/>
  <c r="J35" i="86"/>
  <c r="AC35" i="86"/>
  <c r="J36" i="86"/>
  <c r="AC36" i="86"/>
  <c r="J37" i="86"/>
  <c r="AC37" i="86"/>
  <c r="J39" i="86"/>
  <c r="AC39" i="86"/>
  <c r="J40" i="86"/>
  <c r="AC40" i="86"/>
  <c r="J41" i="86"/>
  <c r="AC41" i="86"/>
  <c r="J42" i="86"/>
  <c r="AC42" i="86"/>
  <c r="J43" i="86"/>
  <c r="AC43" i="86"/>
  <c r="J44" i="86"/>
  <c r="AC44" i="86"/>
  <c r="J45" i="86"/>
  <c r="AC45" i="86"/>
  <c r="E56" i="86"/>
  <c r="H57" i="86"/>
  <c r="I57" i="86"/>
  <c r="C57" i="86"/>
  <c r="H58" i="86"/>
  <c r="I58" i="86"/>
  <c r="C58" i="86"/>
  <c r="H59" i="86"/>
  <c r="I59" i="86"/>
  <c r="C59" i="86"/>
  <c r="H60" i="86"/>
  <c r="I60" i="86"/>
  <c r="C60" i="86"/>
  <c r="H61" i="86"/>
  <c r="I61" i="86"/>
  <c r="C61" i="86"/>
  <c r="BC5" i="3"/>
  <c r="BG5" i="3"/>
  <c r="BH5" i="3"/>
  <c r="BI5" i="3"/>
  <c r="BJ5" i="3"/>
  <c r="BK5" i="3"/>
  <c r="H62" i="86"/>
  <c r="I62" i="86"/>
  <c r="C62" i="86"/>
  <c r="E12" i="6"/>
  <c r="E62" i="86"/>
  <c r="H63" i="86"/>
  <c r="I63" i="86"/>
  <c r="C63" i="86"/>
  <c r="E13" i="6"/>
  <c r="E63" i="86"/>
  <c r="H64" i="86"/>
  <c r="I64" i="86"/>
  <c r="C64" i="86"/>
  <c r="E14" i="6"/>
  <c r="E64" i="86"/>
  <c r="H65" i="86"/>
  <c r="I65" i="86"/>
  <c r="C65" i="86"/>
  <c r="E15" i="6"/>
  <c r="E65" i="86"/>
  <c r="F35" i="4"/>
  <c r="J55" i="86"/>
  <c r="I53" i="86"/>
  <c r="J53" i="86"/>
  <c r="G53" i="86"/>
  <c r="H53" i="86"/>
  <c r="E53" i="86"/>
  <c r="F53" i="86"/>
  <c r="P48" i="86"/>
  <c r="P47" i="86"/>
  <c r="P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Q37" i="86"/>
  <c r="Z37" i="86"/>
  <c r="W37" i="86"/>
  <c r="U37" i="86"/>
  <c r="S37" i="86"/>
  <c r="Q36" i="86"/>
  <c r="Z36" i="86"/>
  <c r="W36" i="86"/>
  <c r="U36" i="86"/>
  <c r="S36" i="86"/>
  <c r="Q35" i="86"/>
  <c r="Z35" i="86"/>
  <c r="W35" i="86"/>
  <c r="U35" i="86"/>
  <c r="S35" i="86"/>
  <c r="Q34" i="86"/>
  <c r="Z34" i="86"/>
  <c r="W34" i="86"/>
  <c r="U34" i="86"/>
  <c r="S34" i="86"/>
  <c r="Q32" i="86"/>
  <c r="Z32" i="86"/>
  <c r="W32" i="86"/>
  <c r="U32" i="86"/>
  <c r="S32" i="86"/>
  <c r="Q31" i="86"/>
  <c r="Z31" i="86"/>
  <c r="W31" i="86"/>
  <c r="U31" i="86"/>
  <c r="S31" i="86"/>
  <c r="Q29" i="86"/>
  <c r="Z29" i="86"/>
  <c r="W29" i="86"/>
  <c r="U29" i="86"/>
  <c r="S29" i="86"/>
  <c r="C22" i="20"/>
  <c r="C29" i="86"/>
  <c r="Q27" i="86"/>
  <c r="Z27" i="86"/>
  <c r="W27" i="86"/>
  <c r="S27" i="86"/>
  <c r="C21" i="20"/>
  <c r="C27" i="86"/>
  <c r="Q25" i="86"/>
  <c r="Z25" i="86"/>
  <c r="C20" i="20"/>
  <c r="C25" i="86"/>
  <c r="Q23" i="86"/>
  <c r="Z23" i="86"/>
  <c r="W23" i="86"/>
  <c r="U23" i="86"/>
  <c r="S23" i="86"/>
  <c r="C23" i="86"/>
  <c r="Q21" i="86"/>
  <c r="Z21" i="86"/>
  <c r="C18" i="20"/>
  <c r="C21" i="86"/>
  <c r="Q19" i="86"/>
  <c r="Z19" i="86"/>
  <c r="W19" i="86"/>
  <c r="U19" i="86"/>
  <c r="S19" i="86"/>
  <c r="C17" i="20"/>
  <c r="C19" i="86"/>
  <c r="Q17" i="86"/>
  <c r="Z17" i="86"/>
  <c r="W17" i="86"/>
  <c r="U17" i="86"/>
  <c r="S17" i="86"/>
  <c r="C16" i="20"/>
  <c r="C17" i="86"/>
  <c r="Q15" i="86"/>
  <c r="Z15" i="86"/>
  <c r="W15" i="86"/>
  <c r="U15" i="86"/>
  <c r="S15" i="86"/>
  <c r="C15" i="20"/>
  <c r="C15" i="86"/>
  <c r="Q14" i="86"/>
  <c r="Z14" i="86"/>
  <c r="W14" i="86"/>
  <c r="U14" i="86"/>
  <c r="S14" i="86"/>
  <c r="Q13" i="86"/>
  <c r="Z13" i="86"/>
  <c r="W13" i="86"/>
  <c r="U13" i="86"/>
  <c r="S13" i="86"/>
  <c r="Q12" i="86"/>
  <c r="Z12" i="86"/>
  <c r="W12" i="86"/>
  <c r="U12" i="86"/>
  <c r="S12" i="86"/>
  <c r="Q11" i="86"/>
  <c r="Z11" i="86"/>
  <c r="Q10" i="86"/>
  <c r="Z10" i="86"/>
  <c r="C10" i="86"/>
  <c r="Q9" i="86"/>
  <c r="Z9" i="86"/>
  <c r="W9" i="86"/>
  <c r="U9" i="86"/>
  <c r="S9" i="86"/>
  <c r="W8" i="86"/>
  <c r="U8" i="86"/>
  <c r="S8" i="86"/>
  <c r="W7" i="86"/>
  <c r="U7" i="86"/>
  <c r="S7" i="86"/>
  <c r="H8" i="39"/>
  <c r="AB8" i="39"/>
  <c r="H71" i="39"/>
  <c r="J8" i="39"/>
  <c r="AC8" i="39"/>
  <c r="C10" i="39"/>
  <c r="I71" i="39"/>
  <c r="J71" i="39"/>
  <c r="K71" i="39"/>
  <c r="L71" i="39"/>
  <c r="M71" i="39"/>
  <c r="N71" i="39"/>
  <c r="O71" i="39"/>
  <c r="K10" i="1"/>
  <c r="BA5" i="3"/>
  <c r="E27" i="6"/>
  <c r="L23" i="6"/>
  <c r="M10" i="1"/>
  <c r="F21" i="82"/>
  <c r="F10" i="1"/>
  <c r="B24" i="1"/>
  <c r="F7" i="21"/>
  <c r="AA7" i="21"/>
  <c r="F8" i="21"/>
  <c r="AA8" i="21"/>
  <c r="C63" i="21"/>
  <c r="F9" i="21"/>
  <c r="AA9" i="21"/>
  <c r="R47" i="21"/>
  <c r="F42" i="21"/>
  <c r="AA42" i="21"/>
  <c r="D69" i="21"/>
  <c r="E69" i="21" s="1"/>
  <c r="F69" i="21" s="1"/>
  <c r="G69" i="21" s="1"/>
  <c r="H69" i="21" s="1"/>
  <c r="I69" i="21" s="1"/>
  <c r="J69" i="21" s="1"/>
  <c r="K69" i="21" s="1"/>
  <c r="L69" i="21" s="1"/>
  <c r="M69" i="21" s="1"/>
  <c r="D85" i="21"/>
  <c r="E85" i="21" s="1"/>
  <c r="F85" i="21" s="1"/>
  <c r="G85" i="21" s="1"/>
  <c r="F23" i="21"/>
  <c r="AA23" i="21" s="1"/>
  <c r="F15" i="21"/>
  <c r="AA15" i="21"/>
  <c r="F17" i="21"/>
  <c r="AA17" i="21" s="1"/>
  <c r="D81" i="21"/>
  <c r="F19" i="21"/>
  <c r="AA19" i="21"/>
  <c r="D83" i="21"/>
  <c r="F21" i="21"/>
  <c r="AA21" i="21"/>
  <c r="T47" i="21"/>
  <c r="H7" i="21"/>
  <c r="AB7" i="21"/>
  <c r="H8" i="21"/>
  <c r="AB8" i="21"/>
  <c r="H9" i="21"/>
  <c r="AB9" i="21"/>
  <c r="H23" i="21"/>
  <c r="AB23" i="21" s="1"/>
  <c r="H15" i="21"/>
  <c r="AB15" i="21"/>
  <c r="H17" i="21"/>
  <c r="AB17" i="21" s="1"/>
  <c r="H19" i="21"/>
  <c r="AB19" i="21"/>
  <c r="H21" i="21"/>
  <c r="AB21" i="21"/>
  <c r="H42" i="21"/>
  <c r="AB42" i="21"/>
  <c r="J7" i="21"/>
  <c r="AC7" i="21"/>
  <c r="J8" i="21"/>
  <c r="AC8" i="21"/>
  <c r="J9" i="21"/>
  <c r="AC9" i="21"/>
  <c r="J15" i="21"/>
  <c r="AC15" i="21"/>
  <c r="V47" i="21"/>
  <c r="J17" i="21"/>
  <c r="AC17" i="21" s="1"/>
  <c r="J19" i="21"/>
  <c r="AC19" i="21"/>
  <c r="J21" i="21"/>
  <c r="AC21" i="21"/>
  <c r="J23" i="21"/>
  <c r="AC23" i="21" s="1"/>
  <c r="J34" i="21"/>
  <c r="AC34" i="21"/>
  <c r="J35" i="21"/>
  <c r="AC35" i="21"/>
  <c r="J36" i="21"/>
  <c r="AC36" i="21"/>
  <c r="J37" i="21"/>
  <c r="AC37" i="21"/>
  <c r="J38" i="21"/>
  <c r="AC38" i="21"/>
  <c r="J39" i="21"/>
  <c r="AC39" i="21"/>
  <c r="J40" i="21"/>
  <c r="AC40" i="21"/>
  <c r="J41" i="21"/>
  <c r="AC41" i="21"/>
  <c r="J42" i="21"/>
  <c r="AC42" i="21"/>
  <c r="J43" i="21"/>
  <c r="AC43" i="21"/>
  <c r="D3" i="83"/>
  <c r="R48" i="83"/>
  <c r="R49" i="83"/>
  <c r="C49" i="83"/>
  <c r="B2" i="83"/>
  <c r="B3" i="83"/>
  <c r="K7" i="1"/>
  <c r="L20" i="6"/>
  <c r="M7" i="1"/>
  <c r="F21" i="81"/>
  <c r="F7" i="1"/>
  <c r="K6" i="1"/>
  <c r="L19" i="6"/>
  <c r="M6" i="1"/>
  <c r="F21" i="15"/>
  <c r="F6" i="1"/>
  <c r="J140" i="83"/>
  <c r="C145" i="83"/>
  <c r="K139" i="83"/>
  <c r="K145" i="83"/>
  <c r="K144" i="83"/>
  <c r="K143" i="83"/>
  <c r="J142" i="83"/>
  <c r="K141" i="83"/>
  <c r="B130" i="83"/>
  <c r="B128" i="83"/>
  <c r="B126"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D113" i="83"/>
  <c r="E113" i="83"/>
  <c r="F113" i="83"/>
  <c r="G113"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B94" i="83"/>
  <c r="B92"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E81" i="83"/>
  <c r="F81" i="83"/>
  <c r="G81" i="83"/>
  <c r="D79" i="83"/>
  <c r="E79" i="83"/>
  <c r="F79" i="83"/>
  <c r="G79" i="83"/>
  <c r="D77" i="83"/>
  <c r="E77" i="83"/>
  <c r="F77" i="83"/>
  <c r="G77" i="83"/>
  <c r="B74" i="83"/>
  <c r="B72" i="83"/>
  <c r="B70" i="83"/>
  <c r="D69" i="83"/>
  <c r="E69" i="83"/>
  <c r="F69" i="83"/>
  <c r="G69" i="83"/>
  <c r="H69" i="83"/>
  <c r="I69" i="83"/>
  <c r="J69" i="83"/>
  <c r="K69" i="83"/>
  <c r="L69" i="83"/>
  <c r="M69" i="83"/>
  <c r="M67" i="83"/>
  <c r="L67" i="83"/>
  <c r="K67" i="83"/>
  <c r="J67" i="83"/>
  <c r="I67" i="83"/>
  <c r="H67" i="83"/>
  <c r="G67" i="83"/>
  <c r="F67" i="83"/>
  <c r="E67" i="83"/>
  <c r="D67" i="83"/>
  <c r="C67" i="83"/>
  <c r="D66" i="83"/>
  <c r="E66" i="83"/>
  <c r="F66" i="83"/>
  <c r="G66" i="83"/>
  <c r="H66" i="83"/>
  <c r="I66" i="83"/>
  <c r="C63" i="83"/>
  <c r="C7" i="83"/>
  <c r="C58" i="83"/>
  <c r="D58" i="83"/>
  <c r="E58" i="83"/>
  <c r="F58" i="83"/>
  <c r="G58" i="83"/>
  <c r="H58" i="83"/>
  <c r="I58" i="83"/>
  <c r="J58" i="83"/>
  <c r="K58" i="83"/>
  <c r="L58" i="83"/>
  <c r="M58" i="83"/>
  <c r="N58" i="83"/>
  <c r="O58" i="83"/>
  <c r="I54" i="83"/>
  <c r="J54" i="83"/>
  <c r="G54" i="83"/>
  <c r="H54" i="83"/>
  <c r="E54" i="83"/>
  <c r="F54" i="83"/>
  <c r="V47" i="83"/>
  <c r="J7" i="83"/>
  <c r="AC7" i="83"/>
  <c r="V48" i="83"/>
  <c r="I48" i="83"/>
  <c r="R47" i="83"/>
  <c r="F7" i="83"/>
  <c r="AA7" i="83"/>
  <c r="E48" i="83"/>
  <c r="I53" i="83"/>
  <c r="J53" i="83"/>
  <c r="T47" i="83"/>
  <c r="H7" i="83"/>
  <c r="AB7" i="83"/>
  <c r="T48" i="83"/>
  <c r="G48" i="83"/>
  <c r="G53" i="83"/>
  <c r="H53" i="83"/>
  <c r="E53" i="83"/>
  <c r="F53" i="83"/>
  <c r="I52" i="83"/>
  <c r="J52" i="83"/>
  <c r="G52" i="83"/>
  <c r="H52" i="83"/>
  <c r="E52" i="83"/>
  <c r="F52" i="83"/>
  <c r="P49" i="83"/>
  <c r="P48" i="83"/>
  <c r="C48" i="83"/>
  <c r="P47" i="83"/>
  <c r="J46" i="83"/>
  <c r="AC46" i="83"/>
  <c r="H46" i="83"/>
  <c r="AB46" i="83"/>
  <c r="F46" i="83"/>
  <c r="AA46" i="83"/>
  <c r="Q46" i="83"/>
  <c r="Z46" i="83"/>
  <c r="W46" i="83"/>
  <c r="U46" i="83"/>
  <c r="S46" i="83"/>
  <c r="J45" i="83"/>
  <c r="AC45" i="83"/>
  <c r="H45" i="83"/>
  <c r="AB45" i="83"/>
  <c r="F45" i="83"/>
  <c r="AA45" i="83"/>
  <c r="Q45" i="83"/>
  <c r="Z45" i="83"/>
  <c r="W45" i="83"/>
  <c r="U45" i="83"/>
  <c r="S45" i="83"/>
  <c r="J44" i="83"/>
  <c r="AC44" i="83"/>
  <c r="H44" i="83"/>
  <c r="AB44" i="83"/>
  <c r="F44" i="83"/>
  <c r="AA44" i="83"/>
  <c r="Q44" i="83"/>
  <c r="Z44" i="83"/>
  <c r="W44" i="83"/>
  <c r="U44" i="83"/>
  <c r="S44" i="83"/>
  <c r="J43" i="83"/>
  <c r="AC43" i="83"/>
  <c r="H43" i="83"/>
  <c r="AB43" i="83"/>
  <c r="F43" i="83"/>
  <c r="AA43" i="83"/>
  <c r="Q43" i="83"/>
  <c r="Z43" i="83"/>
  <c r="W43" i="83"/>
  <c r="U43" i="83"/>
  <c r="S43" i="83"/>
  <c r="J42" i="83"/>
  <c r="AC42" i="83"/>
  <c r="H42" i="83"/>
  <c r="AB42" i="83"/>
  <c r="F42" i="83"/>
  <c r="AA42" i="83"/>
  <c r="Q42" i="83"/>
  <c r="Z42" i="83"/>
  <c r="W42" i="83"/>
  <c r="U42" i="83"/>
  <c r="S42" i="83"/>
  <c r="J41" i="83"/>
  <c r="AC41" i="83"/>
  <c r="H41" i="83"/>
  <c r="AB41" i="83"/>
  <c r="F41" i="83"/>
  <c r="AA41" i="83"/>
  <c r="Q41" i="83"/>
  <c r="Z41" i="83"/>
  <c r="W41" i="83"/>
  <c r="U41" i="83"/>
  <c r="S41" i="83"/>
  <c r="J40" i="83"/>
  <c r="AC40" i="83"/>
  <c r="H40" i="83"/>
  <c r="AB40" i="83"/>
  <c r="F40" i="83"/>
  <c r="AA40" i="83"/>
  <c r="Q40" i="83"/>
  <c r="Z40" i="83"/>
  <c r="W40" i="83"/>
  <c r="U40" i="83"/>
  <c r="S40" i="83"/>
  <c r="J39" i="83"/>
  <c r="AC39" i="83"/>
  <c r="H39" i="83"/>
  <c r="AB39" i="83"/>
  <c r="F39" i="83"/>
  <c r="AA39" i="83"/>
  <c r="Q39" i="83"/>
  <c r="Z39" i="83"/>
  <c r="W39" i="83"/>
  <c r="U39" i="83"/>
  <c r="S39" i="83"/>
  <c r="J38" i="83"/>
  <c r="AC38" i="83"/>
  <c r="H38" i="83"/>
  <c r="AB38" i="83"/>
  <c r="F38" i="83"/>
  <c r="AA38" i="83"/>
  <c r="Q38" i="83"/>
  <c r="Z38" i="83"/>
  <c r="W38" i="83"/>
  <c r="U38" i="83"/>
  <c r="S38" i="83"/>
  <c r="J37" i="83"/>
  <c r="AC37" i="83"/>
  <c r="H37" i="83"/>
  <c r="AB37" i="83"/>
  <c r="F37" i="83"/>
  <c r="AA37" i="83"/>
  <c r="Q37" i="83"/>
  <c r="Z37" i="83"/>
  <c r="W37" i="83"/>
  <c r="U37" i="83"/>
  <c r="S37" i="83"/>
  <c r="J36" i="83"/>
  <c r="AC36" i="83"/>
  <c r="H36" i="83"/>
  <c r="AB36" i="83"/>
  <c r="F36" i="83"/>
  <c r="AA36" i="83"/>
  <c r="Q36" i="83"/>
  <c r="Z36" i="83"/>
  <c r="W36" i="83"/>
  <c r="U36" i="83"/>
  <c r="S36" i="83"/>
  <c r="J35" i="83"/>
  <c r="AC35" i="83"/>
  <c r="H35" i="83"/>
  <c r="AB35" i="83"/>
  <c r="F35" i="83"/>
  <c r="AA35" i="83"/>
  <c r="Q35" i="83"/>
  <c r="Z35" i="83"/>
  <c r="W35" i="83"/>
  <c r="U35" i="83"/>
  <c r="S35" i="83"/>
  <c r="J34" i="83"/>
  <c r="AC34" i="83"/>
  <c r="H34" i="83"/>
  <c r="AB34" i="83"/>
  <c r="F34" i="83"/>
  <c r="AA34" i="83"/>
  <c r="Q34" i="83"/>
  <c r="Z34" i="83"/>
  <c r="W34" i="83"/>
  <c r="U34" i="83"/>
  <c r="S34" i="83"/>
  <c r="J33" i="83"/>
  <c r="AC33" i="83"/>
  <c r="H33" i="83"/>
  <c r="AB33" i="83"/>
  <c r="F33" i="83"/>
  <c r="AA33" i="83"/>
  <c r="Q33" i="83"/>
  <c r="Z33" i="83"/>
  <c r="W33" i="83"/>
  <c r="U33" i="83"/>
  <c r="S33" i="83"/>
  <c r="J32" i="83"/>
  <c r="AC32" i="83"/>
  <c r="H32" i="83"/>
  <c r="AB32" i="83"/>
  <c r="F32" i="83"/>
  <c r="AA32" i="83"/>
  <c r="Q32" i="83"/>
  <c r="Z32" i="83"/>
  <c r="W32" i="83"/>
  <c r="U32" i="83"/>
  <c r="S32" i="83"/>
  <c r="J31" i="83"/>
  <c r="AC31" i="83"/>
  <c r="H31" i="83"/>
  <c r="AB31" i="83"/>
  <c r="F31" i="83"/>
  <c r="AA31" i="83"/>
  <c r="Q31" i="83"/>
  <c r="Z31" i="83"/>
  <c r="W31" i="83"/>
  <c r="U31" i="83"/>
  <c r="S31" i="83"/>
  <c r="J30" i="83"/>
  <c r="AC30" i="83"/>
  <c r="H30" i="83"/>
  <c r="AB30" i="83"/>
  <c r="F30" i="83"/>
  <c r="AA30" i="83"/>
  <c r="Q30" i="83"/>
  <c r="Z30" i="83"/>
  <c r="W30" i="83"/>
  <c r="U30" i="83"/>
  <c r="S30" i="83"/>
  <c r="J29" i="83"/>
  <c r="AC29" i="83"/>
  <c r="H29" i="83"/>
  <c r="AB29" i="83"/>
  <c r="F29" i="83"/>
  <c r="AA29" i="83"/>
  <c r="Q29" i="83"/>
  <c r="Z29" i="83"/>
  <c r="W29" i="83"/>
  <c r="U29" i="83"/>
  <c r="S29" i="83"/>
  <c r="J28" i="83"/>
  <c r="AC28" i="83"/>
  <c r="H28" i="83"/>
  <c r="AB28" i="83"/>
  <c r="F28" i="83"/>
  <c r="AA28" i="83"/>
  <c r="Q28" i="83"/>
  <c r="Z28" i="83"/>
  <c r="W28" i="83"/>
  <c r="U28" i="83"/>
  <c r="S28" i="83"/>
  <c r="J27" i="83"/>
  <c r="AC27" i="83"/>
  <c r="H27" i="83"/>
  <c r="AB27" i="83"/>
  <c r="F27" i="83"/>
  <c r="AA27" i="83"/>
  <c r="Q27" i="83"/>
  <c r="Z27" i="83"/>
  <c r="W27" i="83"/>
  <c r="U27" i="83"/>
  <c r="S27" i="83"/>
  <c r="J26" i="83"/>
  <c r="AC26" i="83"/>
  <c r="H26" i="83"/>
  <c r="AB26" i="83"/>
  <c r="F26" i="83"/>
  <c r="AA26" i="83"/>
  <c r="Q26" i="83"/>
  <c r="Z26" i="83"/>
  <c r="W26" i="83"/>
  <c r="U26" i="83"/>
  <c r="S26" i="83"/>
  <c r="J25" i="83"/>
  <c r="AC25" i="83"/>
  <c r="H25" i="83"/>
  <c r="AB25" i="83"/>
  <c r="F25" i="83"/>
  <c r="AA25" i="83"/>
  <c r="Q25" i="83"/>
  <c r="Z25" i="83"/>
  <c r="W25" i="83"/>
  <c r="U25" i="83"/>
  <c r="S25" i="83"/>
  <c r="J23" i="83"/>
  <c r="AC23" i="83"/>
  <c r="H23" i="83"/>
  <c r="AB23" i="83"/>
  <c r="F23" i="83"/>
  <c r="AA23" i="83"/>
  <c r="Q23" i="83"/>
  <c r="Z23" i="83"/>
  <c r="W23" i="83"/>
  <c r="U23" i="83"/>
  <c r="S23" i="83"/>
  <c r="C23" i="83"/>
  <c r="J21" i="83"/>
  <c r="AC21" i="83"/>
  <c r="H21" i="83"/>
  <c r="AB21" i="83"/>
  <c r="F21" i="83"/>
  <c r="AA21" i="83"/>
  <c r="Q21" i="83"/>
  <c r="Z21" i="83"/>
  <c r="W21" i="83"/>
  <c r="U21" i="83"/>
  <c r="S21" i="83"/>
  <c r="C21" i="83"/>
  <c r="J19" i="83"/>
  <c r="AC19" i="83"/>
  <c r="H19" i="83"/>
  <c r="AB19" i="83"/>
  <c r="F19" i="83"/>
  <c r="AA19" i="83"/>
  <c r="Q19" i="83"/>
  <c r="Z19" i="83"/>
  <c r="W19" i="83"/>
  <c r="U19" i="83"/>
  <c r="S19" i="83"/>
  <c r="C19" i="83"/>
  <c r="J17" i="83"/>
  <c r="AC17" i="83"/>
  <c r="H17" i="83"/>
  <c r="AB17" i="83"/>
  <c r="F17" i="83"/>
  <c r="AA17" i="83"/>
  <c r="Q17" i="83"/>
  <c r="Z17" i="83"/>
  <c r="W17" i="83"/>
  <c r="U17" i="83"/>
  <c r="S17" i="83"/>
  <c r="C17" i="83"/>
  <c r="J15" i="83"/>
  <c r="AC15" i="83"/>
  <c r="H15" i="83"/>
  <c r="AB15" i="83"/>
  <c r="F15" i="83"/>
  <c r="AA15" i="83"/>
  <c r="Q15" i="83"/>
  <c r="Z15" i="83"/>
  <c r="W15" i="83"/>
  <c r="U15" i="83"/>
  <c r="S15" i="83"/>
  <c r="C15" i="83"/>
  <c r="J14" i="83"/>
  <c r="AC14" i="83"/>
  <c r="H14" i="83"/>
  <c r="AB14" i="83"/>
  <c r="F14" i="83"/>
  <c r="AA14" i="83"/>
  <c r="Q14" i="83"/>
  <c r="Z14" i="83"/>
  <c r="W14" i="83"/>
  <c r="U14" i="83"/>
  <c r="S14" i="83"/>
  <c r="J13" i="83"/>
  <c r="AC13" i="83"/>
  <c r="H13" i="83"/>
  <c r="AB13" i="83"/>
  <c r="F13" i="83"/>
  <c r="AA13" i="83"/>
  <c r="Q13" i="83"/>
  <c r="Z13" i="83"/>
  <c r="W13" i="83"/>
  <c r="U13" i="83"/>
  <c r="S13" i="83"/>
  <c r="J12" i="83"/>
  <c r="AC12" i="83"/>
  <c r="H12" i="83"/>
  <c r="AB12" i="83"/>
  <c r="F12" i="83"/>
  <c r="AA12" i="83"/>
  <c r="Q12" i="83"/>
  <c r="Z12" i="83"/>
  <c r="W12" i="83"/>
  <c r="U12" i="83"/>
  <c r="S12" i="83"/>
  <c r="J11" i="83"/>
  <c r="AC11" i="83"/>
  <c r="H11" i="83"/>
  <c r="AB11" i="83"/>
  <c r="F11" i="83"/>
  <c r="AA11" i="83"/>
  <c r="Q11" i="83"/>
  <c r="Z11" i="83"/>
  <c r="W11" i="83"/>
  <c r="U11" i="83"/>
  <c r="S11" i="83"/>
  <c r="J10" i="83"/>
  <c r="AC10" i="83"/>
  <c r="H10" i="83"/>
  <c r="AB10" i="83"/>
  <c r="F10" i="83"/>
  <c r="AA10" i="83"/>
  <c r="Q10" i="83"/>
  <c r="Z10" i="83"/>
  <c r="W10" i="83"/>
  <c r="U10" i="83"/>
  <c r="S10" i="83"/>
  <c r="J9" i="83"/>
  <c r="AC9" i="83"/>
  <c r="H9" i="83"/>
  <c r="AB9" i="83"/>
  <c r="F9" i="83"/>
  <c r="AA9" i="83"/>
  <c r="Q9" i="83"/>
  <c r="Z9" i="83"/>
  <c r="W9" i="83"/>
  <c r="U9" i="83"/>
  <c r="S9" i="83"/>
  <c r="J8" i="83"/>
  <c r="AC8" i="83"/>
  <c r="H8" i="83"/>
  <c r="AB8" i="83"/>
  <c r="F8" i="83"/>
  <c r="AA8" i="83"/>
  <c r="W8" i="83"/>
  <c r="U8" i="83"/>
  <c r="S8" i="83"/>
  <c r="W7" i="83"/>
  <c r="U7" i="83"/>
  <c r="S7" i="83"/>
  <c r="G1" i="82"/>
  <c r="F15" i="82"/>
  <c r="F17" i="82"/>
  <c r="F18" i="82"/>
  <c r="F20" i="82"/>
  <c r="F23" i="82"/>
  <c r="F28" i="82"/>
  <c r="C28" i="82"/>
  <c r="F32" i="82"/>
  <c r="F33" i="82"/>
  <c r="F34" i="82"/>
  <c r="M47" i="82"/>
  <c r="J50" i="82"/>
  <c r="J51" i="82"/>
  <c r="D10" i="1"/>
  <c r="K59" i="82"/>
  <c r="P74" i="82"/>
  <c r="Q72" i="82"/>
  <c r="F60" i="82"/>
  <c r="F61" i="82"/>
  <c r="F62" i="82"/>
  <c r="P61" i="82"/>
  <c r="Q59" i="82"/>
  <c r="F59" i="82"/>
  <c r="Q58" i="82"/>
  <c r="Q51" i="82"/>
  <c r="D46" i="82"/>
  <c r="F31" i="82"/>
  <c r="M18" i="82"/>
  <c r="M19" i="82"/>
  <c r="M20" i="82"/>
  <c r="D24" i="82"/>
  <c r="D23" i="82"/>
  <c r="D22" i="82"/>
  <c r="M17" i="82"/>
  <c r="G1" i="81"/>
  <c r="F15" i="81"/>
  <c r="F17" i="81"/>
  <c r="F18" i="81"/>
  <c r="F20" i="81"/>
  <c r="F23" i="81"/>
  <c r="F28" i="81"/>
  <c r="C28" i="81"/>
  <c r="F32" i="81"/>
  <c r="F33" i="81"/>
  <c r="F34" i="81"/>
  <c r="R11" i="1"/>
  <c r="AE11" i="1"/>
  <c r="M47" i="81"/>
  <c r="J50" i="81"/>
  <c r="J51" i="81"/>
  <c r="D7" i="1"/>
  <c r="K59" i="81"/>
  <c r="P74" i="81"/>
  <c r="Q72" i="81"/>
  <c r="F60" i="81"/>
  <c r="F61" i="81"/>
  <c r="F62" i="81"/>
  <c r="P61" i="81"/>
  <c r="Q59" i="81"/>
  <c r="F59" i="81"/>
  <c r="Q58" i="81"/>
  <c r="Q51" i="81"/>
  <c r="D46" i="81"/>
  <c r="F31" i="81"/>
  <c r="M18" i="81"/>
  <c r="M19" i="81"/>
  <c r="M20" i="81"/>
  <c r="D24" i="81"/>
  <c r="D23" i="81"/>
  <c r="D22" i="81"/>
  <c r="M17" i="81"/>
  <c r="G23" i="6"/>
  <c r="F22" i="6"/>
  <c r="F21" i="6"/>
  <c r="G20" i="6"/>
  <c r="F19" i="6"/>
  <c r="AL14" i="3"/>
  <c r="AT14" i="3"/>
  <c r="S14" i="3"/>
  <c r="O14" i="3"/>
  <c r="M14" i="3"/>
  <c r="K14" i="3"/>
  <c r="I14" i="3"/>
  <c r="D7" i="79"/>
  <c r="F7" i="79"/>
  <c r="F8" i="79"/>
  <c r="F2" i="79"/>
  <c r="C7" i="79"/>
  <c r="E7" i="79"/>
  <c r="B7" i="79"/>
  <c r="D4" i="79"/>
  <c r="E2" i="79"/>
  <c r="D2" i="78"/>
  <c r="D9" i="78"/>
  <c r="E9" i="78"/>
  <c r="F9" i="78"/>
  <c r="F10" i="78"/>
  <c r="F2" i="78"/>
  <c r="C9" i="78"/>
  <c r="B9" i="78"/>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G1" i="15"/>
  <c r="C18" i="43"/>
  <c r="AD5" i="3"/>
  <c r="AH5" i="3"/>
  <c r="I4" i="6" s="1"/>
  <c r="G3" i="43" s="1"/>
  <c r="AL5" i="3"/>
  <c r="AP5" i="3"/>
  <c r="I5" i="3"/>
  <c r="M5" i="3"/>
  <c r="O5" i="3"/>
  <c r="Q5" i="3"/>
  <c r="F33" i="43"/>
  <c r="C33" i="43"/>
  <c r="G33" i="43"/>
  <c r="H33" i="43"/>
  <c r="I33" i="43"/>
  <c r="E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4" i="3"/>
  <c r="BC14" i="3"/>
  <c r="BD14" i="3"/>
  <c r="BE14" i="3"/>
  <c r="BF14" i="3"/>
  <c r="BG14" i="3"/>
  <c r="BH14" i="3"/>
  <c r="BI14" i="3"/>
  <c r="BJ14" i="3"/>
  <c r="BK14" i="3"/>
  <c r="BA14" i="3"/>
  <c r="BM14" i="3"/>
  <c r="BM5" i="3" s="1"/>
  <c r="BN14" i="3"/>
  <c r="BO14" i="3"/>
  <c r="BO5" i="3" s="1"/>
  <c r="BP14" i="3"/>
  <c r="BP5" i="3" s="1"/>
  <c r="BQ14" i="3"/>
  <c r="BR14" i="3"/>
  <c r="BR5" i="3" s="1"/>
  <c r="G28" i="6" s="1"/>
  <c r="E28" i="6" s="1"/>
  <c r="BS14" i="3"/>
  <c r="BT14" i="3"/>
  <c r="BL14" i="3"/>
  <c r="AZ14" i="3" s="1"/>
  <c r="AZ5" i="3" s="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s="1"/>
  <c r="G5" i="3" s="1"/>
  <c r="B3" i="3" s="1"/>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E22" i="6"/>
  <c r="K9" i="1"/>
  <c r="AP9" i="1" s="1"/>
  <c r="AP10" i="1"/>
  <c r="AP11" i="1"/>
  <c r="AP12" i="1"/>
  <c r="AP13" i="1"/>
  <c r="E32" i="6"/>
  <c r="L21" i="6"/>
  <c r="L24" i="6"/>
  <c r="L25" i="6"/>
  <c r="L26" i="6"/>
  <c r="P27" i="6"/>
  <c r="A7" i="70"/>
  <c r="A8" i="70"/>
  <c r="E8" i="70"/>
  <c r="A9" i="70"/>
  <c r="E9" i="70"/>
  <c r="A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D15" i="4"/>
  <c r="F9" i="1"/>
  <c r="F11" i="1"/>
  <c r="F12" i="1"/>
  <c r="F13" i="1"/>
  <c r="D6" i="1"/>
  <c r="D9" i="1"/>
  <c r="D11" i="1"/>
  <c r="D12" i="1"/>
  <c r="D13" i="1"/>
  <c r="D8" i="1"/>
  <c r="A7" i="1"/>
  <c r="A8" i="1"/>
  <c r="B8" i="1"/>
  <c r="E8" i="1"/>
  <c r="A9" i="1"/>
  <c r="A10" i="1"/>
  <c r="A11" i="1"/>
  <c r="A12" i="1"/>
  <c r="A13" i="1"/>
  <c r="A6" i="1"/>
  <c r="F3" i="35"/>
  <c r="B11" i="1"/>
  <c r="E11" i="1"/>
  <c r="B7" i="1"/>
  <c r="E7" i="1"/>
  <c r="E23" i="6"/>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B23" i="49" s="1"/>
  <c r="B40" i="48"/>
  <c r="B3" i="72"/>
  <c r="I2" i="43"/>
  <c r="N1" i="43"/>
  <c r="J55" i="39"/>
  <c r="H34" i="43"/>
  <c r="H35" i="43"/>
  <c r="H36" i="43"/>
  <c r="H37" i="43"/>
  <c r="H38" i="43"/>
  <c r="H39" i="43"/>
  <c r="A7" i="43"/>
  <c r="F33" i="15"/>
  <c r="F61" i="15"/>
  <c r="M19" i="15"/>
  <c r="O10" i="1"/>
  <c r="B22" i="1"/>
  <c r="B23" i="1"/>
  <c r="B43" i="1"/>
  <c r="D78" i="9"/>
  <c r="E19" i="6"/>
  <c r="E20" i="6"/>
  <c r="E21" i="6"/>
  <c r="K8" i="1"/>
  <c r="M8" i="1" s="1"/>
  <c r="F23" i="15"/>
  <c r="D24" i="15"/>
  <c r="M13" i="1"/>
  <c r="O13" i="1" s="1"/>
  <c r="P13" i="1" s="1"/>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H2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D82" i="34"/>
  <c r="E82" i="34"/>
  <c r="F82" i="34"/>
  <c r="G82" i="34"/>
  <c r="D80" i="34"/>
  <c r="E80" i="34"/>
  <c r="F80" i="34"/>
  <c r="G80" i="34"/>
  <c r="D78" i="34"/>
  <c r="E78" i="34"/>
  <c r="F78" i="34"/>
  <c r="G78" i="34"/>
  <c r="E70" i="34"/>
  <c r="M68" i="34"/>
  <c r="L68" i="34"/>
  <c r="K68" i="34"/>
  <c r="J68" i="34"/>
  <c r="I68" i="34"/>
  <c r="H68" i="34"/>
  <c r="G68" i="34"/>
  <c r="F68" i="34"/>
  <c r="E68" i="34"/>
  <c r="D68" i="34"/>
  <c r="C68" i="34"/>
  <c r="C64" i="34"/>
  <c r="P50" i="34"/>
  <c r="P49"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B77" i="43"/>
  <c r="B71" i="43"/>
  <c r="B59" i="43"/>
  <c r="C17" i="39"/>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6" i="21"/>
  <c r="E66" i="21" s="1"/>
  <c r="D111" i="21"/>
  <c r="E111" i="21"/>
  <c r="F111" i="21"/>
  <c r="C111" i="21"/>
  <c r="D79" i="21"/>
  <c r="E79" i="21"/>
  <c r="F79" i="21"/>
  <c r="G7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H40" i="21"/>
  <c r="AB40"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W40" i="21"/>
  <c r="H35" i="21"/>
  <c r="AB35" i="21"/>
  <c r="U8" i="21"/>
  <c r="H39" i="21"/>
  <c r="U39" i="21"/>
  <c r="W34" i="21"/>
  <c r="H36" i="21"/>
  <c r="U36" i="21"/>
  <c r="F35" i="21"/>
  <c r="AA35"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J23" i="40"/>
  <c r="AC23" i="40"/>
  <c r="F21" i="40"/>
  <c r="AA21" i="40"/>
  <c r="J21" i="40"/>
  <c r="W21" i="40"/>
  <c r="H42" i="39"/>
  <c r="AB42" i="39"/>
  <c r="J34" i="39"/>
  <c r="AC34" i="39"/>
  <c r="F109" i="39"/>
  <c r="G109" i="39"/>
  <c r="H109" i="39"/>
  <c r="I109" i="39"/>
  <c r="J109" i="39"/>
  <c r="K109" i="39"/>
  <c r="L109" i="39"/>
  <c r="M109" i="39"/>
  <c r="F101" i="39"/>
  <c r="U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F19"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J19" i="34"/>
  <c r="AC19" i="34"/>
  <c r="W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B16" i="53"/>
  <c r="B33" i="72"/>
  <c r="C7" i="37"/>
  <c r="C7" i="34"/>
  <c r="C7" i="36"/>
  <c r="W35" i="40"/>
  <c r="A118" i="9"/>
  <c r="A4" i="52"/>
  <c r="B41" i="72"/>
  <c r="A12" i="52"/>
  <c r="B56" i="72"/>
  <c r="G4" i="4"/>
  <c r="I4" i="4"/>
  <c r="K5" i="4"/>
  <c r="B47" i="48"/>
  <c r="A2" i="9"/>
  <c r="N2" i="43"/>
  <c r="F59" i="43"/>
  <c r="AC5" i="3"/>
  <c r="U36" i="40"/>
  <c r="N4" i="43"/>
  <c r="F81" i="43"/>
  <c r="H83" i="43"/>
  <c r="F48" i="43"/>
  <c r="H52" i="43"/>
  <c r="N7" i="43"/>
  <c r="F70" i="43"/>
  <c r="H73" i="43"/>
  <c r="M6" i="43"/>
  <c r="M11" i="43"/>
  <c r="E17" i="43"/>
  <c r="U17" i="39"/>
  <c r="S14" i="35"/>
  <c r="U43" i="21"/>
  <c r="U35" i="21"/>
  <c r="G8" i="1"/>
  <c r="G9" i="1"/>
  <c r="G10" i="1"/>
  <c r="F48" i="9"/>
  <c r="O52" i="9"/>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M9" i="1"/>
  <c r="O9" i="1" s="1"/>
  <c r="P9" i="1" s="1"/>
  <c r="AE9" i="1"/>
  <c r="D93" i="9"/>
  <c r="E60" i="40"/>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c r="D1" i="66"/>
  <c r="E10" i="66"/>
  <c r="K12" i="1"/>
  <c r="M12" i="1" s="1"/>
  <c r="S13" i="1"/>
  <c r="AR13" i="1" s="1"/>
  <c r="R13" i="1"/>
  <c r="S11" i="1"/>
  <c r="AQ11" i="1"/>
  <c r="K22" i="6"/>
  <c r="S9" i="1"/>
  <c r="AR9" i="1" s="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31"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U15" i="34"/>
  <c r="S10" i="34"/>
  <c r="S13" i="34"/>
  <c r="H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W15" i="21"/>
  <c r="F77" i="21"/>
  <c r="G77" i="21"/>
  <c r="S23" i="21"/>
  <c r="AA14" i="21"/>
  <c r="S8" i="21"/>
  <c r="M3" i="43"/>
  <c r="N10" i="43"/>
  <c r="M1" i="43"/>
  <c r="M8" i="43"/>
  <c r="N8" i="43"/>
  <c r="N9" i="43"/>
  <c r="F34" i="67"/>
  <c r="F62" i="67"/>
  <c r="M20" i="67"/>
  <c r="F34" i="15"/>
  <c r="F62" i="15"/>
  <c r="E10" i="6"/>
  <c r="E65" i="39"/>
  <c r="J56" i="9"/>
  <c r="J57" i="9"/>
  <c r="A24" i="51"/>
  <c r="B18" i="72"/>
  <c r="U29" i="34"/>
  <c r="E64" i="39"/>
  <c r="E5" i="6"/>
  <c r="D9" i="11" s="1"/>
  <c r="C9" i="11" s="1"/>
  <c r="P10" i="1"/>
  <c r="G1" i="68"/>
  <c r="K1" i="12"/>
  <c r="E57" i="40"/>
  <c r="AR12" i="1"/>
  <c r="AQ12" i="1"/>
  <c r="T12" i="1"/>
  <c r="E19" i="69"/>
  <c r="E19" i="68"/>
  <c r="E19" i="11"/>
  <c r="E1" i="73"/>
  <c r="G41" i="69"/>
  <c r="G22" i="69"/>
  <c r="G41" i="68"/>
  <c r="G22" i="68"/>
  <c r="G27" i="12"/>
  <c r="G26" i="12"/>
  <c r="G41" i="11"/>
  <c r="G22" i="11"/>
  <c r="G25" i="12"/>
  <c r="E81" i="43"/>
  <c r="B79" i="43"/>
  <c r="E48" i="43"/>
  <c r="B46" i="43"/>
  <c r="E70" i="43"/>
  <c r="B68" i="43"/>
  <c r="F100" i="43"/>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21" i="6"/>
  <c r="S8" i="1"/>
  <c r="K11" i="1"/>
  <c r="M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S27" i="39"/>
  <c r="W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U13" i="21"/>
  <c r="AB13" i="21"/>
  <c r="W8" i="21"/>
  <c r="S35" i="21"/>
  <c r="AB37" i="21"/>
  <c r="W37" i="21"/>
  <c r="U15" i="21"/>
  <c r="W39" i="21"/>
  <c r="AC14" i="21"/>
  <c r="W30" i="21"/>
  <c r="S46" i="21"/>
  <c r="H45" i="21"/>
  <c r="U45" i="21"/>
  <c r="F29" i="21"/>
  <c r="S29" i="21"/>
  <c r="F13" i="21"/>
  <c r="AA13" i="21"/>
  <c r="H32" i="21"/>
  <c r="J32" i="21"/>
  <c r="F32" i="21"/>
  <c r="AA31" i="21"/>
  <c r="U17" i="21"/>
  <c r="W29" i="21"/>
  <c r="S19" i="21"/>
  <c r="S9" i="21"/>
  <c r="K141" i="21"/>
  <c r="K144" i="21"/>
  <c r="K143" i="21"/>
  <c r="U27" i="21"/>
  <c r="AB25" i="21"/>
  <c r="AB44" i="21"/>
  <c r="AA30" i="21"/>
  <c r="W13" i="21"/>
  <c r="W42" i="21"/>
  <c r="AC45" i="21"/>
  <c r="K145" i="21"/>
  <c r="W17" i="21"/>
  <c r="W25" i="21"/>
  <c r="AA29" i="21"/>
  <c r="W31" i="21"/>
  <c r="S27" i="21"/>
  <c r="S17" i="21"/>
  <c r="AC27" i="21"/>
  <c r="AC26" i="21"/>
  <c r="AB29" i="21"/>
  <c r="S28"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s="1"/>
  <c r="B5" i="62" s="1"/>
  <c r="B73" i="72" s="1"/>
  <c r="B9" i="49"/>
  <c r="E16" i="49"/>
  <c r="B11" i="49"/>
  <c r="E8" i="49"/>
  <c r="E21" i="49"/>
  <c r="E10" i="49"/>
  <c r="E9" i="49"/>
  <c r="E5" i="49"/>
  <c r="B6" i="49"/>
  <c r="B4" i="49"/>
  <c r="C4" i="4"/>
  <c r="B4" i="62" s="1"/>
  <c r="B71" i="72" s="1"/>
  <c r="B8" i="49"/>
  <c r="E4" i="49"/>
  <c r="E11" i="49"/>
  <c r="AQ13" i="1"/>
  <c r="O6" i="1"/>
  <c r="P6" i="1" s="1"/>
  <c r="F30" i="68"/>
  <c r="C30" i="68"/>
  <c r="F30" i="11"/>
  <c r="C48" i="11"/>
  <c r="F28" i="67"/>
  <c r="C28" i="67"/>
  <c r="F31" i="12"/>
  <c r="F52" i="9"/>
  <c r="M18" i="67"/>
  <c r="F32" i="67"/>
  <c r="F60" i="67"/>
  <c r="F30" i="69"/>
  <c r="C48" i="69"/>
  <c r="F32" i="15"/>
  <c r="F60" i="15"/>
  <c r="M18" i="15"/>
  <c r="F28" i="15"/>
  <c r="E63" i="39"/>
  <c r="T11" i="1"/>
  <c r="D9" i="69"/>
  <c r="AR11" i="1"/>
  <c r="E59" i="40"/>
  <c r="D68" i="39"/>
  <c r="D70" i="39"/>
  <c r="C28" i="15"/>
  <c r="T13" i="1"/>
  <c r="E69" i="3"/>
  <c r="E237" i="3"/>
  <c r="E114" i="3"/>
  <c r="E261" i="3"/>
  <c r="E278" i="3"/>
  <c r="E304" i="3"/>
  <c r="E415" i="3"/>
  <c r="E528" i="3"/>
  <c r="E563" i="3"/>
  <c r="E565" i="3"/>
  <c r="E395" i="3"/>
  <c r="E183" i="3"/>
  <c r="E172" i="3"/>
  <c r="E213" i="3"/>
  <c r="E260" i="3"/>
  <c r="E361" i="3"/>
  <c r="E445" i="3"/>
  <c r="E17" i="3"/>
  <c r="E550" i="3"/>
  <c r="E503" i="3"/>
  <c r="E535" i="3"/>
  <c r="E302" i="3"/>
  <c r="C48" i="68"/>
  <c r="C77" i="9"/>
  <c r="C74" i="9"/>
  <c r="C30" i="69"/>
  <c r="D9" i="68"/>
  <c r="C9" i="68" s="1"/>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S13" i="21"/>
  <c r="E239" i="3"/>
  <c r="E388" i="3"/>
  <c r="E509" i="3"/>
  <c r="O6" i="3"/>
  <c r="E516" i="3"/>
  <c r="E555" i="3"/>
  <c r="E579" i="3"/>
  <c r="E574" i="3"/>
  <c r="E569" i="3"/>
  <c r="E410" i="3"/>
  <c r="E431" i="3"/>
  <c r="E359" i="3"/>
  <c r="E396" i="3"/>
  <c r="E337" i="3"/>
  <c r="E280" i="3"/>
  <c r="E247" i="3"/>
  <c r="E227" i="3"/>
  <c r="E285" i="3"/>
  <c r="E246" i="3"/>
  <c r="E229" i="3"/>
  <c r="E205" i="3"/>
  <c r="E143" i="3"/>
  <c r="E124" i="3"/>
  <c r="E201" i="3"/>
  <c r="E165" i="3"/>
  <c r="E97" i="3"/>
  <c r="E293" i="3"/>
  <c r="E151" i="3"/>
  <c r="E128" i="3"/>
  <c r="K24" i="6"/>
  <c r="M24" i="6" s="1"/>
  <c r="I24" i="6" s="1"/>
  <c r="S24" i="6" s="1"/>
  <c r="K14" i="1"/>
  <c r="M14" i="1" s="1"/>
  <c r="BL5" i="3"/>
  <c r="J59" i="9"/>
  <c r="J61" i="9"/>
  <c r="M21" i="6"/>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s="1"/>
  <c r="S26" i="6" s="1"/>
  <c r="K25" i="6"/>
  <c r="M25" i="6"/>
  <c r="I25" i="6" s="1"/>
  <c r="S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C36" i="69" s="1"/>
  <c r="O7" i="1"/>
  <c r="P7" i="1" s="1"/>
  <c r="Q16" i="1"/>
  <c r="F27" i="69" s="1"/>
  <c r="H16" i="1"/>
  <c r="AB45" i="21"/>
  <c r="W32" i="21"/>
  <c r="AC32" i="21"/>
  <c r="U9" i="21"/>
  <c r="AA32" i="21"/>
  <c r="S32" i="21"/>
  <c r="W9" i="21"/>
  <c r="AB32" i="21"/>
  <c r="U32" i="21"/>
  <c r="F31" i="15"/>
  <c r="M17" i="15"/>
  <c r="F59" i="67"/>
  <c r="F59" i="15"/>
  <c r="F31" i="67"/>
  <c r="M17" i="67"/>
  <c r="C30" i="11"/>
  <c r="E36" i="43"/>
  <c r="U32" i="39"/>
  <c r="W32" i="39"/>
  <c r="W19" i="37"/>
  <c r="AC19" i="37"/>
  <c r="W23" i="37"/>
  <c r="AC23" i="37"/>
  <c r="AB11" i="37"/>
  <c r="U11" i="37"/>
  <c r="H63" i="37"/>
  <c r="I63" i="37"/>
  <c r="J63" i="37"/>
  <c r="K63" i="37"/>
  <c r="L63" i="37"/>
  <c r="M63" i="37"/>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W23" i="21"/>
  <c r="F7" i="36"/>
  <c r="S7" i="36"/>
  <c r="H7" i="37"/>
  <c r="U7" i="37"/>
  <c r="I38" i="43"/>
  <c r="T11" i="43"/>
  <c r="V11" i="43"/>
  <c r="T16" i="43"/>
  <c r="V16" i="43"/>
  <c r="T14" i="43"/>
  <c r="V14" i="43"/>
  <c r="T12" i="43"/>
  <c r="V12" i="43"/>
  <c r="T9" i="43"/>
  <c r="V9" i="43"/>
  <c r="T8" i="43"/>
  <c r="V8" i="43"/>
  <c r="T15" i="43"/>
  <c r="V15" i="43"/>
  <c r="T13" i="43"/>
  <c r="V13" i="43"/>
  <c r="T10" i="43"/>
  <c r="V10"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F1" i="67"/>
  <c r="Q52" i="67"/>
  <c r="E37" i="43"/>
  <c r="AA7" i="36"/>
  <c r="R36" i="36"/>
  <c r="E36" i="36"/>
  <c r="E40" i="36"/>
  <c r="F40" i="36"/>
  <c r="AC11" i="37"/>
  <c r="W11" i="37"/>
  <c r="AB7" i="37"/>
  <c r="T42" i="37"/>
  <c r="G42" i="37"/>
  <c r="G46" i="37"/>
  <c r="H46" i="37"/>
  <c r="AB7" i="36"/>
  <c r="T36" i="36"/>
  <c r="E38" i="43"/>
  <c r="C13" i="12"/>
  <c r="I35" i="43"/>
  <c r="E35" i="43"/>
  <c r="I36" i="43"/>
  <c r="I34" i="43"/>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AA7" i="34"/>
  <c r="F63" i="40"/>
  <c r="E65" i="40"/>
  <c r="E70" i="39"/>
  <c r="F70" i="39"/>
  <c r="F50" i="11"/>
  <c r="F50" i="69"/>
  <c r="F50" i="68"/>
  <c r="G36" i="36"/>
  <c r="R37" i="36"/>
  <c r="AB7" i="34"/>
  <c r="W7" i="21"/>
  <c r="U7" i="21"/>
  <c r="I40" i="36"/>
  <c r="J40" i="36"/>
  <c r="R43" i="37"/>
  <c r="E42" i="37"/>
  <c r="I47" i="37"/>
  <c r="J47" i="37"/>
  <c r="G43" i="35"/>
  <c r="H43" i="35"/>
  <c r="I42" i="35"/>
  <c r="J42" i="35"/>
  <c r="R39" i="35"/>
  <c r="E38" i="35"/>
  <c r="I43" i="35"/>
  <c r="J43" i="35"/>
  <c r="G47" i="37"/>
  <c r="H47" i="37"/>
  <c r="I46" i="37"/>
  <c r="J46" i="37"/>
  <c r="G63" i="40"/>
  <c r="F65" i="40"/>
  <c r="G70" i="39"/>
  <c r="C37" i="36"/>
  <c r="C36" i="36"/>
  <c r="G40" i="36"/>
  <c r="H40" i="36"/>
  <c r="E41" i="36"/>
  <c r="F41" i="36"/>
  <c r="G41" i="36"/>
  <c r="H41" i="36"/>
  <c r="C19" i="68"/>
  <c r="E47" i="37"/>
  <c r="F47" i="37"/>
  <c r="E46" i="37"/>
  <c r="F46" i="37"/>
  <c r="C43" i="37"/>
  <c r="C42" i="37"/>
  <c r="C39" i="35"/>
  <c r="C38" i="35"/>
  <c r="E43" i="35"/>
  <c r="F43" i="35"/>
  <c r="E42" i="35"/>
  <c r="F42" i="35"/>
  <c r="H63" i="40"/>
  <c r="G65" i="40"/>
  <c r="H70" i="39"/>
  <c r="I63" i="40"/>
  <c r="H65" i="40"/>
  <c r="I70" i="39"/>
  <c r="J63" i="40"/>
  <c r="I65" i="40"/>
  <c r="J70" i="39"/>
  <c r="K63" i="40"/>
  <c r="J65" i="40"/>
  <c r="K70" i="39"/>
  <c r="L63" i="40"/>
  <c r="K65" i="40"/>
  <c r="L70" i="39"/>
  <c r="C34" i="69"/>
  <c r="C38" i="69" s="1"/>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C42" i="40" s="1"/>
  <c r="S7" i="40"/>
  <c r="AE8" i="1"/>
  <c r="AG6" i="1"/>
  <c r="H109" i="9"/>
  <c r="H110" i="9" s="1"/>
  <c r="D18" i="53" s="1"/>
  <c r="B35" i="72" s="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3" i="43"/>
  <c r="B71" i="39"/>
  <c r="P24" i="43"/>
  <c r="B66" i="40"/>
  <c r="P25" i="43"/>
  <c r="G16" i="1"/>
  <c r="J10" i="86" s="1"/>
  <c r="F8" i="82"/>
  <c r="F7" i="82"/>
  <c r="F16" i="82"/>
  <c r="F43" i="82"/>
  <c r="F26" i="82"/>
  <c r="F36" i="82"/>
  <c r="F13" i="82"/>
  <c r="F37" i="82"/>
  <c r="F38" i="82"/>
  <c r="F42" i="82"/>
  <c r="M6" i="82"/>
  <c r="D2" i="21"/>
  <c r="D2" i="83"/>
  <c r="F8" i="81"/>
  <c r="F7" i="81"/>
  <c r="F26" i="81"/>
  <c r="F36" i="81"/>
  <c r="F13" i="81"/>
  <c r="F37" i="81"/>
  <c r="F38" i="81"/>
  <c r="F42" i="81"/>
  <c r="M8" i="81"/>
  <c r="M9" i="81"/>
  <c r="F8" i="15"/>
  <c r="F7" i="15"/>
  <c r="F26" i="15"/>
  <c r="F36" i="15"/>
  <c r="F13" i="15"/>
  <c r="F37" i="15"/>
  <c r="F38" i="15"/>
  <c r="F42" i="15"/>
  <c r="D2" i="89"/>
  <c r="F6" i="82"/>
  <c r="F9" i="82"/>
  <c r="F4" i="73"/>
  <c r="D6" i="73"/>
  <c r="D5" i="73"/>
  <c r="F40" i="82"/>
  <c r="L48" i="82"/>
  <c r="M8" i="82"/>
  <c r="M9" i="82"/>
  <c r="F6" i="81"/>
  <c r="F9" i="81"/>
  <c r="F16" i="81"/>
  <c r="F43" i="81"/>
  <c r="F40" i="81"/>
  <c r="L48" i="81"/>
  <c r="M6" i="81"/>
  <c r="F6" i="15"/>
  <c r="F9" i="15"/>
  <c r="F16" i="15"/>
  <c r="F43" i="15"/>
  <c r="M8" i="15"/>
  <c r="M9" i="15"/>
  <c r="M29" i="82"/>
  <c r="M27" i="82"/>
  <c r="C76" i="81"/>
  <c r="L47" i="81"/>
  <c r="F40" i="15"/>
  <c r="L48" i="15"/>
  <c r="M6" i="15"/>
  <c r="C76" i="82"/>
  <c r="L47" i="82"/>
  <c r="M28" i="82"/>
  <c r="M26" i="82"/>
  <c r="M22" i="82"/>
  <c r="J15" i="82"/>
  <c r="M23" i="82"/>
  <c r="M24" i="82"/>
  <c r="M29" i="81"/>
  <c r="M27" i="81"/>
  <c r="E7" i="76"/>
  <c r="E9" i="76"/>
  <c r="E11" i="76"/>
  <c r="E13" i="76"/>
  <c r="M26" i="81"/>
  <c r="M22" i="81"/>
  <c r="M23" i="81"/>
  <c r="E8" i="76"/>
  <c r="E12" i="76"/>
  <c r="B8" i="76"/>
  <c r="B11" i="76"/>
  <c r="B13" i="76"/>
  <c r="B7" i="76"/>
  <c r="F7" i="73"/>
  <c r="D3" i="73"/>
  <c r="F3" i="73"/>
  <c r="D4" i="73"/>
  <c r="AO11" i="1"/>
  <c r="M24" i="15"/>
  <c r="M24" i="67"/>
  <c r="M23" i="15"/>
  <c r="F8" i="67"/>
  <c r="F26" i="67"/>
  <c r="M28" i="15"/>
  <c r="J15" i="15"/>
  <c r="M9" i="67"/>
  <c r="M6" i="67"/>
  <c r="J15" i="67"/>
  <c r="C76" i="15"/>
  <c r="M22" i="67"/>
  <c r="F37" i="67"/>
  <c r="F36" i="67"/>
  <c r="M26" i="15"/>
  <c r="F9" i="67"/>
  <c r="M29" i="15"/>
  <c r="M23" i="67"/>
  <c r="M28" i="81"/>
  <c r="J15" i="81"/>
  <c r="M24" i="81"/>
  <c r="E10" i="76"/>
  <c r="B12" i="76"/>
  <c r="B10" i="76"/>
  <c r="B9" i="76"/>
  <c r="F5" i="73"/>
  <c r="F6" i="73"/>
  <c r="D7" i="73"/>
  <c r="AO9" i="1"/>
  <c r="AO13" i="1"/>
  <c r="AO12" i="1"/>
  <c r="C76" i="67"/>
  <c r="F6" i="67"/>
  <c r="M22" i="15"/>
  <c r="M26" i="67"/>
  <c r="F13" i="67"/>
  <c r="F7" i="67"/>
  <c r="L48" i="67"/>
  <c r="F43" i="67"/>
  <c r="L47" i="15"/>
  <c r="F16" i="67"/>
  <c r="L47" i="67"/>
  <c r="F38" i="67"/>
  <c r="F40" i="67"/>
  <c r="M28" i="67"/>
  <c r="M29" i="67"/>
  <c r="M8" i="67"/>
  <c r="F42" i="67"/>
  <c r="M21" i="67"/>
  <c r="F41" i="67"/>
  <c r="E2" i="69"/>
  <c r="D2" i="36"/>
  <c r="E2" i="68"/>
  <c r="F35" i="67"/>
  <c r="M27" i="15"/>
  <c r="D2" i="37"/>
  <c r="F20" i="31"/>
  <c r="D2" i="33"/>
  <c r="D2" i="35"/>
  <c r="M27" i="67"/>
  <c r="AO8" i="1"/>
  <c r="D2" i="34"/>
  <c r="U27" i="86" l="1"/>
  <c r="D124" i="9"/>
  <c r="D125" i="9" s="1"/>
  <c r="D11" i="52" s="1"/>
  <c r="D16" i="53"/>
  <c r="D19" i="12"/>
  <c r="C19" i="12" s="1"/>
  <c r="E11" i="6"/>
  <c r="G29" i="6"/>
  <c r="G30" i="6" s="1"/>
  <c r="G31" i="6" s="1"/>
  <c r="E42" i="40"/>
  <c r="E46" i="40" s="1"/>
  <c r="F46" i="40" s="1"/>
  <c r="C101" i="43"/>
  <c r="K101" i="43"/>
  <c r="N101" i="43"/>
  <c r="J101" i="43"/>
  <c r="H101" i="43"/>
  <c r="I101" i="43"/>
  <c r="AH11" i="43"/>
  <c r="AH13" i="43" s="1"/>
  <c r="AD11" i="43"/>
  <c r="AD13" i="43" s="1"/>
  <c r="Z11" i="43"/>
  <c r="Z13" i="43" s="1"/>
  <c r="S5" i="43"/>
  <c r="T5" i="43" s="1"/>
  <c r="V5" i="43" s="1"/>
  <c r="AG11" i="43"/>
  <c r="AG13" i="43" s="1"/>
  <c r="S6" i="43"/>
  <c r="T6" i="43" s="1"/>
  <c r="V6" i="43" s="1"/>
  <c r="S3" i="43"/>
  <c r="T3" i="43" s="1"/>
  <c r="V3" i="43" s="1"/>
  <c r="J22" i="43"/>
  <c r="C23" i="43"/>
  <c r="C21" i="43" s="1"/>
  <c r="C29" i="43" s="1"/>
  <c r="E29" i="43" s="1"/>
  <c r="C26" i="43" s="1"/>
  <c r="B2" i="43" s="1"/>
  <c r="E22" i="43"/>
  <c r="F101" i="43"/>
  <c r="G101" i="43"/>
  <c r="N104" i="46"/>
  <c r="L101" i="43"/>
  <c r="M101" i="43"/>
  <c r="E101" i="43"/>
  <c r="S2" i="43"/>
  <c r="T2" i="43" s="1"/>
  <c r="V2" i="43" s="1"/>
  <c r="AJ11" i="43"/>
  <c r="AJ13" i="43" s="1"/>
  <c r="AF11" i="43"/>
  <c r="AF13" i="43" s="1"/>
  <c r="AB11" i="43"/>
  <c r="AB13" i="43" s="1"/>
  <c r="Z7" i="43"/>
  <c r="AI11" i="43"/>
  <c r="AI13" i="43" s="1"/>
  <c r="AE11" i="43"/>
  <c r="AE13" i="43" s="1"/>
  <c r="AC11" i="43"/>
  <c r="AC13" i="43" s="1"/>
  <c r="AA11" i="43"/>
  <c r="AA13" i="43" s="1"/>
  <c r="Y11" i="43"/>
  <c r="Y13" i="43" s="1"/>
  <c r="S4" i="43"/>
  <c r="T4" i="43" s="1"/>
  <c r="V4" i="43" s="1"/>
  <c r="S7" i="43"/>
  <c r="T7" i="43" s="1"/>
  <c r="V7" i="43" s="1"/>
  <c r="F29" i="6"/>
  <c r="F30" i="6" s="1"/>
  <c r="F31" i="6" s="1"/>
  <c r="O11" i="1"/>
  <c r="M16" i="1"/>
  <c r="H10" i="40"/>
  <c r="AB10" i="40" s="1"/>
  <c r="F27" i="68"/>
  <c r="C29" i="68" s="1"/>
  <c r="D27" i="68" s="1"/>
  <c r="C30" i="43"/>
  <c r="E30" i="43" s="1"/>
  <c r="C27" i="43" s="1"/>
  <c r="C103" i="43"/>
  <c r="C105" i="43"/>
  <c r="AC10" i="86"/>
  <c r="W10" i="86"/>
  <c r="E29" i="6"/>
  <c r="H10" i="39"/>
  <c r="J10" i="39"/>
  <c r="F10" i="40"/>
  <c r="J10" i="40"/>
  <c r="F10" i="39"/>
  <c r="H10" i="86"/>
  <c r="F10" i="86"/>
  <c r="C43" i="40"/>
  <c r="B60" i="40" s="1"/>
  <c r="F60" i="40" s="1"/>
  <c r="D101" i="43"/>
  <c r="F22" i="43"/>
  <c r="W21" i="86"/>
  <c r="S21" i="86"/>
  <c r="U21" i="86"/>
  <c r="F27" i="11"/>
  <c r="C47" i="11" s="1"/>
  <c r="D45" i="11" s="1"/>
  <c r="F28" i="12"/>
  <c r="C29" i="12" s="1"/>
  <c r="D28" i="12" s="1"/>
  <c r="C47" i="69"/>
  <c r="D45" i="69" s="1"/>
  <c r="C29" i="69"/>
  <c r="D27" i="69" s="1"/>
  <c r="C18" i="9"/>
  <c r="D18" i="9" s="1"/>
  <c r="W25" i="86"/>
  <c r="S25" i="86"/>
  <c r="U25" i="86"/>
  <c r="AB25" i="39"/>
  <c r="U25" i="39"/>
  <c r="F25" i="39"/>
  <c r="E99" i="39"/>
  <c r="F99" i="39" s="1"/>
  <c r="G99" i="39" s="1"/>
  <c r="J25" i="39"/>
  <c r="F66" i="21"/>
  <c r="G66" i="21" s="1"/>
  <c r="H66" i="21" s="1"/>
  <c r="I66" i="21" s="1"/>
  <c r="H10" i="21"/>
  <c r="F10" i="21"/>
  <c r="F23" i="34"/>
  <c r="E86" i="34"/>
  <c r="C35" i="69"/>
  <c r="I47" i="40"/>
  <c r="J47" i="40" s="1"/>
  <c r="U10" i="40"/>
  <c r="G47" i="40"/>
  <c r="H47" i="40" s="1"/>
  <c r="G46" i="40"/>
  <c r="H46" i="40" s="1"/>
  <c r="E47" i="40"/>
  <c r="F47" i="40" s="1"/>
  <c r="O14" i="1"/>
  <c r="P14" i="1" s="1"/>
  <c r="P11" i="1"/>
  <c r="O12" i="1"/>
  <c r="P12" i="1" s="1"/>
  <c r="O8" i="1"/>
  <c r="P8" i="1"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567" i="3"/>
  <c r="X6" i="3"/>
  <c r="E510" i="3"/>
  <c r="E399" i="3"/>
  <c r="E461" i="3"/>
  <c r="E336" i="3"/>
  <c r="E352" i="3"/>
  <c r="AY6" i="3"/>
  <c r="E3" i="6"/>
  <c r="K20" i="6"/>
  <c r="K23" i="6"/>
  <c r="K19" i="6"/>
  <c r="D109" i="43"/>
  <c r="D107" i="43"/>
  <c r="C109" i="43"/>
  <c r="C107" i="43"/>
  <c r="B113" i="43"/>
  <c r="G22" i="43"/>
  <c r="H22" i="43"/>
  <c r="T9" i="1"/>
  <c r="AQ9" i="1"/>
  <c r="D102" i="43"/>
  <c r="D104" i="43"/>
  <c r="D106" i="43"/>
  <c r="C102" i="43"/>
  <c r="C104" i="43"/>
  <c r="C106" i="43"/>
  <c r="K4" i="4"/>
  <c r="B46" i="48" s="1"/>
  <c r="B4" i="72" s="1"/>
  <c r="B8" i="70"/>
  <c r="B2" i="35"/>
  <c r="B3" i="35" s="1"/>
  <c r="B20" i="31"/>
  <c r="F63" i="67"/>
  <c r="C62" i="67" s="1"/>
  <c r="C34" i="67"/>
  <c r="B2" i="36"/>
  <c r="B3" i="36" s="1"/>
  <c r="F69" i="67"/>
  <c r="J20" i="67"/>
  <c r="F70" i="67"/>
  <c r="F68" i="67"/>
  <c r="F66" i="67"/>
  <c r="L58" i="67"/>
  <c r="N59" i="67"/>
  <c r="M59" i="67"/>
  <c r="L59" i="67"/>
  <c r="L58" i="15"/>
  <c r="M59" i="15"/>
  <c r="L59" i="15" s="1"/>
  <c r="N59" i="15"/>
  <c r="F71" i="67"/>
  <c r="I54" i="67"/>
  <c r="J57" i="67"/>
  <c r="J55" i="67" s="1"/>
  <c r="J58" i="67" s="1"/>
  <c r="Q50" i="67" s="1"/>
  <c r="L56" i="67"/>
  <c r="M7" i="67"/>
  <c r="F50" i="67"/>
  <c r="C6" i="67"/>
  <c r="Q71" i="67"/>
  <c r="B12" i="70"/>
  <c r="B13" i="70"/>
  <c r="B9" i="70"/>
  <c r="F64" i="67"/>
  <c r="F65" i="67"/>
  <c r="Q71" i="15"/>
  <c r="J6" i="67"/>
  <c r="C27" i="67"/>
  <c r="F51" i="67"/>
  <c r="B11" i="70"/>
  <c r="E20" i="43"/>
  <c r="M59" i="82"/>
  <c r="L59" i="82" s="1"/>
  <c r="L58" i="82"/>
  <c r="N59" i="82"/>
  <c r="Q71" i="82"/>
  <c r="J53" i="15"/>
  <c r="J57" i="15"/>
  <c r="J55" i="15" s="1"/>
  <c r="J58" i="15" s="1"/>
  <c r="Q50" i="15" s="1"/>
  <c r="I54" i="15"/>
  <c r="L57" i="15"/>
  <c r="L56" i="15"/>
  <c r="L60" i="15"/>
  <c r="F68" i="15"/>
  <c r="L58" i="81"/>
  <c r="N59" i="81"/>
  <c r="M59" i="81"/>
  <c r="L59" i="81" s="1"/>
  <c r="Q71" i="81"/>
  <c r="F71" i="15"/>
  <c r="C6" i="15"/>
  <c r="J53" i="81"/>
  <c r="J57" i="81"/>
  <c r="J55" i="81" s="1"/>
  <c r="J58" i="81" s="1"/>
  <c r="Q50" i="81" s="1"/>
  <c r="L60" i="81"/>
  <c r="L56" i="81"/>
  <c r="L57" i="81"/>
  <c r="I54" i="81"/>
  <c r="F68" i="81"/>
  <c r="F71" i="81"/>
  <c r="C6" i="81"/>
  <c r="J57" i="82"/>
  <c r="J55" i="82" s="1"/>
  <c r="J58" i="82" s="1"/>
  <c r="Q50" i="82" s="1"/>
  <c r="J53" i="82"/>
  <c r="L57" i="82"/>
  <c r="I54" i="82"/>
  <c r="L60" i="82"/>
  <c r="L56" i="82"/>
  <c r="F68" i="82"/>
  <c r="K1" i="73"/>
  <c r="I1" i="73"/>
  <c r="B39" i="1" s="1"/>
  <c r="C6" i="82"/>
  <c r="F66" i="15"/>
  <c r="F65" i="15"/>
  <c r="F64" i="15"/>
  <c r="C27" i="15"/>
  <c r="M7" i="15"/>
  <c r="J6" i="15" s="1"/>
  <c r="F50" i="15"/>
  <c r="F51" i="15"/>
  <c r="F66" i="81"/>
  <c r="F65" i="81"/>
  <c r="F64" i="81"/>
  <c r="C27" i="81"/>
  <c r="M7" i="81"/>
  <c r="J6" i="81" s="1"/>
  <c r="F50" i="81"/>
  <c r="F51" i="81"/>
  <c r="F66" i="82"/>
  <c r="F65" i="82"/>
  <c r="F64" i="82"/>
  <c r="C27" i="82"/>
  <c r="F71" i="82"/>
  <c r="M7" i="82"/>
  <c r="J6" i="82" s="1"/>
  <c r="F50" i="82"/>
  <c r="F51" i="82"/>
  <c r="C9" i="69"/>
  <c r="B6" i="76"/>
  <c r="C16" i="67"/>
  <c r="C17" i="67"/>
  <c r="C16" i="81"/>
  <c r="C14" i="67"/>
  <c r="C16" i="15"/>
  <c r="G1" i="73"/>
  <c r="C16" i="82"/>
  <c r="D10" i="52" l="1"/>
  <c r="H14" i="74"/>
  <c r="B7" i="74" s="1"/>
  <c r="D17" i="53"/>
  <c r="B36" i="72" s="1"/>
  <c r="B34" i="72"/>
  <c r="B52" i="40"/>
  <c r="F52" i="40" s="1"/>
  <c r="B55" i="40"/>
  <c r="F55" i="40" s="1"/>
  <c r="E61" i="39"/>
  <c r="E66" i="39" s="1"/>
  <c r="E61" i="86"/>
  <c r="E66" i="86" s="1"/>
  <c r="E56" i="40"/>
  <c r="E16" i="6"/>
  <c r="C47" i="68"/>
  <c r="D45" i="68" s="1"/>
  <c r="E102" i="43"/>
  <c r="E106" i="43"/>
  <c r="E103" i="43"/>
  <c r="E109" i="43"/>
  <c r="E104" i="43"/>
  <c r="E107" i="43"/>
  <c r="E105" i="43"/>
  <c r="L109" i="43"/>
  <c r="L102" i="43"/>
  <c r="L105" i="43"/>
  <c r="L104" i="43"/>
  <c r="L106" i="43"/>
  <c r="L107" i="43"/>
  <c r="L103" i="43"/>
  <c r="G105" i="43"/>
  <c r="G107" i="43"/>
  <c r="G104" i="43"/>
  <c r="G106" i="43"/>
  <c r="G102" i="43"/>
  <c r="G103" i="43"/>
  <c r="G109" i="43"/>
  <c r="I109" i="43"/>
  <c r="I102" i="43"/>
  <c r="I106" i="43"/>
  <c r="I103" i="43"/>
  <c r="I104" i="43"/>
  <c r="I107" i="43"/>
  <c r="I105" i="43"/>
  <c r="J104" i="43"/>
  <c r="J105" i="43"/>
  <c r="J103" i="43"/>
  <c r="J106" i="43"/>
  <c r="J109" i="43"/>
  <c r="J107" i="43"/>
  <c r="J102" i="43"/>
  <c r="K103" i="43"/>
  <c r="K102" i="43"/>
  <c r="K105" i="43"/>
  <c r="K107" i="43"/>
  <c r="K104" i="43"/>
  <c r="K106" i="43"/>
  <c r="K109" i="43"/>
  <c r="M109" i="43"/>
  <c r="M102" i="43"/>
  <c r="M106" i="43"/>
  <c r="M103" i="43"/>
  <c r="M104" i="43"/>
  <c r="M107" i="43"/>
  <c r="M105" i="43"/>
  <c r="F104" i="43"/>
  <c r="F107" i="43"/>
  <c r="F106" i="43"/>
  <c r="F103" i="43"/>
  <c r="F109" i="43"/>
  <c r="F102" i="43"/>
  <c r="F105" i="43"/>
  <c r="H102" i="43"/>
  <c r="H103" i="43"/>
  <c r="H104" i="43"/>
  <c r="H107" i="43"/>
  <c r="H106" i="43"/>
  <c r="H105" i="43"/>
  <c r="H109" i="43"/>
  <c r="N102" i="43"/>
  <c r="N103" i="43"/>
  <c r="N106" i="43"/>
  <c r="N107" i="43"/>
  <c r="N109" i="43"/>
  <c r="N105" i="43"/>
  <c r="N104" i="43"/>
  <c r="N16" i="1"/>
  <c r="L16" i="1"/>
  <c r="B2" i="76"/>
  <c r="B59" i="40"/>
  <c r="F59" i="40" s="1"/>
  <c r="B54" i="40"/>
  <c r="F54" i="40" s="1"/>
  <c r="B57" i="40"/>
  <c r="F57" i="40" s="1"/>
  <c r="B56" i="40"/>
  <c r="F56" i="40" s="1"/>
  <c r="AB10" i="86"/>
  <c r="U10" i="86"/>
  <c r="W10" i="40"/>
  <c r="AC10" i="40"/>
  <c r="W10" i="39"/>
  <c r="AC10" i="39"/>
  <c r="E30" i="6"/>
  <c r="E31" i="6" s="1"/>
  <c r="L22" i="6"/>
  <c r="K15" i="1"/>
  <c r="K16" i="1" s="1"/>
  <c r="B58" i="40"/>
  <c r="F58" i="40" s="1"/>
  <c r="B51" i="40"/>
  <c r="F51" i="40" s="1"/>
  <c r="B53" i="40"/>
  <c r="F53" i="40" s="1"/>
  <c r="D103" i="43"/>
  <c r="D105" i="43"/>
  <c r="AA10" i="86"/>
  <c r="S10" i="86"/>
  <c r="S10" i="39"/>
  <c r="AA10" i="39"/>
  <c r="AA10" i="40"/>
  <c r="S10" i="40"/>
  <c r="U10" i="39"/>
  <c r="AB10" i="39"/>
  <c r="B3" i="43"/>
  <c r="C29" i="11"/>
  <c r="D27" i="11" s="1"/>
  <c r="AC25" i="39"/>
  <c r="W25" i="39"/>
  <c r="AA25" i="39"/>
  <c r="S25" i="39"/>
  <c r="AA10" i="21"/>
  <c r="S10" i="21"/>
  <c r="J10" i="21"/>
  <c r="AB10" i="21"/>
  <c r="U10" i="21"/>
  <c r="F86" i="34"/>
  <c r="G86" i="34" s="1"/>
  <c r="H23" i="34"/>
  <c r="J23" i="34"/>
  <c r="AA23" i="34"/>
  <c r="S23" i="34"/>
  <c r="D22" i="43"/>
  <c r="M19" i="6"/>
  <c r="S6" i="1"/>
  <c r="K27" i="6"/>
  <c r="M20" i="6"/>
  <c r="I20" i="6" s="1"/>
  <c r="S20" i="6" s="1"/>
  <c r="S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3"/>
  <c r="O16" i="1"/>
  <c r="D115" i="43"/>
  <c r="E115" i="43" s="1"/>
  <c r="F115" i="43" s="1"/>
  <c r="G115" i="43" s="1"/>
  <c r="H115" i="43" s="1"/>
  <c r="D116" i="43"/>
  <c r="E116" i="43" s="1"/>
  <c r="F116" i="43" s="1"/>
  <c r="G116" i="43" s="1"/>
  <c r="H116" i="43" s="1"/>
  <c r="B115" i="43"/>
  <c r="B117" i="43"/>
  <c r="C117"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B116" i="43"/>
  <c r="C116" i="43" s="1"/>
  <c r="B118" i="43"/>
  <c r="C118" i="43" s="1"/>
  <c r="D117" i="43"/>
  <c r="E117" i="43" s="1"/>
  <c r="F117" i="43" s="1"/>
  <c r="G117" i="43" s="1"/>
  <c r="H117" i="43" s="1"/>
  <c r="D118" i="43"/>
  <c r="E118" i="43" s="1"/>
  <c r="F118" i="43" s="1"/>
  <c r="S10" i="1"/>
  <c r="M23" i="6"/>
  <c r="I23" i="6" s="1"/>
  <c r="S23" i="6" s="1"/>
  <c r="C33" i="21"/>
  <c r="C34" i="34"/>
  <c r="M18" i="9"/>
  <c r="B118" i="9" s="1"/>
  <c r="B14" i="74" s="1"/>
  <c r="B1" i="74" s="1"/>
  <c r="D19" i="11"/>
  <c r="C19" i="11" s="1"/>
  <c r="D37" i="11"/>
  <c r="D14" i="12"/>
  <c r="D3" i="37"/>
  <c r="B2" i="37" s="1"/>
  <c r="B3" i="37" s="1"/>
  <c r="D3" i="33"/>
  <c r="B2" i="33" s="1"/>
  <c r="B3" i="33" s="1"/>
  <c r="E6" i="6"/>
  <c r="C17" i="4"/>
  <c r="B4" i="52" s="1"/>
  <c r="B43" i="72" s="1"/>
  <c r="L18" i="9"/>
  <c r="P16" i="1"/>
  <c r="C11" i="12" s="1"/>
  <c r="C49" i="82"/>
  <c r="C49" i="81"/>
  <c r="C49" i="67"/>
  <c r="B40" i="1"/>
  <c r="C18" i="67"/>
  <c r="C15" i="67"/>
  <c r="Q57" i="81"/>
  <c r="Q66" i="81"/>
  <c r="C49" i="15"/>
  <c r="F11" i="82"/>
  <c r="M11" i="81"/>
  <c r="J10" i="81" s="1"/>
  <c r="J5" i="81" s="1"/>
  <c r="M11" i="82"/>
  <c r="J10" i="82" s="1"/>
  <c r="J5" i="82" s="1"/>
  <c r="F11" i="81"/>
  <c r="F11" i="15"/>
  <c r="M11" i="15"/>
  <c r="J10" i="15" s="1"/>
  <c r="J5" i="15" s="1"/>
  <c r="M11" i="67"/>
  <c r="J10" i="67" s="1"/>
  <c r="J5" i="67" s="1"/>
  <c r="F11" i="67"/>
  <c r="Q66" i="82"/>
  <c r="Q57" i="82"/>
  <c r="F1" i="82"/>
  <c r="Q52" i="82"/>
  <c r="F1" i="81"/>
  <c r="Q52" i="81"/>
  <c r="Q61" i="81"/>
  <c r="Q74" i="81"/>
  <c r="Q60" i="81"/>
  <c r="Q73" i="81"/>
  <c r="Q74" i="82"/>
  <c r="Q61" i="82"/>
  <c r="Q61" i="15"/>
  <c r="Q74" i="15"/>
  <c r="Q74" i="67"/>
  <c r="Q61" i="67"/>
  <c r="Q57" i="15"/>
  <c r="Q66" i="15"/>
  <c r="F1" i="15"/>
  <c r="Q52" i="15"/>
  <c r="Q73" i="82"/>
  <c r="Q60" i="82"/>
  <c r="O17" i="43"/>
  <c r="M17" i="43"/>
  <c r="P17" i="43"/>
  <c r="N17" i="43"/>
  <c r="Q73" i="15"/>
  <c r="Q60" i="15"/>
  <c r="Q60" i="67"/>
  <c r="Q73" i="67"/>
  <c r="C17" i="81"/>
  <c r="C17" i="15"/>
  <c r="C17" i="82"/>
  <c r="AE6" i="1"/>
  <c r="F41" i="15" s="1"/>
  <c r="AE10" i="1"/>
  <c r="F41" i="82" s="1"/>
  <c r="AE7" i="1"/>
  <c r="F41" i="81" s="1"/>
  <c r="F34" i="68" l="1"/>
  <c r="C36" i="68" s="1"/>
  <c r="F11" i="12"/>
  <c r="C14" i="12" s="1"/>
  <c r="F34" i="11"/>
  <c r="C36" i="11" s="1"/>
  <c r="M22" i="6"/>
  <c r="I22" i="6" s="1"/>
  <c r="S22" i="6" s="1"/>
  <c r="L27" i="6"/>
  <c r="AC10" i="21"/>
  <c r="W10" i="21"/>
  <c r="AB23" i="34"/>
  <c r="U23" i="34"/>
  <c r="AC23" i="34"/>
  <c r="W23" i="34"/>
  <c r="T10" i="1"/>
  <c r="E10" i="70"/>
  <c r="AQ10" i="1"/>
  <c r="AR10" i="1"/>
  <c r="D17" i="12"/>
  <c r="C17" i="12" s="1"/>
  <c r="C20" i="11"/>
  <c r="C28" i="11" s="1"/>
  <c r="C27" i="11" s="1"/>
  <c r="J34" i="34"/>
  <c r="F34" i="34"/>
  <c r="H34" i="34"/>
  <c r="C115" i="43"/>
  <c r="D20" i="6"/>
  <c r="D22" i="6"/>
  <c r="D24" i="6"/>
  <c r="D26" i="6"/>
  <c r="R26" i="6" s="1"/>
  <c r="D28" i="6"/>
  <c r="C38" i="86"/>
  <c r="H20" i="6"/>
  <c r="D19" i="6"/>
  <c r="D21" i="6"/>
  <c r="D23" i="6"/>
  <c r="D25" i="6"/>
  <c r="D29" i="6"/>
  <c r="C38" i="39"/>
  <c r="H23" i="6"/>
  <c r="M19" i="9"/>
  <c r="C118" i="9" s="1"/>
  <c r="C14" i="74" s="1"/>
  <c r="B2" i="74" s="1"/>
  <c r="H22" i="6"/>
  <c r="C18" i="4"/>
  <c r="D14" i="6"/>
  <c r="D6" i="6"/>
  <c r="D9" i="6"/>
  <c r="D10" i="6"/>
  <c r="L19" i="9"/>
  <c r="H25" i="6"/>
  <c r="H21" i="6"/>
  <c r="H24" i="6"/>
  <c r="D8" i="6"/>
  <c r="D12" i="6"/>
  <c r="D13" i="6"/>
  <c r="D15" i="6"/>
  <c r="D5" i="6"/>
  <c r="D11" i="6"/>
  <c r="E61" i="40"/>
  <c r="F61" i="40" s="1"/>
  <c r="B2" i="40" s="1"/>
  <c r="B3" i="40" s="1"/>
  <c r="H26" i="6"/>
  <c r="T6" i="1"/>
  <c r="AQ6" i="1"/>
  <c r="AR6" i="1"/>
  <c r="E6" i="70"/>
  <c r="S16" i="1"/>
  <c r="C12" i="12"/>
  <c r="C15" i="12"/>
  <c r="D10" i="11"/>
  <c r="C10" i="11" s="1"/>
  <c r="D20" i="12"/>
  <c r="C20" i="12" s="1"/>
  <c r="C18" i="12" s="1"/>
  <c r="D10" i="69"/>
  <c r="D10" i="68"/>
  <c r="C7" i="74"/>
  <c r="C8" i="74"/>
  <c r="H33" i="21"/>
  <c r="F33" i="21"/>
  <c r="J33" i="21"/>
  <c r="T7" i="1"/>
  <c r="E7" i="70"/>
  <c r="AQ7" i="1"/>
  <c r="AR7" i="1"/>
  <c r="I19" i="6"/>
  <c r="M27" i="6"/>
  <c r="C19" i="67"/>
  <c r="F69" i="81"/>
  <c r="F69" i="82"/>
  <c r="F69" i="15"/>
  <c r="J26" i="82"/>
  <c r="J29" i="82" s="1"/>
  <c r="J24" i="82"/>
  <c r="J18" i="82"/>
  <c r="J26" i="81"/>
  <c r="J29" i="81" s="1"/>
  <c r="J24" i="81"/>
  <c r="J18" i="81"/>
  <c r="J26" i="15"/>
  <c r="J29" i="15" s="1"/>
  <c r="J18" i="15"/>
  <c r="J24" i="15"/>
  <c r="J18" i="67"/>
  <c r="J26" i="67"/>
  <c r="J29" i="67" s="1"/>
  <c r="J24" i="67"/>
  <c r="C10" i="15"/>
  <c r="C5" i="15" s="1"/>
  <c r="C53" i="15"/>
  <c r="C48" i="15" s="1"/>
  <c r="C10" i="82"/>
  <c r="C5" i="82" s="1"/>
  <c r="C53" i="82"/>
  <c r="C48" i="82" s="1"/>
  <c r="C20" i="67"/>
  <c r="F24" i="82"/>
  <c r="C24" i="82" s="1"/>
  <c r="F24" i="81"/>
  <c r="C24" i="81" s="1"/>
  <c r="F24" i="15"/>
  <c r="C24" i="15" s="1"/>
  <c r="F22" i="11"/>
  <c r="F22" i="69"/>
  <c r="F25" i="12"/>
  <c r="C26" i="12" s="1"/>
  <c r="D25" i="12" s="1"/>
  <c r="F22" i="68"/>
  <c r="F24" i="67"/>
  <c r="C24" i="67" s="1"/>
  <c r="C10" i="67"/>
  <c r="C5" i="67" s="1"/>
  <c r="C53" i="67"/>
  <c r="C48" i="67" s="1"/>
  <c r="C10" i="81"/>
  <c r="C5" i="81" s="1"/>
  <c r="C53" i="81"/>
  <c r="C48" i="81" s="1"/>
  <c r="C14" i="82"/>
  <c r="C14" i="81"/>
  <c r="E6" i="76"/>
  <c r="C14" i="15"/>
  <c r="C34" i="11" l="1"/>
  <c r="C35" i="11" s="1"/>
  <c r="C34" i="68"/>
  <c r="C37" i="11"/>
  <c r="R22" i="6"/>
  <c r="R9" i="1" s="1"/>
  <c r="C16" i="12"/>
  <c r="C15" i="15"/>
  <c r="C18" i="15"/>
  <c r="E2" i="76"/>
  <c r="B3" i="76" s="1"/>
  <c r="C18" i="81"/>
  <c r="C15" i="81"/>
  <c r="C15" i="82"/>
  <c r="C18" i="82"/>
  <c r="AA33" i="21"/>
  <c r="S33" i="21"/>
  <c r="C21" i="12"/>
  <c r="C22" i="12" s="1"/>
  <c r="T16" i="1"/>
  <c r="D16" i="6"/>
  <c r="A7" i="51"/>
  <c r="B7" i="72" s="1"/>
  <c r="C4" i="52"/>
  <c r="B45" i="72" s="1"/>
  <c r="A10" i="51"/>
  <c r="B9" i="72" s="1"/>
  <c r="D8" i="74"/>
  <c r="D7" i="74"/>
  <c r="R23" i="6"/>
  <c r="R10" i="1" s="1"/>
  <c r="D27" i="6"/>
  <c r="D31" i="6" s="1"/>
  <c r="H38" i="86"/>
  <c r="J38" i="86"/>
  <c r="F38" i="86"/>
  <c r="AA34" i="34"/>
  <c r="S34" i="34"/>
  <c r="I27" i="6"/>
  <c r="S19" i="6"/>
  <c r="S27" i="6" s="1"/>
  <c r="D19" i="68"/>
  <c r="D37" i="68" s="1"/>
  <c r="C37" i="68" s="1"/>
  <c r="C10" i="68"/>
  <c r="AC33" i="21"/>
  <c r="W33" i="21"/>
  <c r="AB33" i="21"/>
  <c r="U33" i="21"/>
  <c r="C10" i="69"/>
  <c r="C8" i="69" s="1"/>
  <c r="C5" i="69" s="1"/>
  <c r="C23" i="69" s="1"/>
  <c r="D19" i="69"/>
  <c r="E2" i="70"/>
  <c r="H19" i="6"/>
  <c r="H27" i="6" s="1"/>
  <c r="F38" i="39"/>
  <c r="H38" i="39"/>
  <c r="J38" i="39"/>
  <c r="R25" i="6"/>
  <c r="R21" i="6"/>
  <c r="R8" i="1" s="1"/>
  <c r="D30" i="6"/>
  <c r="R24" i="6"/>
  <c r="R20" i="6"/>
  <c r="R7" i="1" s="1"/>
  <c r="D113" i="43"/>
  <c r="AB34" i="34"/>
  <c r="U34" i="34"/>
  <c r="AC34" i="34"/>
  <c r="W34" i="34"/>
  <c r="C66" i="15"/>
  <c r="C60" i="15"/>
  <c r="C66" i="67"/>
  <c r="C60" i="67"/>
  <c r="C26" i="68"/>
  <c r="D22" i="68" s="1"/>
  <c r="C24" i="68"/>
  <c r="C44" i="68"/>
  <c r="D41" i="68" s="1"/>
  <c r="C26" i="69"/>
  <c r="D22" i="69" s="1"/>
  <c r="C44" i="69"/>
  <c r="D41" i="69" s="1"/>
  <c r="C23" i="67"/>
  <c r="C60" i="82"/>
  <c r="C66" i="82"/>
  <c r="C32" i="81"/>
  <c r="C33" i="81"/>
  <c r="C38" i="81"/>
  <c r="C32" i="67"/>
  <c r="C38" i="67"/>
  <c r="C26" i="11"/>
  <c r="D22" i="11" s="1"/>
  <c r="C24" i="11"/>
  <c r="C25" i="11"/>
  <c r="C23" i="11"/>
  <c r="C44" i="11"/>
  <c r="D41" i="11" s="1"/>
  <c r="C26" i="67"/>
  <c r="C33" i="82"/>
  <c r="C32" i="82"/>
  <c r="C38" i="82"/>
  <c r="C32" i="15"/>
  <c r="C33" i="15"/>
  <c r="C38" i="15"/>
  <c r="C60" i="81"/>
  <c r="C66" i="81"/>
  <c r="M21" i="82"/>
  <c r="F35" i="82"/>
  <c r="M21" i="81"/>
  <c r="F35" i="81"/>
  <c r="C38" i="11" l="1"/>
  <c r="C33" i="11" s="1"/>
  <c r="C42" i="11" s="1"/>
  <c r="C35" i="68"/>
  <c r="C38" i="68"/>
  <c r="C19" i="15"/>
  <c r="C20" i="15" s="1"/>
  <c r="C23" i="15" s="1"/>
  <c r="C19" i="81"/>
  <c r="C19" i="82"/>
  <c r="C20" i="82" s="1"/>
  <c r="C26" i="82" s="1"/>
  <c r="F63" i="81"/>
  <c r="C62" i="81" s="1"/>
  <c r="C34" i="81"/>
  <c r="C31" i="81" s="1"/>
  <c r="J20" i="81"/>
  <c r="F63" i="82"/>
  <c r="C62" i="82" s="1"/>
  <c r="C34" i="82"/>
  <c r="C31" i="82" s="1"/>
  <c r="J20" i="82"/>
  <c r="AC38" i="39"/>
  <c r="W38" i="39"/>
  <c r="AB38" i="39"/>
  <c r="U38" i="39"/>
  <c r="C19" i="69"/>
  <c r="D37" i="69"/>
  <c r="C37" i="69" s="1"/>
  <c r="C33" i="69" s="1"/>
  <c r="AA38" i="86"/>
  <c r="S38" i="86"/>
  <c r="U38" i="86"/>
  <c r="AB38" i="86"/>
  <c r="R19" i="6"/>
  <c r="AA38" i="39"/>
  <c r="S38" i="39"/>
  <c r="AC38" i="86"/>
  <c r="W38" i="86"/>
  <c r="I6" i="6"/>
  <c r="I5" i="6"/>
  <c r="C29" i="67"/>
  <c r="C13" i="67" s="1"/>
  <c r="C22" i="11"/>
  <c r="C31" i="11" s="1"/>
  <c r="C39" i="11" l="1"/>
  <c r="C43" i="11" s="1"/>
  <c r="C41" i="11" s="1"/>
  <c r="C33" i="68"/>
  <c r="C39" i="68" s="1"/>
  <c r="C33" i="67"/>
  <c r="C31" i="67" s="1"/>
  <c r="C20" i="81"/>
  <c r="C26" i="81" s="1"/>
  <c r="J59" i="67"/>
  <c r="J60" i="67" s="1"/>
  <c r="L46" i="67" s="1"/>
  <c r="C26" i="15"/>
  <c r="C29" i="15" s="1"/>
  <c r="Q49" i="67"/>
  <c r="J19" i="67"/>
  <c r="J17" i="67" s="1"/>
  <c r="C39" i="69"/>
  <c r="C42" i="69"/>
  <c r="C46" i="11"/>
  <c r="C45" i="11" s="1"/>
  <c r="R6" i="1"/>
  <c r="R27" i="6"/>
  <c r="C20" i="69"/>
  <c r="C24" i="69"/>
  <c r="C23" i="82"/>
  <c r="C29" i="82" s="1"/>
  <c r="C49" i="11"/>
  <c r="C51" i="11" s="1"/>
  <c r="C52" i="11" s="1"/>
  <c r="B2" i="11" s="1"/>
  <c r="B3" i="11" s="1"/>
  <c r="C11" i="39"/>
  <c r="C11" i="21"/>
  <c r="C11" i="34"/>
  <c r="C11" i="86"/>
  <c r="J14" i="67"/>
  <c r="J22" i="67" s="1"/>
  <c r="C57" i="67"/>
  <c r="C61" i="67" s="1"/>
  <c r="C59" i="67" s="1"/>
  <c r="C36" i="67"/>
  <c r="C75" i="67"/>
  <c r="Q70" i="67"/>
  <c r="C37" i="67"/>
  <c r="C56" i="67"/>
  <c r="C65" i="67" s="1"/>
  <c r="M21" i="15"/>
  <c r="F35" i="15"/>
  <c r="C42" i="68" l="1"/>
  <c r="C56" i="11"/>
  <c r="C57" i="11" s="1"/>
  <c r="Q48" i="67"/>
  <c r="C46" i="68"/>
  <c r="C45" i="68" s="1"/>
  <c r="C43" i="68"/>
  <c r="C23" i="81"/>
  <c r="C29" i="81" s="1"/>
  <c r="J14" i="15"/>
  <c r="J13" i="15" s="1"/>
  <c r="J23" i="15" s="1"/>
  <c r="J19" i="15"/>
  <c r="C64" i="67"/>
  <c r="C58" i="67" s="1"/>
  <c r="C67" i="67" s="1"/>
  <c r="C68" i="67" s="1"/>
  <c r="C71" i="67" s="1"/>
  <c r="C13" i="15"/>
  <c r="C57" i="15"/>
  <c r="J59" i="15"/>
  <c r="J60" i="15" s="1"/>
  <c r="C36" i="15"/>
  <c r="Q49" i="15"/>
  <c r="J13" i="67"/>
  <c r="J23" i="67" s="1"/>
  <c r="J16" i="67" s="1"/>
  <c r="J25" i="67" s="1"/>
  <c r="C34" i="15"/>
  <c r="C31" i="15" s="1"/>
  <c r="F63" i="15"/>
  <c r="C62" i="15" s="1"/>
  <c r="J20" i="15"/>
  <c r="J17" i="15" s="1"/>
  <c r="F11" i="86"/>
  <c r="H11" i="86"/>
  <c r="J11" i="86"/>
  <c r="F11" i="21"/>
  <c r="H11" i="21"/>
  <c r="J11" i="21"/>
  <c r="F11" i="34"/>
  <c r="J11" i="34"/>
  <c r="H11" i="34"/>
  <c r="H11" i="39"/>
  <c r="J11" i="39"/>
  <c r="F11" i="39"/>
  <c r="C36" i="82"/>
  <c r="C57" i="82"/>
  <c r="J59" i="82"/>
  <c r="J60" i="82" s="1"/>
  <c r="J19" i="82"/>
  <c r="J17" i="82" s="1"/>
  <c r="Q49" i="82"/>
  <c r="C13" i="82"/>
  <c r="J14" i="82"/>
  <c r="C28" i="69"/>
  <c r="C27" i="69" s="1"/>
  <c r="C25" i="69"/>
  <c r="C22" i="69" s="1"/>
  <c r="R16" i="1"/>
  <c r="C46" i="69"/>
  <c r="C45" i="69" s="1"/>
  <c r="C43" i="69"/>
  <c r="C41" i="69" s="1"/>
  <c r="C30" i="67"/>
  <c r="C39" i="67" s="1"/>
  <c r="Q69" i="67" s="1"/>
  <c r="Q68" i="67" s="1"/>
  <c r="L51" i="67"/>
  <c r="C41" i="68" l="1"/>
  <c r="C49" i="68" s="1"/>
  <c r="C51" i="68" s="1"/>
  <c r="C13" i="81"/>
  <c r="Q49" i="81"/>
  <c r="J59" i="81"/>
  <c r="J60" i="81" s="1"/>
  <c r="C57" i="81"/>
  <c r="C36" i="81"/>
  <c r="J19" i="81"/>
  <c r="J17" i="81" s="1"/>
  <c r="J14" i="81"/>
  <c r="J22" i="15"/>
  <c r="J16" i="15" s="1"/>
  <c r="J25" i="15" s="1"/>
  <c r="C61" i="15"/>
  <c r="C59" i="15" s="1"/>
  <c r="C64" i="15"/>
  <c r="C80" i="67"/>
  <c r="C79" i="67" s="1"/>
  <c r="Q48" i="15"/>
  <c r="L46" i="15"/>
  <c r="Q70" i="15"/>
  <c r="C75" i="15"/>
  <c r="C37" i="15"/>
  <c r="C30" i="15" s="1"/>
  <c r="C39" i="15" s="1"/>
  <c r="C40" i="15" s="1"/>
  <c r="C56" i="15"/>
  <c r="C65" i="15" s="1"/>
  <c r="C49" i="69"/>
  <c r="C51" i="69" s="1"/>
  <c r="C31" i="69"/>
  <c r="C75" i="82"/>
  <c r="C37" i="82"/>
  <c r="C30" i="82" s="1"/>
  <c r="C39" i="82" s="1"/>
  <c r="C56" i="82"/>
  <c r="C65" i="82" s="1"/>
  <c r="Q70" i="82"/>
  <c r="AA11" i="39"/>
  <c r="R47" i="39" s="1"/>
  <c r="S11" i="39"/>
  <c r="AC11" i="34"/>
  <c r="V49" i="34" s="1"/>
  <c r="I49" i="34" s="1"/>
  <c r="W11" i="34"/>
  <c r="AC11" i="21"/>
  <c r="V48" i="21" s="1"/>
  <c r="I48" i="21" s="1"/>
  <c r="W11" i="21"/>
  <c r="C40" i="67"/>
  <c r="D2" i="67" s="1"/>
  <c r="J22" i="82"/>
  <c r="J13" i="82"/>
  <c r="J23" i="82" s="1"/>
  <c r="L46" i="82"/>
  <c r="Q48" i="82"/>
  <c r="AC11" i="39"/>
  <c r="V47" i="39" s="1"/>
  <c r="I47" i="39" s="1"/>
  <c r="W11" i="39"/>
  <c r="AB11" i="34"/>
  <c r="T49" i="34" s="1"/>
  <c r="G49" i="34" s="1"/>
  <c r="U11" i="34"/>
  <c r="AA11" i="34"/>
  <c r="R49" i="34" s="1"/>
  <c r="S11" i="34"/>
  <c r="AB11" i="21"/>
  <c r="T48" i="21" s="1"/>
  <c r="G48" i="21" s="1"/>
  <c r="U11" i="21"/>
  <c r="W11" i="86"/>
  <c r="AC11" i="86"/>
  <c r="V47" i="86" s="1"/>
  <c r="I47" i="86" s="1"/>
  <c r="S11" i="86"/>
  <c r="AA11" i="86"/>
  <c r="R47" i="86" s="1"/>
  <c r="C61" i="82"/>
  <c r="C59" i="82" s="1"/>
  <c r="C64" i="82"/>
  <c r="AB11" i="39"/>
  <c r="T47" i="39" s="1"/>
  <c r="G47" i="39" s="1"/>
  <c r="U11" i="39"/>
  <c r="AA11" i="21"/>
  <c r="R48" i="21" s="1"/>
  <c r="S11" i="21"/>
  <c r="AB11" i="86"/>
  <c r="T47" i="86" s="1"/>
  <c r="G47" i="86" s="1"/>
  <c r="U11" i="86"/>
  <c r="Q67" i="67"/>
  <c r="L57" i="67"/>
  <c r="L60" i="67" s="1"/>
  <c r="L51" i="15"/>
  <c r="L51" i="82"/>
  <c r="J22" i="81" l="1"/>
  <c r="J13" i="81"/>
  <c r="J23" i="81" s="1"/>
  <c r="C64" i="81"/>
  <c r="C61" i="81"/>
  <c r="C59" i="81" s="1"/>
  <c r="L46" i="81"/>
  <c r="Q48" i="81"/>
  <c r="C37" i="81"/>
  <c r="C30" i="81" s="1"/>
  <c r="C39" i="81" s="1"/>
  <c r="C75" i="81"/>
  <c r="Q70" i="81"/>
  <c r="C56" i="81"/>
  <c r="C65" i="81" s="1"/>
  <c r="C45" i="67"/>
  <c r="C46" i="67" s="1"/>
  <c r="C43" i="67"/>
  <c r="C52" i="69"/>
  <c r="B2" i="69" s="1"/>
  <c r="B3" i="69" s="1"/>
  <c r="C58" i="15"/>
  <c r="C67" i="15" s="1"/>
  <c r="C68" i="15" s="1"/>
  <c r="C71" i="15" s="1"/>
  <c r="Q67" i="15"/>
  <c r="B2" i="15"/>
  <c r="C8" i="12" s="1"/>
  <c r="Q65" i="15"/>
  <c r="Q75" i="15" s="1"/>
  <c r="C83" i="15"/>
  <c r="C82" i="15" s="1"/>
  <c r="Q56" i="15"/>
  <c r="Q62" i="15" s="1"/>
  <c r="J16" i="82"/>
  <c r="J25" i="82" s="1"/>
  <c r="C80" i="15"/>
  <c r="C79" i="15" s="1"/>
  <c r="Q69" i="15"/>
  <c r="Q68" i="15" s="1"/>
  <c r="C43" i="15"/>
  <c r="Q47" i="15"/>
  <c r="Q53" i="15" s="1"/>
  <c r="Q47" i="67"/>
  <c r="Q53" i="67" s="1"/>
  <c r="Q65" i="67"/>
  <c r="Q67" i="82"/>
  <c r="R50" i="34"/>
  <c r="E49" i="34"/>
  <c r="I51" i="39"/>
  <c r="J51" i="39" s="1"/>
  <c r="I52" i="21"/>
  <c r="J52" i="21" s="1"/>
  <c r="C83" i="67"/>
  <c r="C82" i="67" s="1"/>
  <c r="Q56" i="67"/>
  <c r="G52" i="86"/>
  <c r="H52" i="86" s="1"/>
  <c r="G51" i="86"/>
  <c r="H51" i="86" s="1"/>
  <c r="R49" i="21"/>
  <c r="E48" i="21"/>
  <c r="G52" i="39"/>
  <c r="H52" i="39" s="1"/>
  <c r="G51" i="39"/>
  <c r="H51" i="39" s="1"/>
  <c r="C58" i="82"/>
  <c r="C67" i="82" s="1"/>
  <c r="C68" i="82" s="1"/>
  <c r="R48" i="86"/>
  <c r="E47" i="86"/>
  <c r="I51" i="86"/>
  <c r="J51" i="86" s="1"/>
  <c r="C80" i="82"/>
  <c r="C79" i="82" s="1"/>
  <c r="Q69" i="82"/>
  <c r="Q68" i="82" s="1"/>
  <c r="C40" i="82"/>
  <c r="C57" i="69"/>
  <c r="C56" i="69" s="1"/>
  <c r="G52" i="21"/>
  <c r="H52" i="21" s="1"/>
  <c r="G53" i="21"/>
  <c r="H53" i="21" s="1"/>
  <c r="G53" i="34"/>
  <c r="H53" i="34" s="1"/>
  <c r="G54" i="34"/>
  <c r="H54" i="34" s="1"/>
  <c r="I53" i="34"/>
  <c r="J53" i="34" s="1"/>
  <c r="I54" i="34"/>
  <c r="J54" i="34" s="1"/>
  <c r="E47" i="39"/>
  <c r="R48" i="39"/>
  <c r="B2" i="67"/>
  <c r="B3" i="67"/>
  <c r="Q66" i="67"/>
  <c r="Q57" i="67"/>
  <c r="L51" i="81"/>
  <c r="AO6" i="1"/>
  <c r="C80" i="81" l="1"/>
  <c r="C79" i="81" s="1"/>
  <c r="J16" i="81"/>
  <c r="J25" i="81" s="1"/>
  <c r="Q67" i="81"/>
  <c r="C58" i="81"/>
  <c r="C67" i="81" s="1"/>
  <c r="C68" i="81" s="1"/>
  <c r="Q69" i="81"/>
  <c r="Q68" i="81" s="1"/>
  <c r="C40" i="81"/>
  <c r="Q75" i="67"/>
  <c r="B3" i="15"/>
  <c r="C6" i="12" s="1"/>
  <c r="Q62" i="67"/>
  <c r="C46" i="15"/>
  <c r="B6" i="70"/>
  <c r="C48" i="39"/>
  <c r="C47" i="39"/>
  <c r="C46" i="82"/>
  <c r="C71" i="82"/>
  <c r="C50" i="34"/>
  <c r="C49" i="34"/>
  <c r="E52" i="86"/>
  <c r="F52" i="86" s="1"/>
  <c r="E51" i="86"/>
  <c r="F51" i="86" s="1"/>
  <c r="C49" i="21"/>
  <c r="C48" i="21"/>
  <c r="E51" i="39"/>
  <c r="F51" i="39" s="1"/>
  <c r="E52" i="39"/>
  <c r="F52" i="39" s="1"/>
  <c r="B2" i="82"/>
  <c r="Q65" i="82"/>
  <c r="Q75" i="82" s="1"/>
  <c r="C43" i="82"/>
  <c r="C83" i="82"/>
  <c r="C82" i="82" s="1"/>
  <c r="Q47" i="82"/>
  <c r="Q53" i="82" s="1"/>
  <c r="Q56" i="82"/>
  <c r="Q62" i="82" s="1"/>
  <c r="I52" i="86"/>
  <c r="J52" i="86" s="1"/>
  <c r="C47" i="86"/>
  <c r="C48" i="86"/>
  <c r="E52" i="21"/>
  <c r="F52" i="21" s="1"/>
  <c r="E53" i="21"/>
  <c r="F53" i="21" s="1"/>
  <c r="I53" i="21"/>
  <c r="J53" i="21" s="1"/>
  <c r="I52" i="39"/>
  <c r="J52" i="39" s="1"/>
  <c r="E53" i="34"/>
  <c r="F53" i="34" s="1"/>
  <c r="E54" i="34"/>
  <c r="F54" i="34" s="1"/>
  <c r="AO10" i="1"/>
  <c r="Q47" i="81" l="1"/>
  <c r="Q53" i="81" s="1"/>
  <c r="Q65" i="81"/>
  <c r="Q75" i="81" s="1"/>
  <c r="Q56" i="81"/>
  <c r="Q62" i="81" s="1"/>
  <c r="C83" i="81"/>
  <c r="C82" i="81" s="1"/>
  <c r="B2" i="81"/>
  <c r="D8" i="12" s="1"/>
  <c r="C43" i="81"/>
  <c r="C71" i="81"/>
  <c r="C46" i="81"/>
  <c r="B10" i="70"/>
  <c r="B2" i="21"/>
  <c r="F8" i="12" s="1"/>
  <c r="B3" i="21"/>
  <c r="F6" i="12" s="1"/>
  <c r="B2" i="34"/>
  <c r="E8" i="12" s="1"/>
  <c r="B3" i="34"/>
  <c r="E6" i="12" s="1"/>
  <c r="C6" i="68"/>
  <c r="B56" i="39"/>
  <c r="F56" i="39" s="1"/>
  <c r="B57" i="39"/>
  <c r="F57" i="39" s="1"/>
  <c r="B58" i="39"/>
  <c r="F58" i="39" s="1"/>
  <c r="B59" i="39"/>
  <c r="F59" i="39" s="1"/>
  <c r="B60" i="39"/>
  <c r="F60" i="39" s="1"/>
  <c r="B61" i="39"/>
  <c r="F61" i="39" s="1"/>
  <c r="B62" i="39"/>
  <c r="F62" i="39" s="1"/>
  <c r="B63" i="39"/>
  <c r="F63" i="39" s="1"/>
  <c r="B64" i="39"/>
  <c r="F64" i="39" s="1"/>
  <c r="B65" i="39"/>
  <c r="F65" i="39" s="1"/>
  <c r="B56" i="86"/>
  <c r="F56" i="86" s="1"/>
  <c r="B57" i="86"/>
  <c r="B58" i="86"/>
  <c r="B59" i="86"/>
  <c r="F59" i="86" s="1"/>
  <c r="B60" i="86"/>
  <c r="F60" i="86" s="1"/>
  <c r="B61" i="86"/>
  <c r="F61" i="86" s="1"/>
  <c r="B62" i="86"/>
  <c r="F62" i="86" s="1"/>
  <c r="B63" i="86"/>
  <c r="F63" i="86" s="1"/>
  <c r="B64" i="86"/>
  <c r="F64" i="86" s="1"/>
  <c r="B65" i="86"/>
  <c r="F65" i="86" s="1"/>
  <c r="G8" i="12"/>
  <c r="B3" i="82"/>
  <c r="G6" i="12" s="1"/>
  <c r="AO7" i="1"/>
  <c r="F58" i="86" l="1"/>
  <c r="C41" i="9"/>
  <c r="E41" i="9" s="1"/>
  <c r="F57" i="86"/>
  <c r="C40" i="9"/>
  <c r="E40" i="9" s="1"/>
  <c r="C38" i="9" s="1"/>
  <c r="H106" i="9" s="1"/>
  <c r="B7" i="70"/>
  <c r="B2" i="70" s="1"/>
  <c r="B3" i="70" s="1"/>
  <c r="B3" i="81"/>
  <c r="F66" i="86"/>
  <c r="B2" i="86" s="1"/>
  <c r="B3" i="86" s="1"/>
  <c r="F66" i="39"/>
  <c r="B2" i="39" s="1"/>
  <c r="B3" i="39" s="1"/>
  <c r="C7" i="68"/>
  <c r="C5" i="68" s="1"/>
  <c r="D12" i="53" l="1"/>
  <c r="B28" i="72" s="1"/>
  <c r="H103" i="9"/>
  <c r="C4" i="12"/>
  <c r="C31" i="12" s="1"/>
  <c r="D6" i="12"/>
  <c r="C20" i="68"/>
  <c r="C25" i="68" s="1"/>
  <c r="C23" i="68"/>
  <c r="D8" i="53" l="1"/>
  <c r="D120" i="9"/>
  <c r="C23" i="12"/>
  <c r="C30" i="12" s="1"/>
  <c r="C28" i="12" s="1"/>
  <c r="C22" i="68"/>
  <c r="C28" i="68"/>
  <c r="C27" i="68" s="1"/>
  <c r="B24" i="72" l="1"/>
  <c r="D9" i="53"/>
  <c r="B25" i="72" s="1"/>
  <c r="D121" i="9"/>
  <c r="D7" i="52" s="1"/>
  <c r="D6" i="52"/>
  <c r="K120" i="9"/>
  <c r="A18" i="62" s="1"/>
  <c r="B64" i="72" s="1"/>
  <c r="C27" i="12"/>
  <c r="C25" i="12" s="1"/>
  <c r="C32" i="12" s="1"/>
  <c r="B2" i="12" s="1"/>
  <c r="C31" i="68"/>
  <c r="C52" i="68" s="1"/>
  <c r="B2" i="68" s="1"/>
  <c r="C19" i="9"/>
  <c r="D19" i="9"/>
  <c r="C57" i="68" l="1"/>
  <c r="C56" i="68" s="1"/>
  <c r="D21" i="9"/>
  <c r="D102" i="9"/>
  <c r="C21" i="9"/>
  <c r="C102" i="9"/>
  <c r="D22" i="9"/>
  <c r="G19" i="9"/>
  <c r="B3" i="12"/>
  <c r="B3" i="68"/>
  <c r="D34" i="9"/>
  <c r="D35" i="9"/>
  <c r="C20" i="9"/>
  <c r="D20" i="9"/>
  <c r="D103" i="9" l="1"/>
  <c r="C103" i="9"/>
  <c r="G20" i="9"/>
  <c r="C32" i="9"/>
  <c r="G21" i="9"/>
  <c r="H118" i="9" l="1"/>
  <c r="C35" i="9"/>
  <c r="F118" i="9" s="1"/>
  <c r="C34" i="9" l="1"/>
  <c r="D118" i="9" s="1"/>
  <c r="D119" i="9" s="1"/>
  <c r="D5" i="52" s="1"/>
  <c r="B49" i="72" s="1"/>
  <c r="F4" i="52"/>
  <c r="B51" i="72" s="1"/>
  <c r="F119" i="9"/>
  <c r="F5" i="52" s="1"/>
  <c r="B53" i="72" s="1"/>
  <c r="G118" i="9"/>
  <c r="G4" i="52" s="1"/>
  <c r="B52" i="72" s="1"/>
  <c r="H101" i="9"/>
  <c r="D14" i="74"/>
  <c r="C104" i="9"/>
  <c r="H119" i="9"/>
  <c r="H5" i="52" s="1"/>
  <c r="H4" i="52"/>
  <c r="I118" i="9"/>
  <c r="D4" i="52" l="1"/>
  <c r="B47" i="72" s="1"/>
  <c r="E14" i="74"/>
  <c r="B5" i="74"/>
  <c r="F14" i="74"/>
  <c r="M48" i="9"/>
  <c r="D45" i="9"/>
  <c r="H107" i="9"/>
  <c r="D5" i="53"/>
  <c r="I4" i="52"/>
  <c r="H102" i="9"/>
  <c r="D7" i="53" s="1"/>
  <c r="B21" i="72" s="1"/>
  <c r="C105" i="9"/>
  <c r="E118" i="9"/>
  <c r="E4" i="52" s="1"/>
  <c r="B48" i="72" s="1"/>
  <c r="B20" i="72" l="1"/>
  <c r="D6" i="53"/>
  <c r="B22" i="72" s="1"/>
  <c r="M49" i="9"/>
  <c r="D13" i="53"/>
  <c r="H108" i="9"/>
  <c r="D15" i="53" s="1"/>
  <c r="B31" i="72" s="1"/>
  <c r="D122" i="9"/>
  <c r="C5" i="74"/>
  <c r="D5" i="74"/>
  <c r="C85" i="9"/>
  <c r="D53" i="9"/>
  <c r="C64" i="9"/>
  <c r="C63" i="9" s="1"/>
  <c r="C67" i="9" s="1"/>
  <c r="C68" i="9" s="1"/>
  <c r="D54" i="9" s="1"/>
  <c r="C93" i="9"/>
  <c r="C86" i="9" s="1"/>
  <c r="C72" i="9"/>
  <c r="D52" i="9"/>
  <c r="C78" i="9"/>
  <c r="C73" i="9" s="1"/>
  <c r="D55" i="9"/>
  <c r="M53" i="9" s="1"/>
  <c r="D8" i="52" l="1"/>
  <c r="G14" i="74"/>
  <c r="B6" i="74" s="1"/>
  <c r="D123" i="9"/>
  <c r="D9" i="52" s="1"/>
  <c r="B30" i="72"/>
  <c r="D14" i="53"/>
  <c r="B32" i="72" s="1"/>
  <c r="C79" i="9"/>
  <c r="C95" i="9"/>
  <c r="L63" i="9"/>
  <c r="M63" i="9" s="1"/>
  <c r="L65" i="9"/>
  <c r="M65" i="9" s="1"/>
  <c r="L67" i="9"/>
  <c r="M67" i="9" s="1"/>
  <c r="L64" i="9"/>
  <c r="M64" i="9" s="1"/>
  <c r="L66" i="9"/>
  <c r="M66" i="9" s="1"/>
  <c r="L68" i="9"/>
  <c r="M68" i="9" s="1"/>
  <c r="M69" i="9" l="1"/>
  <c r="N69" i="9" s="1"/>
  <c r="C80" i="9"/>
  <c r="E80" i="9" s="1"/>
  <c r="E81" i="9" s="1"/>
  <c r="C6" i="74"/>
  <c r="D6" i="74"/>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<sst xmlns="http://schemas.openxmlformats.org/spreadsheetml/2006/main" count="12024" uniqueCount="4283">
  <si>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</si>
  <si>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</si>
  <si>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</si>
  <si>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</si>
  <si>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</si>
  <si>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</si>
  <si>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</si>
  <si>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</si>
  <si>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</si>
  <si>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</si>
  <si>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</si>
  <si>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</si>
  <si>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</si>
  <si>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</si>
  <si>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</si>
  <si>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</si>
  <si>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</si>
  <si>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</si>
  <si>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</si>
  <si>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</si>
  <si>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</si>
  <si>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</si>
  <si>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</si>
  <si>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</si>
  <si>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</si>
  <si>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</si>
  <si>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</si>
  <si>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</si>
  <si>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</si>
  <si>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</si>
  <si>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</si>
  <si>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</si>
  <si>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</si>
  <si>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</si>
  <si>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</si>
  <si>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</si>
  <si>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</si>
  <si>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</si>
  <si>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</si>
  <si>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</si>
  <si>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</si>
  <si>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</si>
  <si>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</si>
  <si>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</si>
  <si>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</si>
  <si>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</si>
  <si>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</si>
  <si>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</si>
  <si>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</si>
  <si>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</si>
  <si>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</si>
  <si>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</si>
  <si>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</si>
  <si>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</si>
  <si>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</si>
  <si>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</si>
  <si>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</si>
  <si>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</si>
  <si>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</si>
  <si>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</si>
  <si>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</si>
  <si>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</si>
  <si>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</si>
  <si>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</si>
  <si>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</si>
  <si>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</si>
  <si>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</si>
  <si>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</si>
  <si>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</si>
  <si>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</si>
  <si>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</si>
  <si>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</si>
  <si>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</si>
  <si>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</si>
  <si>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</si>
  <si>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</si>
  <si>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</si>
  <si>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</si>
  <si>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</si>
  <si>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</si>
  <si>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</si>
  <si>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</si>
  <si>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</si>
  <si>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</si>
  <si>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</si>
  <si>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</si>
  <si>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</si>
  <si>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</si>
  <si>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</si>
  <si>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</si>
  <si>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</si>
  <si>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</si>
  <si>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</si>
  <si>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</si>
  <si>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</si>
  <si>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</si>
  <si>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</si>
  <si>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</si>
  <si>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</si>
  <si>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</si>
  <si>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</si>
  <si>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</si>
  <si>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</si>
  <si>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</si>
  <si>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</si>
  <si>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</si>
  <si>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</si>
  <si>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</si>
  <si>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</si>
  <si>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</si>
  <si>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</si>
  <si>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</si>
  <si>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</si>
  <si>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</si>
  <si>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</si>
  <si>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</si>
  <si>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</si>
  <si>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</si>
  <si>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</si>
  <si>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</si>
  <si>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</si>
  <si>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</si>
  <si>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</si>
  <si>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</si>
  <si>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</si>
  <si>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</si>
  <si>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</si>
  <si>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</si>
  <si>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</si>
  <si>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</si>
  <si>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</si>
  <si>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</si>
  <si>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</si>
  <si>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</si>
  <si>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</si>
  <si>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</si>
  <si>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</si>
  <si>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</si>
  <si>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</si>
  <si>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</si>
  <si>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</si>
  <si>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</si>
  <si>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</si>
  <si>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</si>
  <si>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</si>
  <si>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</si>
  <si>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</si>
  <si>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</si>
  <si>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</si>
  <si>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</si>
  <si>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</si>
  <si>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</si>
  <si>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</si>
  <si>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</si>
  <si>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</si>
  <si>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</si>
  <si>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</si>
  <si>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</si>
  <si>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</si>
  <si>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</si>
  <si>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</si>
  <si>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</si>
  <si>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</si>
  <si>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</si>
  <si>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</si>
  <si>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</si>
  <si>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</si>
  <si>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</si>
  <si>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</si>
  <si>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</si>
  <si>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</si>
  <si>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</si>
  <si>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</si>
  <si>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</si>
  <si>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</si>
  <si>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</si>
  <si>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</si>
  <si>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</si>
  <si>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</si>
  <si>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</si>
  <si>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</si>
  <si>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</si>
  <si>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</si>
  <si>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</si>
  <si>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</si>
  <si>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</si>
  <si>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</si>
  <si>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</si>
  <si>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</si>
  <si>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</si>
  <si>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</si>
  <si>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</si>
  <si>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</si>
  <si>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</si>
  <si>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</si>
  <si>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</si>
  <si>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</si>
  <si>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</si>
  <si>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</si>
  <si>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</si>
  <si>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</si>
  <si>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</si>
  <si>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</si>
  <si>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</si>
  <si>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</si>
  <si>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</si>
  <si>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</si>
  <si>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</si>
  <si>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</si>
  <si>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</si>
  <si>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</si>
  <si>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</si>
  <si>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</si>
  <si>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</si>
  <si>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</si>
  <si>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</si>
  <si>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</si>
  <si>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</si>
  <si>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</si>
  <si>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</si>
  <si>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</si>
  <si>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</si>
  <si>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</si>
  <si>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</si>
  <si>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</si>
  <si>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</si>
  <si>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</si>
  <si>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</si>
  <si>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</si>
  <si>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</si>
  <si>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</si>
  <si>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</si>
  <si>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</si>
  <si>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</si>
  <si>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</si>
  <si>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</si>
  <si>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</si>
  <si>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</si>
  <si>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</si>
  <si>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</si>
  <si>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</si>
  <si>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</si>
  <si>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</si>
  <si>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</si>
  <si>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</si>
  <si>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</si>
  <si>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</si>
  <si>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</si>
  <si>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</si>
  <si>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</si>
  <si>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</si>
  <si>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</si>
  <si>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</si>
  <si>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</si>
  <si>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</si>
  <si>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</si>
  <si>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</si>
  <si>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</si>
  <si>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</si>
  <si>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</si>
  <si>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</si>
  <si>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</si>
  <si>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</si>
  <si>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</si>
  <si>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</si>
  <si>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</si>
  <si>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</si>
  <si>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</si>
  <si>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</si>
  <si>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</si>
  <si>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</si>
  <si>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</si>
  <si>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</si>
  <si>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</si>
  <si>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</si>
  <si>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</si>
  <si>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</si>
  <si>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</si>
  <si>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</si>
  <si>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</si>
  <si>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</si>
  <si>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</si>
  <si>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</si>
  <si>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</si>
  <si>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</si>
  <si>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</si>
  <si>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</si>
  <si>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</si>
  <si>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</si>
  <si>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</si>
  <si>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</si>
  <si>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</si>
  <si>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</si>
  <si>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</si>
  <si>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</si>
  <si>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</si>
  <si>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</si>
  <si>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</si>
  <si>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</si>
  <si>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</si>
  <si>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</si>
  <si>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</si>
  <si>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</si>
  <si>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</si>
  <si>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</si>
  <si>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</si>
  <si>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</si>
  <si>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</si>
  <si>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</si>
  <si>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</si>
  <si>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</si>
  <si>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</si>
  <si>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</si>
  <si>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</si>
  <si>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</si>
  <si>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</si>
  <si>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</si>
  <si>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</si>
  <si>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</si>
  <si>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</si>
  <si>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</si>
  <si>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</si>
  <si>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</si>
  <si>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</si>
  <si>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</si>
  <si>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</si>
  <si>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</si>
  <si>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</si>
  <si>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</si>
  <si>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</si>
  <si>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</si>
  <si>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</si>
  <si>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</si>
  <si>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</si>
  <si>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</si>
  <si>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</si>
  <si>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</si>
  <si>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</si>
  <si>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</si>
  <si>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</si>
  <si>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</si>
  <si>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</si>
  <si>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</si>
  <si>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</si>
  <si>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</si>
  <si>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</si>
  <si>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</si>
  <si>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</si>
  <si>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</si>
  <si>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</si>
  <si>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</si>
  <si>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</si>
  <si>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</si>
  <si>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</si>
  <si>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</si>
  <si>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</si>
  <si>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</si>
  <si>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</si>
  <si>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</si>
  <si>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</si>
  <si>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</si>
  <si>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</si>
  <si>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</si>
  <si>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</si>
  <si>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</si>
  <si>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</si>
  <si>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</si>
  <si>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</si>
  <si>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</si>
  <si>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</si>
  <si>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</si>
  <si>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</si>
  <si>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</si>
  <si>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</si>
  <si>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</si>
  <si>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</si>
  <si>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</si>
  <si>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</si>
  <si>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</si>
  <si>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</si>
  <si>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</si>
  <si>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</si>
  <si>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</si>
  <si>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</si>
  <si>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</si>
  <si>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</si>
  <si>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</si>
  <si>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</si>
  <si>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</si>
  <si>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</si>
  <si>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</si>
  <si>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</si>
  <si>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</si>
  <si>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</si>
  <si>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</si>
  <si>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</si>
  <si>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</si>
  <si>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</si>
  <si>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</si>
  <si>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</si>
  <si>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</si>
  <si>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</si>
  <si>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</si>
  <si>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</si>
  <si>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</si>
  <si>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</si>
  <si>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</si>
  <si>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</si>
  <si>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</si>
  <si>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</si>
  <si>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</si>
  <si>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</si>
  <si>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</si>
  <si>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</si>
  <si>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</si>
  <si>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</si>
  <si>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</si>
  <si>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</si>
  <si>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</si>
  <si>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</si>
  <si>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</si>
  <si>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</si>
  <si>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</si>
  <si>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</si>
  <si>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</si>
  <si>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</si>
  <si>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</si>
  <si>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</si>
  <si>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</si>
  <si>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</si>
  <si>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</si>
  <si>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</si>
  <si>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</si>
  <si>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</si>
  <si>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</si>
  <si>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</si>
  <si>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</si>
  <si>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</si>
  <si>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</si>
  <si>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</si>
  <si>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</si>
  <si>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</si>
  <si>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</si>
  <si>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</si>
  <si>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</si>
  <si>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</si>
  <si>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</si>
  <si>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</si>
  <si>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</si>
  <si>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</si>
  <si>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</si>
  <si>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</si>
  <si>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</si>
  <si>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</si>
  <si>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</si>
  <si>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</si>
  <si>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</si>
  <si>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</si>
  <si>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</si>
  <si>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</si>
  <si>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</si>
  <si>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</si>
  <si>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</si>
  <si>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</si>
  <si>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</si>
  <si>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</si>
  <si>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</si>
  <si>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</si>
  <si>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</si>
  <si>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</si>
  <si>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</si>
  <si>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</si>
  <si>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</si>
  <si>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</si>
  <si>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</si>
  <si>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</si>
  <si>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</si>
  <si>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</si>
  <si>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</si>
  <si>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</si>
  <si>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</si>
  <si>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</si>
  <si>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</si>
  <si>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</si>
  <si>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</si>
  <si>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</si>
  <si>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</si>
  <si>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</si>
  <si>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</si>
  <si>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</si>
  <si>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</si>
  <si>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</si>
  <si>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</si>
  <si>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</si>
  <si>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</si>
  <si>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</si>
  <si>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</si>
  <si>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</si>
  <si>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</si>
  <si>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</si>
  <si>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</si>
  <si>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</si>
  <si>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</si>
  <si>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</si>
  <si>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</si>
  <si>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</si>
  <si>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</si>
  <si>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</si>
  <si>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</si>
  <si>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</si>
  <si>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</si>
  <si>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</si>
  <si>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</si>
  <si>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</si>
  <si>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</si>
  <si>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</si>
  <si>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</si>
  <si>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</si>
  <si>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</si>
  <si>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</si>
  <si>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</si>
  <si>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</si>
  <si>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</si>
  <si>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</si>
  <si>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</si>
  <si>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</si>
  <si>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</si>
  <si>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</si>
  <si>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</si>
  <si>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</si>
  <si>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</si>
  <si>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</si>
  <si>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</si>
  <si>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</si>
  <si>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</si>
  <si>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</si>
  <si>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</si>
  <si>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</si>
  <si>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</si>
  <si>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</si>
  <si>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</si>
  <si>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</si>
  <si>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</si>
  <si>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</si>
  <si>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</si>
  <si>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</si>
  <si>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</si>
  <si>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</si>
  <si>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</si>
  <si>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</si>
  <si>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</si>
  <si>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</si>
  <si>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</si>
  <si>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</si>
  <si>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</si>
  <si>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</si>
  <si>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</si>
  <si>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</si>
  <si>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</si>
  <si>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</si>
  <si>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</si>
  <si>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</si>
  <si>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</si>
  <si>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</si>
  <si>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</si>
  <si>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</si>
  <si>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</si>
  <si>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</si>
  <si>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</si>
  <si>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</si>
  <si>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</si>
  <si>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</si>
  <si>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</si>
  <si>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</si>
  <si>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</si>
  <si>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</si>
  <si>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</si>
  <si>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</si>
  <si>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</si>
  <si>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</si>
  <si>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</si>
  <si>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</si>
  <si>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</si>
  <si>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</si>
  <si>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</si>
  <si>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</si>
  <si>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</si>
  <si>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</si>
  <si>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</si>
  <si>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</si>
  <si>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</si>
  <si>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</si>
  <si>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</si>
  <si>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</si>
  <si>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</si>
  <si>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</si>
  <si>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</si>
  <si>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</si>
  <si>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</si>
  <si>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</si>
  <si>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</si>
  <si>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</si>
  <si>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</si>
  <si>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</si>
  <si>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</si>
  <si>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</si>
  <si>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</si>
  <si>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</si>
  <si>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</si>
  <si>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</si>
  <si>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</si>
  <si>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</si>
  <si>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</si>
  <si>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</si>
  <si>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</si>
  <si>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</si>
  <si>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</si>
  <si>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</si>
  <si>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</si>
  <si>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</si>
  <si>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</si>
  <si>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</si>
  <si>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</si>
  <si>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</si>
  <si>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</si>
  <si>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</si>
  <si>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</si>
  <si>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</si>
  <si>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</si>
  <si>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</si>
  <si>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</si>
  <si>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</si>
  <si>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</si>
  <si>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</si>
  <si>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</si>
  <si>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</si>
  <si>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</si>
  <si>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</si>
  <si>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</si>
  <si>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</si>
  <si>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</si>
  <si>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</si>
  <si>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</si>
  <si>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</si>
  <si>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</si>
  <si>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</si>
  <si>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</si>
  <si>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</si>
  <si>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</si>
  <si>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</si>
  <si>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</si>
  <si>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</si>
  <si>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</si>
  <si>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</si>
  <si>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</si>
  <si>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</si>
  <si>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</si>
  <si>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</si>
  <si>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</si>
  <si>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</si>
  <si>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</si>
  <si>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</si>
  <si>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</si>
  <si>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</si>
  <si>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</si>
  <si>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</si>
  <si>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</si>
  <si>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</si>
  <si>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</si>
  <si>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</si>
  <si>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</si>
  <si>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</si>
  <si>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</si>
  <si>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</si>
  <si>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</si>
  <si>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</si>
  <si>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</si>
  <si>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</si>
  <si>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</si>
  <si>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</si>
  <si>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</si>
  <si>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</si>
  <si>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</si>
  <si>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</si>
  <si>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</si>
  <si>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</si>
  <si>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</si>
  <si>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</si>
  <si>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</si>
  <si>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</si>
  <si>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</si>
  <si>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</si>
  <si>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</si>
  <si>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</si>
  <si>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</si>
  <si>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</si>
  <si>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</si>
  <si>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</si>
  <si>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</si>
  <si>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</si>
  <si>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</si>
  <si>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</si>
  <si>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</si>
  <si>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</si>
  <si>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</si>
  <si>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</si>
  <si>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</si>
  <si>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</si>
  <si>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</si>
  <si>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</si>
  <si>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</si>
  <si>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</si>
  <si>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</si>
  <si>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</si>
  <si>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</si>
  <si>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</si>
  <si>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</si>
  <si>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</si>
  <si>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</si>
  <si>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</si>
  <si>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</si>
  <si>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</si>
  <si>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</si>
  <si>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</si>
  <si>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</si>
  <si>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</si>
  <si>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</si>
  <si>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</si>
  <si>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</si>
  <si>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</si>
  <si>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</si>
  <si>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</si>
  <si>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</si>
  <si>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</si>
  <si>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</si>
  <si>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</si>
  <si>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</si>
  <si>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</si>
  <si>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</si>
  <si>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</si>
  <si>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</si>
  <si>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</si>
  <si>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</si>
  <si>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</si>
  <si>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</si>
  <si>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</si>
  <si>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</si>
  <si>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</si>
  <si>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</si>
  <si>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</si>
  <si>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</si>
  <si>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</si>
  <si>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</si>
  <si>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</si>
  <si>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</si>
  <si>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</si>
  <si>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</si>
  <si>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</si>
  <si>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</si>
  <si>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</si>
  <si>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</si>
  <si>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</si>
  <si>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</si>
  <si>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</si>
  <si>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</si>
  <si>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</si>
  <si>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</si>
  <si>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</si>
  <si>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</si>
  <si>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</si>
  <si>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</si>
  <si>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</si>
  <si>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</si>
  <si>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</si>
  <si>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</si>
  <si>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</si>
  <si>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</si>
  <si>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</si>
  <si>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</si>
  <si>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</si>
  <si>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</si>
  <si>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</si>
  <si>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</si>
  <si>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</si>
  <si>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</si>
  <si>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</si>
  <si>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</si>
  <si>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</si>
  <si>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</si>
  <si>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</si>
  <si>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</si>
  <si>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</si>
  <si>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</si>
  <si>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</si>
  <si>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</si>
  <si>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</si>
  <si>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</si>
  <si>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</si>
  <si>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</si>
  <si>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</si>
  <si>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</si>
  <si>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</si>
  <si>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</si>
  <si>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</si>
  <si>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</si>
  <si>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</si>
  <si>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</si>
  <si>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</si>
  <si>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</si>
  <si>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</si>
  <si>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</si>
  <si>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</si>
  <si>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</si>
  <si>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</si>
  <si>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</si>
  <si>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</si>
  <si>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</si>
  <si>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</si>
  <si>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</si>
  <si>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</si>
  <si>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</si>
  <si>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</si>
  <si>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</si>
  <si>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</si>
  <si>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</si>
  <si>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</si>
  <si>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</si>
  <si>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</si>
  <si>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</si>
  <si>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</si>
  <si>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</si>
  <si>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</si>
  <si>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</si>
  <si>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</si>
  <si>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</si>
  <si>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</si>
  <si>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</si>
  <si>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</si>
  <si>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</si>
  <si>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</si>
  <si>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</si>
  <si>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</si>
  <si>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</si>
  <si>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</si>
  <si>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</si>
  <si>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</si>
  <si>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</si>
  <si>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</si>
  <si>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</si>
  <si>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</si>
  <si>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</si>
  <si>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</si>
  <si>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</si>
  <si>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</si>
  <si>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</si>
  <si>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</si>
  <si>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</si>
  <si>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</si>
  <si>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</si>
  <si>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</si>
  <si>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</si>
  <si>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</si>
  <si>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</si>
  <si>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</si>
  <si>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</si>
  <si>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</si>
  <si>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</si>
  <si>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</si>
  <si>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</si>
  <si>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</si>
  <si>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</si>
  <si>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</si>
  <si>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</si>
  <si>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</si>
  <si>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</si>
  <si>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</si>
  <si>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</si>
  <si>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</si>
  <si>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</si>
  <si>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</si>
  <si>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</si>
  <si>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</si>
  <si>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</si>
  <si>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</si>
  <si>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</si>
  <si>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</si>
  <si>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</si>
  <si>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</si>
  <si>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</si>
  <si>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</si>
  <si>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</si>
  <si>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</si>
  <si>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</si>
  <si>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</si>
  <si>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</si>
  <si>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</si>
  <si>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</si>
  <si>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</si>
  <si>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</si>
  <si>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</si>
  <si>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</si>
  <si>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</si>
  <si>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</si>
  <si>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</si>
  <si>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</si>
  <si>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</si>
  <si>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</si>
  <si>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</si>
  <si>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</si>
  <si>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</si>
  <si>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</si>
  <si>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</si>
  <si>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</si>
  <si>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</si>
  <si>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</si>
  <si>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</si>
  <si>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</si>
  <si>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</si>
  <si>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</si>
  <si>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</si>
  <si>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</si>
  <si>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</si>
  <si>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</si>
  <si>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</si>
  <si>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</si>
  <si>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</si>
  <si>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</si>
  <si>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</si>
  <si>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</si>
  <si>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</si>
  <si>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</si>
  <si>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</si>
  <si>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</si>
  <si>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</si>
  <si>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</si>
  <si>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</si>
  <si>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</si>
  <si>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</si>
  <si>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</si>
  <si>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</si>
  <si>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</si>
  <si>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</si>
  <si>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</si>
  <si>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</si>
  <si>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</si>
  <si>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</si>
  <si>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</si>
  <si>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</si>
  <si>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</si>
  <si>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</si>
  <si>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</si>
  <si>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</si>
  <si>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</si>
  <si>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</si>
  <si>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</si>
  <si>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</si>
  <si>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</si>
  <si>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</si>
  <si>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</si>
  <si>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</si>
  <si>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</si>
  <si>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</si>
  <si>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</si>
  <si>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</si>
  <si>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</si>
  <si>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</si>
  <si>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</si>
  <si>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</si>
  <si>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</si>
  <si>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</si>
  <si>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</si>
  <si>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</si>
  <si>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</si>
  <si>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</si>
  <si>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</si>
  <si>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</si>
  <si>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</si>
  <si>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</si>
  <si>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</si>
  <si>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</si>
  <si>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</si>
  <si>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</si>
  <si>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</si>
  <si>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</si>
  <si>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</si>
  <si>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</si>
  <si>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</si>
  <si>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</si>
  <si>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</si>
  <si>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</si>
  <si>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</si>
  <si>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</si>
  <si>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</si>
  <si>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</si>
  <si>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</si>
  <si>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</si>
  <si>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</si>
  <si>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</si>
  <si>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</si>
  <si>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</si>
  <si>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</si>
  <si>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</si>
  <si>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</si>
  <si>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</si>
  <si>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</si>
  <si>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</si>
  <si>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</si>
  <si>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</si>
  <si>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</si>
  <si>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</si>
  <si>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</si>
  <si>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</si>
  <si>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</si>
  <si>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</si>
  <si>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</si>
  <si>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</si>
  <si>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</si>
  <si>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</si>
  <si>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</si>
  <si>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</si>
  <si>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</si>
  <si>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</si>
  <si>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</si>
  <si>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</si>
  <si>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</si>
  <si>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</si>
  <si>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</si>
  <si>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</si>
  <si>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</si>
  <si>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</si>
  <si>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</si>
  <si>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</si>
  <si>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</si>
  <si>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</si>
  <si>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</si>
  <si>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</si>
  <si>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</si>
  <si>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</si>
  <si>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</si>
  <si>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</si>
  <si>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</si>
  <si>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</si>
  <si>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</si>
  <si>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</si>
  <si>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</si>
  <si>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</si>
  <si>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</si>
  <si>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</si>
  <si>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</si>
  <si>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</si>
  <si>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</si>
  <si>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</si>
  <si>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</si>
  <si>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</si>
  <si>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</si>
  <si>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</si>
  <si>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</si>
  <si>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</si>
  <si>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</si>
  <si>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</si>
  <si>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</si>
  <si>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</si>
  <si>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</si>
  <si>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</si>
  <si>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</si>
  <si>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</si>
  <si>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</si>
  <si>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</si>
  <si>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</si>
  <si>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</si>
  <si>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</si>
  <si>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</si>
  <si>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</si>
  <si>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</si>
  <si>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</si>
  <si>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</si>
  <si>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</si>
  <si>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</si>
  <si>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</si>
  <si>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</si>
  <si>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</si>
  <si>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</si>
  <si>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</si>
  <si>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</si>
  <si>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</si>
  <si>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</si>
  <si>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</si>
  <si>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</si>
  <si>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</si>
  <si>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</si>
  <si>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</si>
  <si>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</si>
  <si>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</si>
  <si>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</si>
  <si>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</si>
  <si>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</si>
  <si>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</si>
  <si>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</si>
  <si>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</si>
  <si>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</si>
  <si>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</si>
  <si>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</si>
  <si>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</si>
  <si>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</si>
  <si>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</si>
  <si>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</si>
  <si>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</si>
  <si>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</si>
  <si>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</si>
  <si>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</si>
  <si>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</si>
  <si>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</si>
  <si>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</si>
  <si>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</si>
  <si>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</si>
  <si>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</si>
  <si>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</si>
  <si>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</si>
  <si>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</si>
  <si>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</si>
  <si>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</si>
  <si>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</si>
  <si>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</si>
  <si>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</si>
  <si>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</si>
  <si>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</si>
  <si>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</si>
  <si>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</si>
  <si>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</si>
  <si>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</si>
  <si>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</si>
  <si>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</si>
  <si>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</si>
  <si>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</si>
  <si>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</si>
  <si>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</si>
  <si>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</si>
  <si>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</si>
  <si>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</si>
  <si>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</si>
  <si>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</si>
  <si>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</si>
  <si>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</si>
  <si>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</si>
  <si>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</si>
  <si>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</si>
  <si>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</si>
  <si>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</si>
  <si>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</si>
  <si>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</si>
  <si>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</si>
  <si>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</si>
  <si>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</si>
  <si>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</si>
  <si>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</si>
  <si>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</si>
  <si>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</si>
  <si>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</si>
  <si>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</si>
  <si>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</si>
  <si>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</si>
  <si>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</si>
  <si>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</si>
  <si>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</si>
  <si>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</si>
  <si>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</si>
  <si>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</si>
  <si>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</si>
  <si>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</si>
  <si>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</si>
  <si>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</si>
  <si>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</si>
  <si>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</si>
  <si>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</si>
  <si>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</si>
  <si>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</si>
  <si>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</si>
  <si>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</si>
  <si>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</si>
  <si>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</si>
  <si>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</si>
  <si>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</si>
  <si>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</si>
  <si>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</si>
  <si>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</si>
  <si>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</si>
  <si>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</si>
  <si>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</si>
  <si>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</si>
  <si>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</si>
  <si>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</si>
  <si>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</si>
  <si>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</si>
  <si>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</si>
  <si>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</si>
  <si>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</si>
  <si>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</si>
  <si>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</si>
  <si>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</si>
  <si>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</si>
  <si>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</si>
  <si>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</si>
  <si>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</si>
  <si>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</si>
  <si>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</si>
  <si>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</si>
  <si>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</si>
  <si>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</si>
  <si>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</si>
  <si>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</si>
  <si>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</si>
  <si>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</si>
  <si>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</si>
  <si>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</si>
  <si>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</si>
  <si>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</si>
  <si>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</si>
  <si>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</si>
  <si>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</si>
  <si>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</si>
  <si>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</si>
  <si>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</si>
  <si>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</si>
  <si>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</si>
  <si>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</si>
  <si>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</si>
  <si>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</si>
  <si>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</si>
  <si>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</si>
  <si>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</si>
  <si>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</si>
  <si>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</si>
  <si>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</si>
  <si>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</si>
  <si>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</si>
  <si>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</si>
  <si>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</si>
  <si>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</si>
  <si>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</si>
  <si>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</si>
  <si>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</si>
  <si>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</si>
  <si>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</si>
  <si>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</si>
  <si>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</si>
  <si>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</si>
  <si>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</si>
  <si>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</si>
  <si>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</si>
  <si>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</si>
  <si>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</si>
  <si>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</si>
  <si>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</si>
  <si>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</si>
  <si>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</si>
  <si>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</si>
  <si>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</si>
  <si>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</si>
  <si>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</si>
  <si>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</si>
  <si>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</si>
  <si>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</si>
  <si>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</si>
  <si>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</si>
  <si>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</si>
  <si>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</si>
  <si>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</si>
  <si>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</si>
  <si>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</si>
  <si>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</si>
  <si>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</si>
  <si>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</si>
  <si>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</si>
  <si>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</si>
  <si>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</si>
  <si>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</si>
  <si>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</si>
  <si>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</si>
  <si>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</si>
  <si>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</si>
  <si>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</si>
  <si>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</si>
  <si>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</si>
  <si>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</si>
  <si>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</si>
  <si>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</si>
  <si>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</si>
  <si>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</si>
  <si>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</si>
  <si>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</si>
  <si>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</si>
  <si>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</si>
  <si>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</si>
  <si>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</si>
  <si>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</si>
  <si>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</si>
  <si>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</si>
  <si>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</si>
  <si>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</si>
  <si>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</si>
  <si>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</si>
  <si>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</si>
  <si>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</si>
  <si>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</si>
  <si>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</si>
  <si>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</si>
  <si>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</si>
  <si>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</si>
  <si>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</si>
  <si>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</si>
  <si>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</si>
  <si>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</si>
  <si>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</si>
  <si>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</si>
  <si>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</si>
  <si>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</si>
  <si>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</si>
  <si>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</si>
  <si>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</si>
  <si>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</si>
  <si>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</si>
  <si>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</si>
  <si>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</si>
  <si>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</si>
  <si>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</si>
  <si>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</si>
  <si>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</si>
  <si>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</si>
  <si>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</si>
  <si>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</si>
  <si>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</si>
  <si>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</si>
  <si>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</si>
  <si>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</si>
  <si>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</si>
  <si>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</si>
  <si>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</si>
  <si>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</si>
  <si>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</si>
  <si>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</si>
  <si>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</si>
  <si>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</si>
  <si>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</si>
  <si>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</si>
  <si>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</si>
  <si>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</si>
  <si>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</si>
  <si>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</si>
  <si>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</si>
  <si>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</si>
  <si>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</si>
  <si>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</si>
  <si>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</si>
  <si>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</si>
  <si>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</si>
  <si>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</si>
  <si>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</si>
  <si>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</si>
  <si>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</si>
  <si>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</si>
  <si>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</si>
  <si>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</si>
  <si>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</si>
  <si>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</si>
  <si>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</si>
  <si>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</si>
  <si>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</si>
  <si>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</si>
  <si>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</si>
  <si>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</si>
  <si>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</si>
  <si>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</si>
  <si>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</si>
  <si>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</si>
  <si>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</si>
  <si>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</si>
  <si>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</si>
  <si>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</si>
  <si>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</si>
  <si>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</si>
  <si>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</si>
  <si>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</si>
  <si>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</si>
  <si>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</si>
  <si>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</si>
  <si>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</si>
  <si>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</si>
  <si>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</si>
  <si>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</si>
  <si>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</si>
  <si>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</si>
  <si>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</si>
  <si>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</si>
  <si>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</si>
  <si>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</si>
  <si>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</si>
  <si>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</si>
  <si>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</si>
  <si>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</si>
  <si>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</si>
  <si>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</si>
  <si>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</si>
  <si>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</si>
  <si>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</si>
  <si>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</si>
  <si>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</si>
  <si>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</si>
  <si>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</si>
  <si>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</si>
  <si>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</si>
  <si>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</si>
  <si>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</si>
  <si>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</si>
  <si>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</si>
  <si>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</si>
  <si>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</si>
  <si>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</si>
  <si>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</si>
  <si>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</si>
  <si>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</si>
  <si>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</si>
  <si>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</si>
  <si>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</si>
  <si>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</si>
  <si>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</si>
  <si>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</si>
  <si>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</si>
  <si>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</si>
  <si>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</si>
  <si>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</si>
  <si>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</si>
  <si>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</si>
  <si>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</si>
  <si>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</si>
  <si>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</si>
  <si>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</si>
  <si>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</si>
  <si>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</si>
  <si>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</si>
  <si>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</si>
  <si>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</si>
  <si>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</si>
  <si>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</si>
  <si>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</si>
  <si>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</si>
  <si>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</si>
  <si>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</si>
  <si>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</si>
  <si>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</si>
  <si>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</si>
  <si>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</si>
  <si>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</si>
  <si>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</si>
  <si>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</si>
  <si>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</si>
  <si>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</si>
  <si>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</si>
  <si>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</si>
  <si>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</si>
  <si>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</si>
  <si>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</si>
  <si>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</si>
  <si>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</si>
  <si>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</si>
  <si>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</si>
  <si>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</si>
  <si>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</si>
  <si>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</si>
  <si>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</si>
  <si>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</si>
  <si>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</si>
  <si>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</si>
  <si>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</si>
  <si>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</si>
  <si>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</si>
  <si>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</si>
  <si>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</si>
  <si>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</si>
  <si>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</si>
  <si>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</si>
  <si>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</si>
  <si>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</si>
  <si>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</si>
  <si>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</si>
  <si>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</si>
  <si>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</si>
  <si>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</si>
  <si>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</si>
  <si>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</si>
  <si>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</si>
  <si>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</si>
  <si>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</si>
  <si>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</si>
  <si>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</si>
  <si>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</si>
  <si>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</si>
  <si>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</si>
  <si>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</si>
  <si>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</si>
  <si>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</si>
  <si>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</si>
  <si>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</si>
  <si>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</si>
  <si>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</si>
  <si>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</si>
  <si>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</si>
  <si>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</si>
  <si>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</si>
  <si>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</si>
  <si>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</si>
  <si>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</si>
  <si>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</si>
  <si>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</si>
  <si>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</si>
  <si>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</si>
  <si>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</si>
  <si>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</si>
  <si>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</si>
  <si>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</si>
  <si>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</si>
  <si>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</si>
  <si>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</si>
  <si>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</si>
  <si>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</si>
  <si>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</si>
  <si>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</si>
  <si>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</si>
  <si>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</si>
  <si>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</si>
  <si>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</si>
  <si>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</si>
  <si>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</si>
  <si>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</si>
  <si>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</si>
  <si>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</si>
  <si>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</si>
  <si>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</si>
  <si>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</si>
  <si>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</si>
  <si>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</si>
  <si>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</si>
  <si>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</si>
  <si>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</si>
  <si>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</si>
  <si>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</si>
  <si>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</si>
  <si>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</si>
  <si>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</si>
  <si>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</si>
  <si>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</si>
  <si>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</si>
  <si>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</si>
  <si>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</si>
  <si>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</si>
  <si>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</si>
  <si>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</si>
  <si>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</si>
  <si>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</si>
  <si>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</si>
  <si>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</si>
  <si>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</si>
  <si>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</si>
  <si>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</si>
  <si>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</si>
  <si>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</si>
  <si>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</si>
  <si>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</si>
  <si>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</si>
  <si>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</si>
  <si>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</si>
  <si>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</si>
  <si>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</si>
  <si>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</si>
  <si>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</si>
  <si>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</si>
  <si>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</si>
  <si>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</si>
  <si>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</si>
  <si>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</si>
  <si>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</si>
  <si>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</si>
  <si>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</si>
  <si>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</si>
  <si>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</si>
  <si>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</si>
  <si>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</si>
  <si>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</si>
  <si>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</si>
  <si>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</si>
  <si>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</si>
  <si>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</si>
  <si>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</si>
  <si>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</si>
  <si>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</si>
  <si>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</si>
  <si>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</si>
  <si>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</si>
  <si>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</si>
  <si>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</si>
  <si>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</si>
  <si>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</si>
  <si>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</si>
  <si>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</si>
  <si>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</si>
  <si>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</si>
  <si>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</si>
  <si>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</si>
  <si>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</si>
  <si>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</si>
  <si>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</si>
  <si>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</si>
  <si>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</si>
  <si>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</si>
  <si>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</si>
  <si>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</si>
  <si>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</si>
  <si>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</si>
  <si>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</si>
  <si>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</si>
  <si>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</si>
  <si>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</si>
  <si>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</si>
  <si>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</si>
  <si>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</si>
  <si>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</si>
  <si>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</si>
  <si>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</si>
  <si>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</si>
  <si>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</si>
  <si>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</si>
  <si>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</si>
  <si>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</si>
  <si>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</si>
  <si>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</si>
  <si>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</si>
  <si>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</si>
  <si>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</si>
  <si>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</si>
  <si>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</si>
  <si>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</si>
  <si>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</si>
  <si>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</si>
  <si>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</si>
  <si>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</si>
  <si>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</si>
  <si>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</si>
  <si>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</si>
  <si>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</si>
  <si>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</si>
  <si>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</si>
  <si>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</si>
  <si>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</si>
  <si>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</si>
  <si>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</si>
  <si>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</si>
  <si>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</si>
  <si>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</si>
  <si>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</si>
  <si>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</si>
  <si>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</si>
  <si>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</si>
  <si>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</si>
  <si>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</si>
  <si>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</si>
  <si>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</si>
  <si>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</si>
  <si>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</si>
  <si>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</si>
  <si>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</si>
  <si>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</si>
  <si>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</si>
  <si>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</si>
  <si>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</si>
  <si>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</si>
  <si>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</si>
  <si>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</si>
  <si>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</si>
  <si>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</si>
  <si>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</si>
  <si>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</si>
  <si>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</si>
  <si>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</si>
  <si>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</si>
  <si>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</si>
  <si>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</si>
  <si>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</si>
  <si>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</si>
  <si>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</si>
  <si>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</si>
  <si>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</si>
  <si>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</si>
  <si>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</si>
  <si>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</si>
  <si>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</si>
  <si>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</si>
  <si>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</si>
  <si>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</si>
  <si>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</si>
  <si>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</si>
  <si>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</si>
  <si>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</si>
  <si>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</si>
  <si>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</si>
  <si>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</si>
  <si>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</si>
  <si>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</si>
  <si>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</si>
  <si>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</si>
  <si>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</si>
  <si>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</si>
  <si>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</si>
  <si>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</si>
  <si>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</si>
  <si>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</si>
  <si>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</si>
  <si>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</si>
  <si>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</si>
  <si>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</si>
  <si>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</si>
  <si>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</si>
  <si>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</si>
  <si>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</si>
  <si>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</si>
  <si>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</si>
  <si>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</si>
  <si>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</si>
  <si>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</si>
  <si>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</si>
  <si>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</si>
  <si>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</si>
  <si>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</si>
  <si>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</si>
  <si>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</si>
  <si>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</si>
  <si>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</si>
  <si>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</si>
  <si>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</si>
  <si>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</si>
  <si>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</si>
  <si>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</si>
  <si>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</si>
  <si>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</si>
  <si>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</si>
  <si>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</si>
  <si>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</si>
  <si>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</si>
  <si>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</si>
  <si>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</si>
  <si>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</si>
  <si>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</si>
  <si>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</si>
  <si>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</si>
  <si>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</si>
  <si>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</si>
  <si>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</si>
  <si>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</si>
  <si>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</si>
  <si>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</si>
  <si>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</si>
  <si>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</si>
  <si>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</si>
  <si>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</si>
  <si>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</si>
  <si>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</si>
  <si>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</si>
  <si>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</si>
  <si>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</si>
  <si>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</si>
  <si>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</si>
  <si>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</si>
  <si>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</si>
  <si>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</si>
  <si>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</si>
  <si>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</si>
  <si>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</si>
  <si>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</si>
  <si>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</si>
  <si>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</si>
  <si>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</si>
  <si>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</si>
  <si>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</si>
  <si>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</si>
  <si>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</si>
  <si>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</si>
  <si>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</si>
  <si>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</si>
  <si>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</si>
  <si>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</si>
  <si>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</si>
  <si>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</si>
  <si>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</si>
  <si>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</si>
  <si>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</si>
  <si>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</si>
  <si>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</si>
  <si>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</si>
  <si>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</si>
  <si>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</si>
  <si>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</si>
  <si>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</si>
  <si>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</si>
  <si>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</si>
  <si>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</si>
  <si>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</si>
  <si>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</si>
  <si>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</si>
  <si>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</si>
  <si>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</si>
  <si>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</si>
  <si>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</si>
  <si>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</si>
  <si>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</si>
  <si>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</si>
  <si>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</si>
  <si>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</si>
  <si>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</si>
  <si>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</si>
  <si>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</si>
  <si>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</si>
  <si>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</si>
  <si>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</si>
  <si>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</si>
  <si>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</si>
  <si>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</si>
  <si>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</si>
  <si>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</si>
  <si>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</si>
  <si>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</si>
  <si>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</si>
  <si>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</si>
  <si>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</si>
  <si>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</si>
  <si>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</si>
  <si>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</si>
  <si>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</si>
  <si>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</si>
  <si>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</si>
  <si>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</si>
  <si>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</si>
  <si>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</si>
  <si>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</si>
  <si>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</si>
  <si>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</si>
  <si>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</si>
  <si>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</si>
  <si>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</si>
  <si>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</si>
  <si>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</si>
  <si>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</si>
  <si>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</si>
  <si>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</si>
  <si>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</si>
  <si>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</si>
  <si>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</si>
  <si>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</si>
  <si>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</si>
  <si>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</si>
  <si>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</si>
  <si>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</si>
  <si>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</si>
  <si>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</si>
  <si>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</si>
  <si>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</si>
  <si>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</si>
  <si>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</si>
  <si>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</si>
  <si>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</si>
  <si>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</si>
  <si>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</si>
  <si>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</si>
  <si>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</si>
  <si>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</si>
  <si>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</si>
  <si>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</si>
  <si>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</si>
  <si>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</si>
  <si>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</si>
  <si>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</si>
  <si>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</si>
  <si>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</si>
  <si>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</si>
  <si>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</si>
  <si>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</si>
  <si>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</si>
  <si>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</si>
  <si>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</si>
  <si>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</si>
  <si>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</si>
  <si>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</si>
  <si>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</si>
  <si>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</si>
  <si>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</si>
  <si>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</si>
  <si>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</si>
  <si>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</si>
  <si>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</si>
  <si>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</si>
  <si>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</si>
  <si>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</si>
  <si>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</si>
  <si>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</si>
  <si>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</si>
  <si>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</si>
  <si>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</si>
  <si>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</si>
  <si>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</si>
  <si>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</si>
  <si>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</si>
  <si>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</si>
  <si>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</si>
  <si>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</si>
  <si>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</si>
  <si>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</si>
  <si>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</si>
  <si>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</si>
  <si>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</si>
  <si>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</si>
  <si>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</si>
  <si>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</si>
  <si>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</si>
  <si>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</si>
  <si>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</si>
  <si>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</si>
  <si>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</si>
  <si>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</si>
  <si>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</si>
  <si>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</si>
  <si>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</si>
  <si>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</si>
  <si>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</si>
  <si>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</si>
  <si>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</si>
  <si>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</si>
  <si>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</si>
  <si>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</si>
  <si>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</si>
  <si>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</si>
  <si>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</si>
  <si>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</si>
  <si>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</si>
  <si>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</si>
  <si>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</si>
  <si>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</si>
  <si>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</si>
  <si>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</si>
  <si>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</si>
  <si>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</si>
  <si>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</si>
  <si>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</si>
  <si>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</si>
  <si>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</si>
  <si>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</si>
  <si>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</si>
  <si>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</si>
  <si>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</si>
  <si>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</si>
  <si>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</si>
  <si>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</si>
  <si>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</si>
  <si>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</si>
  <si>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</si>
  <si>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</si>
  <si>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</si>
  <si>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</si>
  <si>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</si>
  <si>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</si>
  <si>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</si>
  <si>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</si>
  <si>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</si>
  <si>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</si>
  <si>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</si>
  <si>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</si>
  <si>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</si>
  <si>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</si>
  <si>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</si>
  <si>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</si>
  <si>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</si>
  <si>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</si>
  <si>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</si>
  <si>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</si>
  <si>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</si>
  <si>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</si>
  <si>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</si>
  <si>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</si>
  <si>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</si>
  <si>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</si>
  <si>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</si>
  <si>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</si>
  <si>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</si>
  <si>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</si>
  <si>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</si>
  <si>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</si>
  <si>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</si>
  <si>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</si>
  <si>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</si>
  <si>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</si>
  <si>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</si>
  <si>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</si>
  <si>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</si>
  <si>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</si>
  <si>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</si>
  <si>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</si>
  <si>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</si>
  <si>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</si>
  <si>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</si>
  <si>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</si>
  <si>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</si>
  <si>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</si>
  <si>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</si>
  <si>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</si>
  <si>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</si>
  <si>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</si>
  <si>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</si>
  <si>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</si>
  <si>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</si>
  <si>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</si>
  <si>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</si>
  <si>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</si>
  <si>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</si>
  <si>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</si>
  <si>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</si>
  <si>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</si>
  <si>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</si>
  <si>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</si>
  <si>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</si>
  <si>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</si>
  <si>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</si>
  <si>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</si>
  <si>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</si>
  <si>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</si>
  <si>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</si>
  <si>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</si>
  <si>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</si>
  <si>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</si>
  <si>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</si>
  <si>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</si>
  <si>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</si>
  <si>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</si>
  <si>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</si>
  <si>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</si>
  <si>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</si>
  <si>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</si>
  <si>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</si>
  <si>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</si>
  <si>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</si>
  <si>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</si>
  <si>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</si>
  <si>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</si>
  <si>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</si>
  <si>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</si>
  <si>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</si>
  <si>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</si>
  <si>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</si>
  <si>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</si>
  <si>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</si>
  <si>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</si>
  <si>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</si>
  <si>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</si>
  <si>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</si>
  <si>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</si>
  <si>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</si>
  <si>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</si>
  <si>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</si>
  <si>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</si>
  <si>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</si>
  <si>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</si>
  <si>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</si>
  <si>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</si>
  <si>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</si>
  <si>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</si>
  <si>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</si>
  <si>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</si>
  <si>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</si>
  <si>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</si>
  <si>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</si>
  <si>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</si>
  <si>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</si>
  <si>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</si>
  <si>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</si>
  <si>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</si>
  <si>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</si>
  <si>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</si>
  <si>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</si>
  <si>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</si>
  <si>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</si>
  <si>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</si>
  <si>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</si>
  <si>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</si>
  <si>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</si>
  <si>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</si>
  <si>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</si>
  <si>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</si>
  <si>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</si>
  <si>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</si>
  <si>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</si>
  <si>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</si>
  <si>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</si>
  <si>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</si>
  <si>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</si>
  <si>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</si>
  <si>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</si>
  <si>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</si>
  <si>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</si>
  <si>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</si>
  <si>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</si>
  <si>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</si>
  <si>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</si>
  <si>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</si>
  <si>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</si>
  <si>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</si>
  <si>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</si>
  <si>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</si>
  <si>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</si>
  <si>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</si>
  <si>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</si>
  <si>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</si>
  <si>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</si>
  <si>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</si>
  <si>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</si>
  <si>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</si>
  <si>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</si>
  <si>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</si>
  <si>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</si>
  <si>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</si>
  <si>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</si>
  <si>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</si>
  <si>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</si>
  <si>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</si>
  <si>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</si>
  <si>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</si>
  <si>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</si>
  <si>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</si>
  <si>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</si>
  <si>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</si>
  <si>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</si>
  <si>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</si>
  <si>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</si>
  <si>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</si>
  <si>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</si>
  <si>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</si>
  <si>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</si>
  <si>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</si>
  <si>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</si>
  <si>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</si>
  <si>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</si>
  <si>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</si>
  <si>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</si>
  <si>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</si>
  <si>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</si>
  <si>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</si>
  <si>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</si>
  <si>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</si>
  <si>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</si>
  <si>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</si>
  <si>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</si>
  <si>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</si>
  <si>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</si>
  <si>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</si>
  <si>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</si>
  <si>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</si>
  <si>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</si>
  <si>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</si>
  <si>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</si>
  <si>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</si>
  <si>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</si>
  <si>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</si>
  <si>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</si>
  <si>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</si>
  <si>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</si>
  <si>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</si>
  <si>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</si>
  <si>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</si>
  <si>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</si>
  <si>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</si>
  <si>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</si>
  <si>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</si>
  <si>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</si>
  <si>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</si>
  <si>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</si>
  <si>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</si>
  <si>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</si>
  <si>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</si>
  <si>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</si>
  <si>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</si>
  <si>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</si>
  <si>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</si>
  <si>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</si>
  <si>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</si>
  <si>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</si>
  <si>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</si>
  <si>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</si>
  <si>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</si>
  <si>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</si>
  <si>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</si>
  <si>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</si>
  <si>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</si>
  <si>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</si>
  <si>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</si>
  <si>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</si>
  <si>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</si>
  <si>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</si>
  <si>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</si>
  <si>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</si>
  <si>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</si>
  <si>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</si>
  <si>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</si>
  <si>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</si>
  <si>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</si>
  <si>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</si>
  <si>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</si>
  <si>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</si>
  <si>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</si>
  <si>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</si>
  <si>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</si>
  <si>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</si>
  <si>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</si>
  <si>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</si>
  <si>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</si>
  <si>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</si>
  <si>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</si>
  <si>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</si>
  <si>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</si>
  <si>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</si>
  <si>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</si>
  <si>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</si>
  <si>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</si>
  <si>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</si>
  <si>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</si>
  <si>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</si>
  <si>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</si>
  <si>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</si>
  <si>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</si>
  <si>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</si>
  <si>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</si>
  <si>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</si>
  <si>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</si>
  <si>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</si>
  <si>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</si>
  <si>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</si>
  <si>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</si>
  <si>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</si>
  <si>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</si>
  <si>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</si>
  <si>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</si>
  <si>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</si>
  <si>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</si>
  <si>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</si>
  <si>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</si>
  <si>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</si>
  <si>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</si>
  <si>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</si>
  <si>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</si>
  <si>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</si>
  <si>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</si>
  <si>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</si>
  <si>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</si>
  <si>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</si>
  <si>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</si>
  <si>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</si>
  <si>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</si>
  <si>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</si>
  <si>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</si>
  <si>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</si>
  <si>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</si>
  <si>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</si>
  <si>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</si>
  <si>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</si>
  <si>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</si>
  <si>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</si>
  <si>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</si>
  <si>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</si>
  <si>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</si>
  <si>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</si>
  <si>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</si>
  <si>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</si>
  <si>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</si>
  <si>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</si>
  <si>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</si>
  <si>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</si>
  <si>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</si>
  <si>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</si>
  <si>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</si>
  <si>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</si>
  <si>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</si>
  <si>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</si>
  <si>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</si>
  <si>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</si>
  <si>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</si>
  <si>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</si>
  <si>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</si>
  <si>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</si>
  <si>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</si>
  <si>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</si>
  <si>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</si>
  <si>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</si>
  <si>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</si>
  <si>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</si>
  <si>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</si>
  <si>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</si>
  <si>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</si>
  <si>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</si>
  <si>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</si>
  <si>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</si>
  <si>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</si>
  <si>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</si>
  <si>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</si>
  <si>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</si>
  <si>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</si>
  <si>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</si>
  <si>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</si>
  <si>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</si>
  <si>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</si>
  <si>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</si>
  <si>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</si>
  <si>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</si>
  <si>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</si>
  <si>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</si>
  <si>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</si>
  <si>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</si>
  <si>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</si>
  <si>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</si>
  <si>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</si>
  <si>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</si>
  <si>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</si>
  <si>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</si>
  <si>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</si>
  <si>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</si>
  <si>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</si>
  <si>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</si>
  <si>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</si>
  <si>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</si>
  <si>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</si>
  <si>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</si>
  <si>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</si>
  <si>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</si>
  <si>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</si>
  <si>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</si>
  <si>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</si>
  <si>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</si>
  <si>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</si>
  <si>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</si>
  <si>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</si>
  <si>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</si>
  <si>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</si>
  <si>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</si>
  <si>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</si>
  <si>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</si>
  <si>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</si>
  <si>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</si>
  <si>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</si>
  <si>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</si>
  <si>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</si>
  <si>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</si>
  <si>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</si>
  <si>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</si>
  <si>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</si>
  <si>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</si>
  <si>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</si>
  <si>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</si>
  <si>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</si>
  <si>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</si>
  <si>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</si>
  <si>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</si>
  <si>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</si>
  <si>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</si>
  <si>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</si>
  <si>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</si>
  <si>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</si>
  <si>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</si>
  <si>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</si>
  <si>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</si>
  <si>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</si>
  <si>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</si>
  <si>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</si>
  <si>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</si>
  <si>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</si>
  <si>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</si>
  <si>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</si>
  <si>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</si>
  <si>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</si>
  <si>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</si>
  <si>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</si>
  <si>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</si>
  <si>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</si>
  <si>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</si>
  <si>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</si>
  <si>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</si>
  <si>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</si>
  <si>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</si>
  <si>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</si>
  <si>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</si>
  <si>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</si>
  <si>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</si>
  <si>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</si>
  <si>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</si>
  <si>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</si>
  <si>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</si>
  <si>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</si>
  <si>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</si>
  <si>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</si>
  <si>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</si>
  <si>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</si>
  <si>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</si>
  <si>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</si>
  <si>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</si>
  <si>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</si>
  <si>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</si>
  <si>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</si>
  <si>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</si>
  <si>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</si>
  <si>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</si>
  <si>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</si>
  <si>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</si>
  <si>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</si>
  <si>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</si>
  <si>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</si>
  <si>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</si>
  <si>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</si>
  <si>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</si>
  <si>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</si>
  <si>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</si>
  <si>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</si>
  <si>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</si>
  <si>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</si>
  <si>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</si>
  <si>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</si>
  <si>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</si>
  <si>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</si>
  <si>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</si>
  <si>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</si>
  <si>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</si>
  <si>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</si>
  <si>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</si>
  <si>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</si>
  <si>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</si>
  <si>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</si>
  <si>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</si>
  <si>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</si>
  <si>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</si>
  <si>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</si>
  <si>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</si>
  <si>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</si>
  <si>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</si>
  <si>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</si>
  <si>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</si>
  <si>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</si>
  <si>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</si>
  <si>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</si>
  <si>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</si>
  <si>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</si>
  <si>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</si>
  <si>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</si>
  <si>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</si>
  <si>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</si>
  <si>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</si>
  <si>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</si>
  <si>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</si>
  <si>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</si>
  <si>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</si>
  <si>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</si>
  <si>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</si>
  <si>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</si>
  <si>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</si>
  <si>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</si>
  <si>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</si>
  <si>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</si>
  <si>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</si>
  <si>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</si>
  <si>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</si>
  <si>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</si>
  <si>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</si>
  <si>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</si>
  <si>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</si>
  <si>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</si>
  <si>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</si>
  <si>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</si>
  <si>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</si>
  <si>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</si>
  <si>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</si>
  <si>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</si>
  <si>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</si>
  <si>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</si>
  <si>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</si>
  <si>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</si>
  <si>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</si>
  <si>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</si>
  <si>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</si>
  <si>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</si>
  <si>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</si>
  <si>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</si>
  <si>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</si>
  <si>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</si>
  <si>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</si>
  <si>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</si>
  <si>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</si>
  <si>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</si>
  <si>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</si>
  <si>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</si>
  <si>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</si>
  <si>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</si>
  <si>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</si>
  <si>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</si>
  <si>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</si>
  <si>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</si>
  <si>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</si>
  <si>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</si>
  <si>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</si>
  <si>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</si>
  <si>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</si>
  <si>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</si>
  <si>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</si>
  <si>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</si>
  <si>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</si>
  <si>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</si>
  <si>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</si>
  <si>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</si>
  <si>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</si>
  <si>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</si>
  <si>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</si>
  <si>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</si>
  <si>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</si>
  <si>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</si>
  <si>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</si>
  <si>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</si>
  <si>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</si>
  <si>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</si>
  <si>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</si>
  <si>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</si>
  <si>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</si>
  <si>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</si>
  <si>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</si>
  <si>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</si>
  <si>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</si>
  <si>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</si>
  <si>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</si>
  <si>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</si>
  <si>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</si>
  <si>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</si>
  <si>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</si>
  <si>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</si>
  <si>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</si>
  <si>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</si>
  <si>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</si>
  <si>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</si>
  <si>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</si>
  <si>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</si>
  <si>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</si>
  <si>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</si>
  <si>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</si>
  <si>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</si>
  <si>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</si>
  <si>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</si>
  <si>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</si>
  <si>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</si>
  <si>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</si>
  <si>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</si>
  <si>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</si>
  <si>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</si>
  <si>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</si>
  <si>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</si>
  <si>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</si>
  <si>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</si>
  <si>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</si>
  <si>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</si>
  <si>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</si>
  <si>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</si>
  <si>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</si>
  <si>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</si>
  <si>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</si>
  <si>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</si>
  <si>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</si>
  <si>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</si>
  <si>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</si>
  <si>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</si>
  <si>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</si>
  <si>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</si>
  <si>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</si>
  <si>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</si>
  <si>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</si>
  <si>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</si>
  <si>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</si>
  <si>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</si>
  <si>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</si>
  <si>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</si>
  <si>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</si>
  <si>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</si>
  <si>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</si>
  <si>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</si>
  <si>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</si>
  <si>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</si>
  <si>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</si>
  <si>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</si>
  <si>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</si>
  <si>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</si>
  <si>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</si>
  <si>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</si>
  <si>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</si>
  <si>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</si>
  <si>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</si>
  <si>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</si>
  <si>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</si>
  <si>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</si>
  <si>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</si>
  <si>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</si>
  <si>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</si>
  <si>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</si>
  <si>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</si>
  <si>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</si>
  <si>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</si>
  <si>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</si>
  <si>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</si>
  <si>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</si>
  <si>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</si>
  <si>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</si>
  <si>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</si>
  <si>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</si>
  <si>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</si>
  <si>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</si>
  <si>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</si>
  <si>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</si>
  <si>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</si>
  <si>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</si>
  <si>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</si>
  <si>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</si>
  <si>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</si>
  <si>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</si>
  <si>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</si>
  <si>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</si>
  <si>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</si>
  <si>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</si>
  <si>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</si>
  <si>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</si>
  <si>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</si>
  <si>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</si>
  <si>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</si>
  <si>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</si>
  <si>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</si>
  <si>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</si>
  <si>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</si>
  <si>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</si>
  <si>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</si>
  <si>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</si>
  <si>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</si>
  <si>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</si>
  <si>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</si>
  <si>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</si>
  <si>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</si>
  <si>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</si>
  <si>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</si>
  <si>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</si>
  <si>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</si>
  <si>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</si>
  <si>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</si>
  <si>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</si>
  <si>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</si>
  <si>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</si>
  <si>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</si>
  <si>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</si>
  <si>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</si>
  <si>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</si>
  <si>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</si>
  <si>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</si>
  <si>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</si>
  <si>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</si>
  <si>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</si>
  <si>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</si>
  <si>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</si>
  <si>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</si>
  <si>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</si>
  <si>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</si>
  <si>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</si>
  <si>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</si>
  <si>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</si>
  <si>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</si>
  <si>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</si>
  <si>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</si>
  <si>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</si>
  <si>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</si>
  <si>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</si>
  <si>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</si>
  <si>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</si>
  <si>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</si>
  <si>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</si>
  <si>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</si>
  <si>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</si>
  <si>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</si>
  <si>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</si>
  <si>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</si>
  <si>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</si>
  <si>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</si>
  <si>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</si>
  <si>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</si>
  <si>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</si>
  <si>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</si>
  <si>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</si>
  <si>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</si>
  <si>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</si>
  <si>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</si>
  <si>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</si>
  <si>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</si>
  <si>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</si>
  <si>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</si>
  <si>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</si>
  <si>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</si>
  <si>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</si>
  <si>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</si>
  <si>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</si>
  <si>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</si>
  <si>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</si>
  <si>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</si>
  <si>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</si>
  <si>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</si>
  <si>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</si>
  <si>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</si>
  <si>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</si>
  <si>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</si>
  <si>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</si>
  <si>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</si>
  <si>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</si>
  <si>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</si>
  <si>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</si>
  <si>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</si>
  <si>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</si>
  <si>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</si>
  <si>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</si>
  <si>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</si>
  <si>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</si>
  <si>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</si>
  <si>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</si>
  <si>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</si>
  <si>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</si>
  <si>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</si>
  <si>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</si>
  <si>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</si>
  <si>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</si>
  <si>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</si>
  <si>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</si>
  <si>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</si>
  <si>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</si>
  <si>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</si>
  <si>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</si>
  <si>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</si>
  <si>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</si>
  <si>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</si>
  <si>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</si>
  <si>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</si>
  <si>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</si>
  <si>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</si>
  <si>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</si>
  <si>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</si>
  <si>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</si>
  <si>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</si>
  <si>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</si>
  <si>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</si>
  <si>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</si>
  <si>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</si>
  <si>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</si>
  <si>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</si>
  <si>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</si>
  <si>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</si>
  <si>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</si>
  <si>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</si>
  <si>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</si>
  <si>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</si>
  <si>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</si>
  <si>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</si>
  <si>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</si>
  <si>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</si>
  <si>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</si>
  <si>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</si>
  <si>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</si>
  <si>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</si>
  <si>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</si>
  <si>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</si>
  <si>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</si>
  <si>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</si>
  <si>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</si>
  <si>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</si>
  <si>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</si>
  <si>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</si>
  <si>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</si>
  <si>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</si>
  <si>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</si>
  <si>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</si>
  <si>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</si>
  <si>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</si>
  <si>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</si>
  <si>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</si>
  <si>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</si>
  <si>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</si>
  <si>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</si>
  <si>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</si>
  <si>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</si>
  <si>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</si>
  <si>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</si>
  <si>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</si>
  <si>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</si>
  <si>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</si>
  <si>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</si>
  <si>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</si>
  <si>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</si>
  <si>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</si>
  <si>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</si>
  <si>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</si>
  <si>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</si>
  <si>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</si>
  <si>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</si>
  <si>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</si>
  <si>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</si>
  <si>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</si>
  <si>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</si>
  <si>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</si>
  <si>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</si>
  <si>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</si>
  <si>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</si>
  <si>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</si>
  <si>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</si>
  <si>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</si>
  <si>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</si>
  <si>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</si>
  <si>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</si>
  <si>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</si>
  <si>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</si>
  <si>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</si>
  <si>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</si>
  <si>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</si>
  <si>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</si>
  <si>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</si>
  <si>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</si>
  <si>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</si>
  <si>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</si>
  <si>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</si>
  <si>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</si>
  <si>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</si>
  <si>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</si>
  <si>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</si>
  <si>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</si>
  <si>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</si>
  <si>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</si>
  <si>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</si>
  <si>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</si>
  <si>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</si>
  <si>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</si>
  <si>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</si>
  <si>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</si>
  <si>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</si>
  <si>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</si>
  <si>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</si>
  <si>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</si>
  <si>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</si>
  <si>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</si>
  <si>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</si>
  <si>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</si>
  <si>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</si>
  <si>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</si>
  <si>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</si>
  <si>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</si>
  <si>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</si>
  <si>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</si>
  <si>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</si>
  <si>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</si>
  <si>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</si>
  <si>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</si>
  <si>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</si>
  <si>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</si>
  <si>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</si>
  <si>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</si>
  <si>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</si>
  <si>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</si>
  <si>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</si>
  <si>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</si>
  <si>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</si>
  <si>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</si>
  <si>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</si>
  <si>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</si>
  <si>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</si>
  <si>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</si>
  <si>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</si>
  <si>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</si>
  <si>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</si>
  <si>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</si>
  <si>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</si>
  <si>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</si>
  <si>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</si>
  <si>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</si>
  <si>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</si>
  <si>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</si>
  <si>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</si>
  <si>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</si>
  <si>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</si>
  <si>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</si>
  <si>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</si>
  <si>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</si>
  <si>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</si>
  <si>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</si>
  <si>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</si>
  <si>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</si>
  <si>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</si>
  <si>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</si>
  <si>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</si>
  <si>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</si>
  <si>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</si>
  <si>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</si>
  <si>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</si>
  <si>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</si>
  <si>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</si>
  <si>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</si>
  <si>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</si>
  <si>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</si>
  <si>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</si>
  <si>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</si>
  <si>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</si>
  <si>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</si>
  <si>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</si>
  <si>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</si>
  <si>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</si>
  <si>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</si>
  <si>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</si>
  <si>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</si>
  <si>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</si>
  <si>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</si>
  <si>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</si>
  <si>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</si>
  <si>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</si>
  <si>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</si>
  <si>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</si>
  <si>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</si>
  <si>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</si>
  <si>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</si>
  <si>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</si>
  <si>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</si>
  <si>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</si>
  <si>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</si>
  <si>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</si>
  <si>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</si>
  <si>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</si>
  <si>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</si>
  <si>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</si>
  <si>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</si>
  <si>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</si>
  <si>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</si>
  <si>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</si>
  <si>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</si>
  <si>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</si>
  <si>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</si>
  <si>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</si>
  <si>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</si>
  <si>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</si>
  <si>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</si>
  <si>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</si>
  <si>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</si>
  <si>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</si>
  <si>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</si>
  <si>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</si>
  <si>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</si>
  <si>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</si>
  <si>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</si>
  <si>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</si>
  <si>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</si>
  <si>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</si>
  <si>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</si>
  <si>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</si>
  <si>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</si>
  <si>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</si>
  <si>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</si>
  <si>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</si>
  <si>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</si>
  <si>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</si>
  <si>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</si>
  <si>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</si>
  <si>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</si>
  <si>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</si>
  <si>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</si>
  <si>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</si>
  <si>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</si>
  <si>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</si>
  <si>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</si>
  <si>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</si>
  <si>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</si>
  <si>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</si>
  <si>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</si>
  <si>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</si>
  <si>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</si>
  <si>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</si>
  <si>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</si>
  <si>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</si>
  <si>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</si>
  <si>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</si>
  <si>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</si>
  <si>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</si>
  <si>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</si>
  <si>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</si>
  <si>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</si>
  <si>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</si>
  <si>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</si>
  <si>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</si>
  <si>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</si>
  <si>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</si>
  <si>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</si>
  <si>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</si>
  <si>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</si>
  <si>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</si>
  <si>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</si>
  <si>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</si>
  <si>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</si>
  <si>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</si>
  <si>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</si>
  <si>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</si>
  <si>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</si>
  <si>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</si>
  <si>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</si>
  <si>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</si>
  <si>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</si>
  <si>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</si>
  <si>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</si>
  <si>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</si>
  <si>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</si>
  <si>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</si>
  <si>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</si>
  <si>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</si>
  <si>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</si>
  <si>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</si>
  <si>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</si>
  <si>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</si>
  <si>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</si>
  <si>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</si>
  <si>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</si>
  <si>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</si>
  <si>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</si>
  <si>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</si>
  <si>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</si>
  <si>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</si>
  <si>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</si>
  <si>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</si>
  <si>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</si>
  <si>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</si>
  <si>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</si>
  <si>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</si>
  <si>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出让</t>
  </si>
  <si>
    <t>企业</t>
  </si>
  <si>
    <t>其他：</t>
  </si>
  <si>
    <t>房地产抵押价值</t>
  </si>
  <si>
    <t>抵押</t>
  </si>
  <si>
    <t>地上</t>
  </si>
  <si>
    <t>是</t>
  </si>
  <si>
    <t>未包含在土地购买价格中</t>
  </si>
  <si>
    <t>已包含在土地取得成本中</t>
  </si>
  <si>
    <t>住宅</t>
  </si>
  <si>
    <t>住宅</t>
    <phoneticPr fontId="7" type="noConversion"/>
  </si>
  <si>
    <t>地上商业</t>
    <phoneticPr fontId="7" type="noConversion"/>
  </si>
  <si>
    <t>地下商业</t>
    <phoneticPr fontId="7" type="noConversion"/>
  </si>
  <si>
    <t>办公</t>
    <phoneticPr fontId="7" type="noConversion"/>
  </si>
  <si>
    <t>地下车位</t>
    <phoneticPr fontId="7" type="noConversion"/>
  </si>
  <si>
    <t>地下</t>
  </si>
  <si>
    <t>车库—商业</t>
  </si>
  <si>
    <t>车库</t>
  </si>
  <si>
    <t>商业</t>
    <phoneticPr fontId="143" type="noConversion"/>
  </si>
  <si>
    <t>车位</t>
    <phoneticPr fontId="143" type="noConversion"/>
  </si>
  <si>
    <t>非收益</t>
    <phoneticPr fontId="143" type="noConversion"/>
  </si>
  <si>
    <t>人防</t>
    <phoneticPr fontId="143" type="noConversion"/>
  </si>
  <si>
    <t>商业</t>
    <phoneticPr fontId="143" type="noConversion"/>
  </si>
  <si>
    <t>电影院</t>
    <phoneticPr fontId="143" type="noConversion"/>
  </si>
  <si>
    <t>办公</t>
    <phoneticPr fontId="143" type="noConversion"/>
  </si>
  <si>
    <t>省会市名称</t>
  </si>
  <si>
    <t>建筑型式</t>
  </si>
  <si>
    <t>说明</t>
  </si>
  <si>
    <t>多层</t>
  </si>
  <si>
    <t>小高层</t>
  </si>
  <si>
    <t>高层</t>
  </si>
  <si>
    <t>重庆</t>
  </si>
  <si>
    <t>1450</t>
  </si>
  <si>
    <t>1420</t>
  </si>
  <si>
    <t>1620</t>
  </si>
  <si>
    <t>请录依据文件名称：重庆市人民政府关于城市建设配套费征收标准的通知</t>
    <phoneticPr fontId="3" type="noConversion"/>
  </si>
  <si>
    <t>地上商业</t>
  </si>
  <si>
    <t>地下商业</t>
  </si>
  <si>
    <t>地下车位</t>
  </si>
  <si>
    <t>钢混</t>
  </si>
  <si>
    <t>非生产用房</t>
  </si>
  <si>
    <t>按租金收入计税</t>
  </si>
  <si>
    <t>在建（套用方法）</t>
  </si>
  <si>
    <t>成本比率</t>
  </si>
  <si>
    <t>成本法</t>
  </si>
  <si>
    <t>假设开发法</t>
  </si>
  <si>
    <t>项目全部</t>
  </si>
  <si>
    <t>收益法（地上商业）</t>
  </si>
  <si>
    <t>收益法（地下商业）</t>
  </si>
  <si>
    <t>收益法（地下车位）</t>
  </si>
  <si>
    <t>地块名称</t>
  </si>
  <si>
    <t>城市</t>
  </si>
  <si>
    <t>用地性质</t>
  </si>
  <si>
    <t>出让方式</t>
  </si>
  <si>
    <t>详细规划</t>
  </si>
  <si>
    <t>建设用地面积(㎡)</t>
  </si>
  <si>
    <t>容积率</t>
  </si>
  <si>
    <t>成交日期</t>
  </si>
  <si>
    <t>受让单位</t>
  </si>
  <si>
    <t>成交价(万元)</t>
  </si>
  <si>
    <t>成交每亩价(万元/亩)</t>
  </si>
  <si>
    <t>成交楼面价(元/㎡)</t>
  </si>
  <si>
    <t>溢价率</t>
  </si>
  <si>
    <t>出让年限</t>
  </si>
  <si>
    <t>江北区唐家沱组团M分区M6-1/05、M7-1/05</t>
  </si>
  <si>
    <t>重庆市</t>
  </si>
  <si>
    <t>综合用地(含住宅)</t>
  </si>
  <si>
    <t>挂牌</t>
  </si>
  <si>
    <t>二类居住用地、商业商务用地</t>
  </si>
  <si>
    <t>＞1并且≤2.24</t>
  </si>
  <si>
    <t>2018-04-24</t>
  </si>
  <si>
    <t>重庆协信远汇房地产开发有限公司</t>
  </si>
  <si>
    <t>40年</t>
  </si>
  <si>
    <t>江北区大石坝组团E分区E14-2-1/03号宗地</t>
  </si>
  <si>
    <t>住宅用地</t>
  </si>
  <si>
    <t>拍卖</t>
  </si>
  <si>
    <t>二类居住用地</t>
  </si>
  <si>
    <t>＞1并且≤3.5</t>
  </si>
  <si>
    <t>2018-02-13</t>
  </si>
  <si>
    <t>重庆辉沛企业管理有限公司、重庆旭鹏房地产开发有限公司</t>
  </si>
  <si>
    <t>渝中区大杨石组团黄荆社分区2-5-1/04号宗地</t>
  </si>
  <si>
    <t>＞1并且≤1.5</t>
  </si>
  <si>
    <t>2017-09-26</t>
  </si>
  <si>
    <t>中海地产集团有限公司</t>
  </si>
  <si>
    <t>渝中区渝中组团C分区C29-7号宗地</t>
  </si>
  <si>
    <t>二类居住用地、商业用地、商务用地</t>
  </si>
  <si>
    <t>＞1并且≤4.5</t>
  </si>
  <si>
    <t>2017-09-15</t>
  </si>
  <si>
    <t>成都市中天盈房地产开发有限公司</t>
  </si>
  <si>
    <t>江北区大石坝组团G分区G20-1-2/02号宗地</t>
  </si>
  <si>
    <t>＞1并且≤5.5</t>
  </si>
  <si>
    <t>2017-08-22</t>
  </si>
  <si>
    <t>南国置业股份有限公司</t>
  </si>
  <si>
    <t>渝中区大杨石组团I分区I-3-1-9号宗地</t>
  </si>
  <si>
    <t>≥1并且≤4.2</t>
  </si>
  <si>
    <t>2017-06-30</t>
  </si>
  <si>
    <t>重庆华宇集团有限公司、重庆华宇业升实业有限公司</t>
  </si>
  <si>
    <t>江北区观音桥组团F分区FJ03-1-1/04、FJ03-1-2/04号宗地</t>
  </si>
  <si>
    <t>≤3</t>
  </si>
  <si>
    <t>2016-12-30</t>
  </si>
  <si>
    <t>70年40年</t>
  </si>
  <si>
    <t>江北区观音桥组团I分区I02-1/03号宗地</t>
  </si>
  <si>
    <t>商业商务兼容居住用地</t>
  </si>
  <si>
    <t>≤3.5</t>
  </si>
  <si>
    <t>2016-12-27</t>
  </si>
  <si>
    <t>重庆河东房地产开发有限公司</t>
  </si>
  <si>
    <t>渝中区渝中组团H分区3-5/03、5-1/04、6-1/04、3-8-4/03号宗地</t>
  </si>
  <si>
    <t>商业用地、商务用地、二类居住用地</t>
  </si>
  <si>
    <t>≤10.49</t>
  </si>
  <si>
    <t>2016-11-28</t>
  </si>
  <si>
    <t>重庆渝中新浩郡房地产开发有限公司</t>
  </si>
  <si>
    <t>70年、40年</t>
  </si>
  <si>
    <t>江北区观音桥组团A分区A34-1-3/07、A34-1-5/07、A34-1-8/07、A34-1-10/07、A34-1-17/07号宗地</t>
  </si>
  <si>
    <t>商业商务用地;二类居住用地;二类居住用地、商业用地</t>
  </si>
  <si>
    <t>≤3.64</t>
  </si>
  <si>
    <t>2016-08-30</t>
  </si>
  <si>
    <t>重庆鲁能开发(集团)有限公司</t>
  </si>
  <si>
    <t>40年、70年</t>
  </si>
  <si>
    <t>江北区观音桥组团A分区A34-1-16/07、A34-1-19/07、A34-1-20/07号宗地</t>
  </si>
  <si>
    <t>二类居住用地、商业用地</t>
  </si>
  <si>
    <t>≤3.94</t>
  </si>
  <si>
    <t>中铁建房地产公司</t>
  </si>
  <si>
    <t>江北区观音桥组团M分区M16-3/02号宗地</t>
  </si>
  <si>
    <t>2016-08-12</t>
  </si>
  <si>
    <t>保利(重庆)投资实业有限公司</t>
  </si>
  <si>
    <t>70年</t>
  </si>
  <si>
    <t>江北区唐家沱组团J分区J15-7-1/08号宗地</t>
  </si>
  <si>
    <t>2016-03-30</t>
  </si>
  <si>
    <t>重庆市奔力房地产开发有限责任公司</t>
  </si>
  <si>
    <t>渝中区渝中组团E分区E6-1号宗地</t>
  </si>
  <si>
    <t>小于或等于8.1</t>
  </si>
  <si>
    <t>2015-11-26</t>
  </si>
  <si>
    <t>重庆康翔实业有限公司</t>
  </si>
  <si>
    <t>较规则</t>
  </si>
  <si>
    <t>较规则</t>
    <phoneticPr fontId="31" type="noConversion"/>
  </si>
  <si>
    <t>六通一平</t>
    <phoneticPr fontId="31" type="noConversion"/>
  </si>
  <si>
    <t>五通一平</t>
    <phoneticPr fontId="31" type="noConversion"/>
  </si>
  <si>
    <t>四通一平</t>
    <phoneticPr fontId="31" type="noConversion"/>
  </si>
  <si>
    <t>较好</t>
  </si>
  <si>
    <t>较好</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</si>
  <si>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</si>
  <si>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</si>
  <si>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</si>
  <si>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</si>
  <si>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</si>
  <si>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</si>
  <si>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重庆监测指标情况一览表</t>
  </si>
  <si>
    <t>时间</t>
  </si>
  <si>
    <t>水平值</t>
  </si>
  <si>
    <t>环比增长率</t>
  </si>
  <si>
    <t>指数</t>
  </si>
  <si>
    <t>住宅</t>
    <phoneticPr fontId="143" type="noConversion"/>
  </si>
  <si>
    <t>商服</t>
    <phoneticPr fontId="143" type="noConversion"/>
  </si>
  <si>
    <t>正常</t>
  </si>
  <si>
    <t>一般</t>
  </si>
  <si>
    <t>好</t>
  </si>
  <si>
    <t>住宅</t>
    <phoneticPr fontId="31" type="noConversion"/>
  </si>
  <si>
    <t>40</t>
    <phoneticPr fontId="31" type="noConversion"/>
  </si>
  <si>
    <t>40</t>
    <phoneticPr fontId="31" type="noConversion"/>
  </si>
  <si>
    <t>地块编号</t>
  </si>
  <si>
    <t>公告编号</t>
  </si>
  <si>
    <t>两江新区鱼嘴组团P分区P7-1/01(部分)号宗地</t>
  </si>
  <si>
    <t>商业/办公用地</t>
  </si>
  <si>
    <t>B29-其它商务用地(生产性服务业用地)</t>
  </si>
  <si>
    <t>2018-03-27</t>
  </si>
  <si>
    <t>渝[2018]7号-2</t>
  </si>
  <si>
    <t>重庆聚祥燃气有限公司、重庆长兴渝电力服务股份有限公司</t>
  </si>
  <si>
    <t>2018-01-18</t>
  </si>
  <si>
    <t>江北区大石坝组团L分区L10-12/02(部分)号宗地</t>
  </si>
  <si>
    <t>商业用地、商务用地</t>
  </si>
  <si>
    <t>≥1并且≤4.5</t>
  </si>
  <si>
    <t>2017-05-05</t>
  </si>
  <si>
    <t>渝[2017]12号-4</t>
  </si>
  <si>
    <t>重庆祺宝汽车销售服务有限公司</t>
  </si>
  <si>
    <t>渝中区渝中组团H分区3-4/03、3-9-1/03、3-6/03号宗地</t>
  </si>
  <si>
    <t>公园绿地、商业用地、商务用地、社会停车场用地</t>
  </si>
  <si>
    <t>≤1.38</t>
  </si>
  <si>
    <t>2016-10-20</t>
  </si>
  <si>
    <t>渝国土房管告字[2016]31号-3</t>
  </si>
  <si>
    <t>杭州新天地集团有限公司</t>
  </si>
  <si>
    <t>40年、50年</t>
  </si>
  <si>
    <t>2016-09-09</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</si>
  <si>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</si>
  <si>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</si>
  <si>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</si>
  <si>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</si>
  <si>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</si>
  <si>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</si>
  <si>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</si>
  <si>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</si>
  <si>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</si>
  <si>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</si>
  <si>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</si>
  <si>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</si>
  <si>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≤0.8</t>
  </si>
  <si>
    <t>2016-01-13</t>
  </si>
  <si>
    <t>渝国土房管告字[2015]63号-2</t>
  </si>
  <si>
    <t>重庆两江新区鱼复工业园建设投资有限公司</t>
  </si>
  <si>
    <t>两江新区鱼嘴组团A分区A01-4/03号宗地</t>
  </si>
  <si>
    <t>≤2.5</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</si>
  <si>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</si>
  <si>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</si>
  <si>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</si>
  <si>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</si>
  <si>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</si>
  <si>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</si>
  <si>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</si>
  <si>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</si>
  <si>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</si>
  <si>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</si>
  <si>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重庆两江新区置业发展有限公司</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</si>
  <si>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</si>
  <si>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</si>
  <si>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</si>
  <si>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</si>
  <si>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</si>
  <si>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</si>
  <si>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</si>
  <si>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</si>
  <si>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</si>
  <si>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</si>
  <si>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</si>
  <si>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</si>
  <si>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≤2</t>
  </si>
  <si>
    <t>渝国土房管告字[2015]41号-1</t>
  </si>
  <si>
    <t>重庆市港城工业园区建设有限公司</t>
  </si>
  <si>
    <t>两江新区鱼嘴组团P标准分区P8-1/01、P8-3/01号宗地</t>
  </si>
  <si>
    <t>≤1.5</t>
  </si>
  <si>
    <t>渝国土房管告字[2015]41号-8</t>
  </si>
  <si>
    <t>重庆绿满川农业发展有限公司</t>
  </si>
  <si>
    <t>渝北区两路组团S标准分区S61-1(部分)、S64-1(部分)、S68-1/02、S69-3/02(部分)、S74-1(部分)、S75-1、S79-1/02、S80-1/02(部分)、S81-1/02(部分)号宗地</t>
  </si>
  <si>
    <t>商业用地、商务用地、社会停车场用地、公共交通场站用地</t>
  </si>
  <si>
    <t>＞1并且≤1.48</t>
  </si>
  <si>
    <t>2018-02-27</t>
  </si>
  <si>
    <t>渝[2018]5号-1</t>
  </si>
  <si>
    <t>重庆仙桃数据谷投资管理有限公司</t>
  </si>
  <si>
    <t>两江新区人和组团M分区M9-2/02号宗地</t>
  </si>
  <si>
    <t>其它商务用地、防护绿地</t>
  </si>
  <si>
    <t>2017-08-17</t>
  </si>
  <si>
    <t>渝[2017]26号-2</t>
  </si>
  <si>
    <t>重庆康田置业(集团)有限公司</t>
  </si>
  <si>
    <t>渝北区人和组团B分区25-3号宗地</t>
  </si>
  <si>
    <t>＞1并且≤4</t>
  </si>
  <si>
    <t>重庆飞洋控股(集团)有限公司、重庆创拓房地产开发有限公司</t>
  </si>
  <si>
    <t>两江新区礼嘉组团B标准分区B13-3-1/04、B21-4-2/07、B21-3-2/06、B13-4-2/06号宗地</t>
  </si>
  <si>
    <t>娱乐康体用地、商业用地</t>
  </si>
  <si>
    <t>≥1并且≤1.5</t>
  </si>
  <si>
    <t>2017-06-07</t>
  </si>
  <si>
    <t>渝[2017]16号-4</t>
  </si>
  <si>
    <t>重庆华侨城实业发展有限公司</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</si>
  <si>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</si>
  <si>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</si>
  <si>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</si>
  <si>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</si>
  <si>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</si>
  <si>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</si>
  <si>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</si>
  <si>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＞1,≤1.8</t>
  </si>
  <si>
    <t>2017-03-28</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</si>
  <si>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</si>
  <si>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</si>
  <si>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</si>
  <si>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</si>
  <si>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</si>
  <si>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</si>
  <si>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</si>
  <si>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</si>
  <si>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</si>
  <si>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</si>
  <si>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2016-12-12</t>
  </si>
  <si>
    <t>渝国土房管告字[2016]38号-2</t>
  </si>
  <si>
    <t>重庆华星锦业汽车销售服务有限公司、重庆北部农业开发(集团)有限公司</t>
  </si>
  <si>
    <t>渝北区两路街道原双凤桥街道新华村1社地块</t>
  </si>
  <si>
    <t>批发零售用地</t>
  </si>
  <si>
    <t>等于1.5</t>
  </si>
  <si>
    <t>2016-06-02</t>
  </si>
  <si>
    <t>渝国土房管告字[2016]14号-1</t>
  </si>
  <si>
    <t>重庆工贸实业(集团)有限责任公司</t>
  </si>
  <si>
    <t>北部新区人和(原北部新区金山组团)组团C分区C28-1-4/07、C35-1-1/05、C35-1-5/05号宗地</t>
  </si>
  <si>
    <t>≤3.2</t>
  </si>
  <si>
    <t>2016-05-09</t>
  </si>
  <si>
    <t>渝国土房管告字[2016]10号-1</t>
  </si>
  <si>
    <t>重庆美联国际物流有限公司、重庆中美恒置业有限公司</t>
  </si>
  <si>
    <t>50年</t>
  </si>
  <si>
    <t>两江新区悦来组团D分区D06/04部分宗地</t>
  </si>
  <si>
    <t>≤1.3</t>
  </si>
  <si>
    <t>2016-01-20</t>
  </si>
  <si>
    <t>渝国土房管告字[2015]64号-6</t>
  </si>
  <si>
    <t>重庆悦来投资集团有限公司</t>
  </si>
  <si>
    <t>渝北区两路组团E标准分区E25-1/02号宗地</t>
  </si>
  <si>
    <t>2015-12-25</t>
  </si>
  <si>
    <t>渝国土房管告字[2015]59号-3</t>
  </si>
  <si>
    <t>重庆重之龙商贸有限公司、华成置业有限公司</t>
  </si>
  <si>
    <t>商业40年</t>
  </si>
  <si>
    <t>两江新区龙兴组团I分区I05-2/01号宗地</t>
  </si>
  <si>
    <t>商务商业用地</t>
  </si>
  <si>
    <t>大于1并且小于或等于1</t>
  </si>
  <si>
    <t>渝国土房管告字[2015]52号-1</t>
  </si>
  <si>
    <t>重庆古堡酒店管理有限公司</t>
  </si>
  <si>
    <t>两江新区龙兴组团G14-1/01、G14-1/02号(部分2)宗地</t>
  </si>
  <si>
    <t>Z15004</t>
  </si>
  <si>
    <t>小于或等于0.98</t>
  </si>
  <si>
    <t>2015-11-30</t>
  </si>
  <si>
    <t>渝地转告字[2015]3号-2</t>
  </si>
  <si>
    <t>重庆龙天下农业开发有限责任公司</t>
  </si>
  <si>
    <t>至2052年12月30日止</t>
  </si>
  <si>
    <t>两江新区龙兴组团G14-1/01、G14-1/02号(部分1)宗地</t>
  </si>
  <si>
    <t>Z15003</t>
  </si>
  <si>
    <t>小于或等于1.3</t>
  </si>
  <si>
    <t>渝地转告字[2015]3号-1</t>
  </si>
  <si>
    <t>重庆泽胜文化旅游发展有限公司</t>
  </si>
  <si>
    <t>渝北区两路组团G标准分区G42-1/04、Ga20-1/02号宗地</t>
  </si>
  <si>
    <t>小于或等于2.2</t>
  </si>
  <si>
    <t>渝国土房管告字[2015]50号-1</t>
  </si>
  <si>
    <t>竞得方信息暂无,待成交公告公布后补齐</t>
  </si>
  <si>
    <t>2015-11-20</t>
  </si>
  <si>
    <t>两江新区龙兴组团A标准分区A9/01号宗地</t>
  </si>
  <si>
    <t>小于或等于1.5</t>
  </si>
  <si>
    <t>渝国土房管告字[2015]49号-2</t>
  </si>
  <si>
    <t>两江新区龙兴组团A标准分区A2-2/01号宗地</t>
  </si>
  <si>
    <t>B9-其它服务设施用地</t>
  </si>
  <si>
    <t>渝国土房管告字[2015]49号-3</t>
  </si>
  <si>
    <t>东方时尚驾驶学校股份有限公司、重庆灿金投资有限公司</t>
  </si>
  <si>
    <t>两江新区龙兴组团J标准分区J48-1/01、J49-1/01、J50-1/01、J51-1/01号宗地</t>
  </si>
  <si>
    <t>其他商务用地(生产性服务业用地)、商业用地、商务用地、娱乐康体用地</t>
  </si>
  <si>
    <t>小于或等于1.54</t>
  </si>
  <si>
    <t>2015-11-09</t>
  </si>
  <si>
    <t>渝国土房管告字[2015]46号-2</t>
  </si>
  <si>
    <t>重庆乐视界置业发展有限公司</t>
  </si>
  <si>
    <t>六通</t>
  </si>
  <si>
    <t>40年</t>
    <phoneticPr fontId="31" type="noConversion"/>
  </si>
  <si>
    <t>商业</t>
    <phoneticPr fontId="3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</si>
  <si>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</si>
  <si>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</si>
  <si>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周边居住用地比例、居住小区规模和社区发展完善程度</t>
    <phoneticPr fontId="41" type="noConversion"/>
  </si>
  <si>
    <t>周边道路状况、公共交通通达情况、停车便捷程度（地铁三号线观音桥</t>
    <phoneticPr fontId="41" type="noConversion"/>
  </si>
  <si>
    <t>江北一支路</t>
    <phoneticPr fontId="31" type="noConversion"/>
  </si>
  <si>
    <t>北滨一路</t>
    <phoneticPr fontId="31" type="noConversion"/>
  </si>
  <si>
    <t>江</t>
    <phoneticPr fontId="31" type="noConversion"/>
  </si>
  <si>
    <t>九龙坡区大渡口组团I分区I10-2-2/03号宗地</t>
  </si>
  <si>
    <t>＞1并且≤2</t>
  </si>
  <si>
    <t>2018-06-26</t>
  </si>
  <si>
    <t>渝[2018]21号-1</t>
  </si>
  <si>
    <t>重庆酒宜实业有限公司、重庆陆幺陆实业有限公司</t>
  </si>
  <si>
    <t>沙坪坝区西永组团I标准分区I64-01/05、I67-01/05号宗地</t>
  </si>
  <si>
    <t>零售商业用地</t>
  </si>
  <si>
    <t>≤1</t>
  </si>
  <si>
    <t>渝[2018]7号-3</t>
  </si>
  <si>
    <t>Summer*Rhythm*Limited</t>
  </si>
  <si>
    <t>2018-01-30</t>
  </si>
  <si>
    <t>渝[2018]1号-2</t>
  </si>
  <si>
    <t>沙坪坝区西永组团L标准分区L70/04(部分)号宗地</t>
  </si>
  <si>
    <t>娱乐健康用地、商业用地</t>
  </si>
  <si>
    <t>≤0.36</t>
  </si>
  <si>
    <t>2017-12-13</t>
  </si>
  <si>
    <t>渝[2017]46号-2</t>
  </si>
  <si>
    <t>大连万达商业地产股份有限公司</t>
  </si>
  <si>
    <t>九龙坡区大杨石组团H分区H10-2/02号宗地</t>
  </si>
  <si>
    <t>≤6</t>
  </si>
  <si>
    <t>2017-12-11</t>
  </si>
  <si>
    <t>渝[2017]45号-2</t>
  </si>
  <si>
    <t>华硕电脑(重庆)有限公司</t>
  </si>
  <si>
    <t>沙坪坝区沙坪坝组团A标准分区A03-10/02号宗地</t>
  </si>
  <si>
    <t>＞1并且≤1.1</t>
  </si>
  <si>
    <t>渝[2017]26号-1</t>
  </si>
  <si>
    <t>金融街重庆裕隆实业有限公司</t>
  </si>
  <si>
    <t>沙坪坝区沙坪坝组团D分区D11-1/04、D11-2/04号</t>
  </si>
  <si>
    <t>≥1并且≤5.9</t>
  </si>
  <si>
    <t>2017-06-16</t>
  </si>
  <si>
    <t>渝[2017]18号-4</t>
  </si>
  <si>
    <t>重庆龙湖地产发展有限公司</t>
  </si>
  <si>
    <t>沙坪坝区沙坪坝组团A标准分区A03-10/02、A03-11/02号宗地</t>
  </si>
  <si>
    <t>2017-02-09</t>
  </si>
  <si>
    <t>渝[2017]3号-4</t>
  </si>
  <si>
    <t>金融街重庆置业有限公司</t>
  </si>
  <si>
    <t>沙坪坝区西永组团L分区L70/04号宗地</t>
  </si>
  <si>
    <t>2017-01-26</t>
  </si>
  <si>
    <t>渝国[2017]2号-5</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</si>
  <si>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</si>
  <si>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</si>
  <si>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</si>
  <si>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</si>
  <si>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</si>
  <si>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沙坪坝区大杨石组团A分区A10/03号宗地</t>
  </si>
  <si>
    <t>≤2.73</t>
  </si>
  <si>
    <t>2016-12-20</t>
  </si>
  <si>
    <t>渝国土房管告字[2016]40号-1</t>
  </si>
  <si>
    <t>2016-09-20</t>
  </si>
  <si>
    <t>沙坪坝区西永组团L标准分区L68/05号宗地</t>
  </si>
  <si>
    <t>商业用地、娱乐康体用地</t>
  </si>
  <si>
    <t>≤0.84</t>
  </si>
  <si>
    <t>渝国土房管告字[2016]28号-3</t>
  </si>
  <si>
    <t>重庆万达城投资有限公司</t>
  </si>
  <si>
    <t>沙坪坝区西永组团L标准分区L83-1/01号宗地</t>
  </si>
  <si>
    <t>≤4.5</t>
  </si>
  <si>
    <t>渝国土房管告字[2016]28号-4</t>
  </si>
  <si>
    <t>沙坪坝区沙坪坝组团D分区D5-1/04号宗地</t>
  </si>
  <si>
    <t>≥8.0</t>
  </si>
  <si>
    <t>2016-08-19</t>
  </si>
  <si>
    <t>渝国土房管告字[2016]24号-1</t>
  </si>
  <si>
    <t>重庆迈瑞城市建设投资有限责任公司</t>
  </si>
  <si>
    <t>九龙坡区西永组团Ab分区Ab21-3/03号宗地</t>
  </si>
  <si>
    <t>等于0.53</t>
  </si>
  <si>
    <t>2016-06-28</t>
  </si>
  <si>
    <t>渝国土房管告字[2016]18号-3</t>
  </si>
  <si>
    <t>重庆市粮油批发市场有限责任公司</t>
  </si>
  <si>
    <t>九龙坡区大杨石组团Q分区QF3-6-1/04(地下)号宗地</t>
  </si>
  <si>
    <t>商业服务业设施用地、社会停车场用地(地下用地性质)</t>
  </si>
  <si>
    <t>≤2.9</t>
  </si>
  <si>
    <t>渝国土房管告字[2015]64号-2</t>
  </si>
  <si>
    <t>重庆德兴胜大置业有限公司、重庆融和茂科技有限公司</t>
  </si>
  <si>
    <t>2015-12-30</t>
  </si>
  <si>
    <t>沙坪坝区西永组团J分区J02-01/04、J02-03/03号宗地</t>
  </si>
  <si>
    <t>商业用地,商务用地</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</si>
  <si>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</si>
  <si>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</si>
  <si>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</si>
  <si>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</si>
  <si>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</si>
  <si>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</si>
  <si>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沙坪坝区西永组团I标准分区I27-01/03、I29-01/03、I31-01/02号宗地</t>
  </si>
  <si>
    <t>＞1并且≤1.9</t>
  </si>
  <si>
    <t>2018-08-03</t>
  </si>
  <si>
    <t>渝[2018]25号-1</t>
  </si>
  <si>
    <t>北京远坤房地产开发有限公司</t>
  </si>
  <si>
    <t>沙坪坝区西永K、W组团W分区W05-1/02、W03-10/02、W03-7/02、W03-3/02号宗地</t>
  </si>
  <si>
    <t>2018-06-28</t>
  </si>
  <si>
    <t>渝[2018]23号-3</t>
  </si>
  <si>
    <t>成都市朗升房地产开发有限公司、朗基地产集团有限公司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</si>
  <si>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</si>
  <si>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</si>
  <si>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</si>
  <si>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</si>
  <si>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</si>
  <si>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</si>
  <si>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</si>
  <si>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</si>
  <si>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</si>
  <si>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北京首钢房地产开发有限公司</t>
  </si>
  <si>
    <t>两江新区两路组团C分区C126-1-1/04、C126-1-2/04、C127-1/03、C128-1/03、C129-1/03号宗地</t>
  </si>
  <si>
    <t>渝[2018]7号-1</t>
  </si>
  <si>
    <t>万科(重庆)房地产有限公司</t>
  </si>
  <si>
    <t>两江新区两路组团C分区C119-1/03、C123-1/04、C120-1/03号宗地</t>
  </si>
  <si>
    <t>沙坪坝区西永组团L标准分区L63-1/06、L63-2/06号宗地</t>
  </si>
  <si>
    <t>＞1并且≤2.5</t>
  </si>
  <si>
    <t>绿城房地产集团有限公司、重庆天拓置业发展有限公司</t>
  </si>
  <si>
    <t>两江新区两路组团J分区J01-2/04、J02/04、J03-1/04、J04/04号宗地</t>
  </si>
  <si>
    <t>重庆招商依城房地产开发有限公司</t>
  </si>
  <si>
    <t>渝[2018]4号-1</t>
  </si>
  <si>
    <t>九龙坡区大杨石组团V分区V08-3/05、V09-2/03号、V11-1-2/04号宗地</t>
  </si>
  <si>
    <t>中建信和地产有限公司</t>
  </si>
  <si>
    <t>沙坪坝区西永组团L标准分区L18-1/05号宗地</t>
  </si>
  <si>
    <t>渝[2017]52号-5</t>
  </si>
  <si>
    <t>金科地产集团股份有限公司、贵阳市美的房地产发展有限公司、福建中骏置业有限公司、南充世纪城(中南)房地产开发有限责任公司</t>
  </si>
  <si>
    <t>两江新区大竹林组团G分区G10-1/05号宗地</t>
  </si>
  <si>
    <t>2018-01-04</t>
  </si>
  <si>
    <t>渝[2017]51号-1</t>
  </si>
  <si>
    <t>深圳安创投资管理有限公司、重庆龙湖地产发展有限公司</t>
  </si>
  <si>
    <t>两江新区悦来组团C分区C53/05号宗地</t>
  </si>
  <si>
    <t>渝[2017]45号-3</t>
  </si>
  <si>
    <t>宁波投创荣安置业有限公司</t>
  </si>
  <si>
    <t>两江新区两路组团C标准分区C27-1/04、C28-1-1/04号宗地</t>
  </si>
  <si>
    <t>＞1并且≤1.7</t>
  </si>
  <si>
    <t>2017-09-27</t>
  </si>
  <si>
    <t>渝[2017]34号-2</t>
  </si>
  <si>
    <t>两江新区两路组团C标准分区C28-2-1/03、C28-2-4/03、C30-1-1/03、C28-2-3/03、C29-1-1/03(部分)、C30-1-3/03、C30-1-4/03号宗地</t>
  </si>
  <si>
    <t>＞1并且≤1.8</t>
  </si>
  <si>
    <t>渝[2017]33号-1</t>
  </si>
  <si>
    <t>九龙坡区大杨石组团G分区G14-5-1/04号宗地</t>
  </si>
  <si>
    <t>≥1并且≤3.5</t>
  </si>
  <si>
    <t>2017-08-31</t>
  </si>
  <si>
    <t>渝[2017]30号-1</t>
  </si>
  <si>
    <t>重庆象屿置业有限公司</t>
  </si>
  <si>
    <t>两江新区两路组团J分区J06-1/06号宗地</t>
  </si>
  <si>
    <t>≥1并且≤2.5</t>
  </si>
  <si>
    <t>渝[2017]30号-2</t>
  </si>
  <si>
    <t>浙江佳源房地产集团有限公司、重庆佳源中恒文化旅游开发有限公司、中农国信控股集团有限公司</t>
  </si>
  <si>
    <t>两江新区两路组团I分区I49-5/03、I50-1/03、I51/03号宗地</t>
  </si>
  <si>
    <t>≥1并且≤2.7</t>
  </si>
  <si>
    <t>两江新区两路组团J分区J05/05号宗地</t>
  </si>
  <si>
    <t>两江新区礼嘉组团A标准分区A21-4-1/06、A21-4-2/06、A22-1/06、A22-2/06号宗地</t>
  </si>
  <si>
    <t>≥1并且≤1.35</t>
  </si>
  <si>
    <t>2017-08-30</t>
  </si>
  <si>
    <t>渝[2017]29号-2</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</si>
  <si>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</si>
  <si>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</si>
  <si>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</si>
  <si>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</si>
  <si>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</si>
  <si>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</si>
  <si>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</si>
  <si>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</si>
  <si>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</si>
  <si>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</si>
  <si>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</si>
  <si>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</si>
  <si>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渝[2017]27号</t>
  </si>
  <si>
    <t>沙坪坝区西永组团C分区C20-4-1-1/03号宗地</t>
  </si>
  <si>
    <t>＞1并且≤1.2</t>
  </si>
  <si>
    <t>重庆国盛滨溪房地产开发有限公司</t>
  </si>
  <si>
    <t>两江新区龙兴组团H分区H35-1/02、H38-1/02、H42-1/02、H44-1/02、H49-1/02号宗地</t>
  </si>
  <si>
    <t>≥1并且≤1</t>
  </si>
  <si>
    <t>2017-07-31</t>
  </si>
  <si>
    <t>渝[2017]25号-4</t>
  </si>
  <si>
    <t>天津保盛乾元企业管理合伙企业(有限合伙)、北京方兴亦城置业有限公司</t>
  </si>
  <si>
    <t>渝[2017]20号-3</t>
  </si>
  <si>
    <t>渝北区大石坝组团B分区27-1号宗地</t>
  </si>
  <si>
    <t>2017-06-27</t>
  </si>
  <si>
    <t>渝[2017]19号-1</t>
  </si>
  <si>
    <t>绿城房地产集团有限公司</t>
  </si>
  <si>
    <t>沙坪坝区西永组团L标准分区L39-6/03、L39-7/04、L21-1-1/05、L22-1/05号宗地</t>
  </si>
  <si>
    <t>深圳联新投资管理有限公司、重庆龙湖企业拓展有限公司</t>
  </si>
  <si>
    <t>沙坪坝区西永组团L标准分区L01-1/04、L01-3/04号宗地</t>
  </si>
  <si>
    <t>≥1并且≤2.2</t>
  </si>
  <si>
    <t>渝[2017]16号-3</t>
  </si>
  <si>
    <t>重庆金科房地产开发有限公司</t>
  </si>
  <si>
    <t>沙坪坝区沙坪坝组团B分区B11-2-2/03号宗地</t>
  </si>
  <si>
    <t>2017-04-18</t>
  </si>
  <si>
    <t>渝[2017]10号-1</t>
  </si>
  <si>
    <t>重庆市垫江县碧桂园房地产开发有限公司</t>
  </si>
  <si>
    <t>九龙坡区大杨石组团L分区L10-4-1/03、LB9-1/06号宗地</t>
  </si>
  <si>
    <t>2017-03-24</t>
  </si>
  <si>
    <t>渝[2017]6号-1</t>
  </si>
  <si>
    <t>两江新区龙兴组团F标准分区F12-1/03号宗地</t>
  </si>
  <si>
    <t>≤1.0</t>
  </si>
  <si>
    <t>2017-02-15</t>
  </si>
  <si>
    <t>渝[2017]4号-1</t>
  </si>
  <si>
    <t>九龙坡区大杨石组团D分区D5-3/03、D8-2-1/04号宗地</t>
  </si>
  <si>
    <t>≤2.25</t>
  </si>
  <si>
    <t>2017-02-10</t>
  </si>
  <si>
    <t>渝[2017]3号-3</t>
  </si>
  <si>
    <t>四川蓝光和骏实业有限公司</t>
  </si>
  <si>
    <t>沙坪坝区西永组团L标准分区L73-1/01、L73-2/02、L73-4/02、L73-10/02号宗地</t>
  </si>
  <si>
    <t>≤2.6</t>
  </si>
  <si>
    <t>渝国[2017]2号-2</t>
  </si>
  <si>
    <t>沙坪坝区西永组团L标准分区L67-3/06、L72-7/02、L72-8/02、L72-4/01号宗地</t>
  </si>
  <si>
    <t>≤1.77</t>
  </si>
  <si>
    <t>渝国[2017]2号-3</t>
  </si>
  <si>
    <t>两江新区悦来组团D分区D02-2/05、D04-4/05、D03-2/06、D04-1-1/07号宗地</t>
  </si>
  <si>
    <t>≤2.11</t>
  </si>
  <si>
    <t>2017-01-25</t>
  </si>
  <si>
    <t>渝国[2017]1号-1</t>
  </si>
  <si>
    <t>四川友华房地产开发有限公司、自贡市龙宇置业有限公司</t>
  </si>
  <si>
    <t>沙坪坝区西永组团W标准分区W13-1/02、W14-1/02、W15-1/02号宗地</t>
  </si>
  <si>
    <t>＞1且≤1.5</t>
  </si>
  <si>
    <t>2017-01-20</t>
  </si>
  <si>
    <t>渝[2016]48号-3</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</si>
  <si>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</si>
  <si>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</si>
  <si>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</si>
  <si>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</si>
  <si>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</si>
  <si>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</si>
  <si>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两江新区大竹林组团G标准分区G13-5-4/04号宗地</t>
  </si>
  <si>
    <t>渝国土房管告字[2016]38号-1</t>
  </si>
  <si>
    <t>九龙坡区西彭组团C标准分区C30-1/03地块</t>
  </si>
  <si>
    <t>2016-11-10</t>
  </si>
  <si>
    <t>渝国土房管告字[2016]33号-2</t>
  </si>
  <si>
    <t>重庆创大地产集团有限公司</t>
  </si>
  <si>
    <t>两江新区悦来组团C分区C71-2/05、C74/05、C75-2/05、C81/05、C82/05、C83-3/05、C83-2/05、C84/05、C60-1/05、C61-2/05号宗地</t>
  </si>
  <si>
    <t>二类居住用地、服务设施用地、商业用地、商务用地</t>
  </si>
  <si>
    <t>＞1并且＜2.39</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</si>
  <si>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</si>
  <si>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</si>
  <si>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</si>
  <si>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</si>
  <si>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</si>
  <si>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</si>
  <si>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</si>
  <si>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</si>
  <si>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沙坪坝区西永组团M标准分区M40-1-1/04、M40-1-3/04、M43-2/05、M45-2/03号宗地</t>
  </si>
  <si>
    <t>＞1并且≤2.3</t>
  </si>
  <si>
    <t>渝[2018]21号-3</t>
  </si>
  <si>
    <t>重庆华润置地发展有限公司</t>
  </si>
  <si>
    <t>沙坪坝区大杨石组团C分区C11-1/03号宗地</t>
  </si>
  <si>
    <t>渝[2018]14号-2</t>
  </si>
  <si>
    <t>南京红太阳房地产开发有限公司</t>
  </si>
  <si>
    <t>两江新区两路组团I分区I45-4/03、I45-1/03、I45-5/03、I45-7/03、I46-1/03、I48-3/03、I49-8/03、I49-17/03号宗地</t>
  </si>
  <si>
    <t>美的西南房地产发展有限公司</t>
  </si>
  <si>
    <t>两江新区两路组团I分区I6-1/03、I7-4/03、I7-5/03、I7-8/03、I10-3/03、I11-1/03、I11-2/03、I12-2/03、I16-3/04号宗地</t>
  </si>
  <si>
    <t>沙坪坝区西永组团C标准分区C2-1-2/02号宗地</t>
  </si>
  <si>
    <t>远洋朗基置业有限公司、朗基地产集团有限公司</t>
  </si>
  <si>
    <t>两江新区龙兴组团H分区H70-4/01、H72-1/01、H73-2/01、H74-1/01、H76/01、H77/01号宗地</t>
  </si>
  <si>
    <t>商业用地、商务用地、二类居住用地、社会停车场用地</t>
  </si>
  <si>
    <t>2018-05-04</t>
  </si>
  <si>
    <t>渝[2018]13号-2</t>
  </si>
  <si>
    <t>重庆两江新区龙湖新御置业发展有限公司</t>
  </si>
  <si>
    <t>渝[2018]12号-2</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</si>
  <si>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</si>
  <si>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</si>
  <si>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</si>
  <si>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</si>
  <si>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</si>
  <si>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</si>
  <si>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</si>
  <si>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</si>
  <si>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</si>
  <si>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</si>
  <si>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</si>
  <si>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</si>
  <si>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</si>
  <si>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</si>
  <si>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九龙坡区中梁山组团I分区I07-02/04号宗地</t>
  </si>
  <si>
    <t>二类居住兼容商业商务用地</t>
  </si>
  <si>
    <t>＞1并且≤1.79</t>
  </si>
  <si>
    <t>渝[2018]5号-4</t>
  </si>
  <si>
    <t>中昂地产(集团)有限公司</t>
  </si>
  <si>
    <t>两江新区龙兴组团K、H分区K28-1/01、H1-3/01、H2-3/01、H3-2/01、H4-2/01、H14-2/01、H24-3/01号宗地</t>
  </si>
  <si>
    <t>二类居住用地、商业用地、商务用地、其他服务设施用地(民办学校)</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</si>
  <si>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</si>
  <si>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</si>
  <si>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</si>
  <si>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</si>
  <si>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沙坪坝区沙坪坝组团F分区F6-1/01、F7/01号宗地</t>
  </si>
  <si>
    <t>二类居住用地、商业用地、商务用地、娱乐康体用地</t>
  </si>
  <si>
    <t>＞1并且≤3.26</t>
  </si>
  <si>
    <t>2018-02-08</t>
  </si>
  <si>
    <t>渝[2018]3号-1</t>
  </si>
  <si>
    <t>重庆旭鹏房地产开发有限公司、重庆辉沛企业管理有限公司</t>
  </si>
  <si>
    <t>沙坪坝区西永组团L标准分区L50/06、L52/06、L54/05号宗地</t>
  </si>
  <si>
    <t>渝[2018]1号-1</t>
  </si>
  <si>
    <t>沙坪坝区西永组团L标准分区L23-1/04、L23-2/04、L23-3/04、L23-4/04、L23-5/04、L23-6/04号宗地</t>
  </si>
  <si>
    <t>＞1并且≤2.54</t>
  </si>
  <si>
    <t>渝[2017]51号-3</t>
  </si>
  <si>
    <t>南充世纪城(中南)房地产开发有限责任公司</t>
  </si>
  <si>
    <t>沙坪坝区西永组团L标准分区L74-1/01、L74-2/01、L75-2/02、L75-4/02、*L79-5/02号宗地</t>
  </si>
  <si>
    <t>旅馆用地、商业用地、二类居住用地</t>
  </si>
  <si>
    <t>≤0.73</t>
  </si>
  <si>
    <t>九龙坡区大杨石组团R分区R18-9-1/04号宗地</t>
  </si>
  <si>
    <t>2017-11-17</t>
  </si>
  <si>
    <t>渝[2017]42号-1</t>
  </si>
  <si>
    <t>卓越置业集团有限公司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</si>
  <si>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</si>
  <si>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</si>
  <si>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</si>
  <si>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</si>
  <si>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</si>
  <si>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</si>
  <si>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</si>
  <si>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</si>
  <si>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</si>
  <si>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</si>
  <si>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</si>
  <si>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</si>
  <si>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</si>
  <si>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</si>
  <si>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</si>
  <si>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</si>
  <si>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</si>
  <si>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</si>
  <si>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</si>
  <si>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渝北区两路组团F分区F134-1、F135-1、F129-1、F131-1、F131-2号宗地</t>
  </si>
  <si>
    <t>创滔有限公司</t>
  </si>
  <si>
    <t>渝北区两路组团F分区F108-1、F107-2、F58-2、F63-1、F63-2、F64-1号宗地</t>
  </si>
  <si>
    <t>上海新城万嘉房地产有限公司</t>
  </si>
  <si>
    <t>渝[2017]32号-1</t>
  </si>
  <si>
    <t>渝北区观音桥组团C分区8-1/04、13-1/04、8-6/02号宗地</t>
  </si>
  <si>
    <t>二类居住用地、服务设施用地</t>
  </si>
  <si>
    <t>＞1并且≤4.3</t>
  </si>
  <si>
    <t>2017-09-08</t>
  </si>
  <si>
    <t>渝[2017]31号-1</t>
  </si>
  <si>
    <t>两江新区两路组团J分区J12-1/05、J01-17/05、J13-4/05、J13-13/05号宗地</t>
  </si>
  <si>
    <t>二类居住用地、医疗卫生用地</t>
  </si>
  <si>
    <t>≥1并且≤1.65</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</si>
  <si>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</si>
  <si>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</si>
  <si>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</si>
  <si>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</si>
  <si>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</si>
  <si>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</si>
  <si>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</si>
  <si>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两江新区龙兴组团H分区H30-1/02、H30-6-1/02、H31-1/02、H31-3/02、H34-1/02、H37-1/02号宗地</t>
  </si>
  <si>
    <t>两江新区龙兴组团H分区H46-1/01、H47-2/01、H48-2/01、H50-1/01、H51-2/01、H52-2/01号宗地</t>
  </si>
  <si>
    <t>≤0.7</t>
  </si>
  <si>
    <t>渝[2017]20号-2</t>
  </si>
  <si>
    <t>北京方兴亦城置业有限公司</t>
  </si>
  <si>
    <t>两江新区龙兴组团H分区H32-1/01、H32-3/01、H33-2/01、H33-4/01、H39-2/01、H40-1/01、H41-2/01、H45-1/01、H45-4/01号宗地</t>
  </si>
  <si>
    <t>其他普通商品住房用地</t>
  </si>
  <si>
    <t>＞1,≤1.1</t>
  </si>
  <si>
    <t>2017-04-21</t>
  </si>
  <si>
    <t>渝[2017]11号-2</t>
  </si>
  <si>
    <t>重庆中讯物业发展有限公司</t>
  </si>
  <si>
    <t>九龙坡区大杨石组团N分区N02-4-1/03、N02-4-2/03、N03-2/08、N03-3/06、N04-2/04、*N05-9/04、N05-1/05号宗地</t>
  </si>
  <si>
    <t>＞1,≤3.7</t>
  </si>
  <si>
    <t>2017-04-07</t>
  </si>
  <si>
    <t>渝[2017]9号-1</t>
  </si>
  <si>
    <t>重庆旭鹏房地产开发有限公司、重庆同原房地产开发有限公司</t>
  </si>
  <si>
    <t>九龙坡区西彭组团O分区O39-2/02号宗地</t>
  </si>
  <si>
    <t>＞1,≤2.2</t>
  </si>
  <si>
    <t>渝[2017]9号-2</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</si>
  <si>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</si>
  <si>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</si>
  <si>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</si>
  <si>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</si>
  <si>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</si>
  <si>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</si>
  <si>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</si>
  <si>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</si>
  <si>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</si>
  <si>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渝[2017]7号-6</t>
  </si>
  <si>
    <t>沙坪坝区沙坪坝组团B分区B12/02号宗地</t>
  </si>
  <si>
    <t>＞1且≤6.9</t>
  </si>
  <si>
    <t>渝[2017]5号-7</t>
  </si>
  <si>
    <t>渝北区两路组团A标准分区A104-2/03号宗地</t>
  </si>
  <si>
    <t>2017-02-16</t>
  </si>
  <si>
    <t>渝[2017]4号-3</t>
  </si>
  <si>
    <t>重庆市涪陵金宏房地产开发有限公司</t>
  </si>
  <si>
    <t>商业40年,住宅70年</t>
  </si>
  <si>
    <t>沙坪坝区西永组团L标准分区L77-3/02、L77-4/02、L77-5/02号宗地</t>
  </si>
  <si>
    <t>二类居住用地、一类居住用地</t>
  </si>
  <si>
    <t>≤1.65</t>
  </si>
  <si>
    <t>渝国[2017]2号-4</t>
  </si>
  <si>
    <t>渝国土房管告字[2016]46号-5</t>
  </si>
  <si>
    <t>两江新区龙兴组团F分区F1-1/03、F5-1/04号宗地</t>
  </si>
  <si>
    <t>2016-12-29</t>
  </si>
  <si>
    <t>渝国土房管告字[2016]45号-1</t>
  </si>
  <si>
    <t>重庆国瑞控股集团有限公司、重庆市明发房地产开发有限公司</t>
  </si>
  <si>
    <t>渝国土房管告字[2016]43号-1</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</si>
  <si>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</si>
  <si>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</si>
  <si>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</si>
  <si>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</si>
  <si>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</si>
  <si>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</si>
  <si>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</si>
  <si>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</si>
  <si>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</si>
  <si>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</si>
  <si>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≤2.56</t>
  </si>
  <si>
    <t>2016-12-23</t>
  </si>
  <si>
    <t>渝国土房管告字[2016]41号-1</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</si>
  <si>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</si>
  <si>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</si>
  <si>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</si>
  <si>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</si>
  <si>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</si>
  <si>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</si>
  <si>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渝国土房管告字[2016]40号-3</t>
  </si>
  <si>
    <t>重庆融创基业房地产开发有限公司</t>
  </si>
  <si>
    <t>两江新区悦来组团C分区C27/05、C28-2/05、C29-2/05、C30-2/05、C31/05、C32/06、C37-1/07、C38/06、C39-1/06、C43-2/06、C70-1/05号宗地</t>
  </si>
  <si>
    <t>二类居住用地、服务设施用地、商业用地</t>
  </si>
  <si>
    <t>渝国土房管告字[2016]40号-2</t>
  </si>
  <si>
    <t>北京城建重庆地产有限公司</t>
  </si>
  <si>
    <t>渝国土房管告字[2016]35号-3</t>
  </si>
  <si>
    <t>两江新区两路组团Q标准分区Q22-2-1/05、Q23-1/04、Q23-4/04、Q24-3/04、Q25-1/04、Q25-4/03号宗地</t>
  </si>
  <si>
    <t>渝国土房管告字[2016]31号-2</t>
  </si>
  <si>
    <t>绍兴华裕房地产开发有限公司</t>
  </si>
  <si>
    <t>沙坪坝区西永组团L标准分区L75-1/01、L79-1/01、L79-2/01、L79-3/01、L84-1/01、L82-3/01号宗地</t>
  </si>
  <si>
    <t>一类居住用地、服务设施用地、二类居住用地、商业用地、商务用地</t>
  </si>
  <si>
    <t>≤1.39</t>
  </si>
  <si>
    <t>渝国土房管告字[2016]27号-3</t>
  </si>
  <si>
    <t>沙坪坝区西永组团L标准分区L80-2/01、L80-3/01、L84-2/01号宗地</t>
  </si>
  <si>
    <t>一类居住用地、二类居住用地</t>
  </si>
  <si>
    <t>≤1.84</t>
  </si>
  <si>
    <t>渝国土房管告字[2016]27号-1</t>
  </si>
  <si>
    <t>沙坪坝区西永组团L标准分区L81-1/01、L81-2/01、L85-1/01、L85-2/01号宗地</t>
  </si>
  <si>
    <t>≤2.37</t>
  </si>
  <si>
    <t>渝国土房管告字[2016]27号-2</t>
  </si>
  <si>
    <t>南岸区茶园组团F分区F65-1/03、F65-2/03、F66-1/04、F66-2/04号宗地</t>
  </si>
  <si>
    <t>＞1并且≤2.09</t>
  </si>
  <si>
    <t>2018-05-31</t>
  </si>
  <si>
    <t>渝[2018]15号-5</t>
  </si>
  <si>
    <t>联发集团重庆房地产开发有限公司、重庆金科房地产开发有限公司</t>
  </si>
  <si>
    <t>大渡口区大渡口组团K分区K14-1、K15-2号宗地</t>
  </si>
  <si>
    <t>渝[2018]15号-7</t>
  </si>
  <si>
    <t>卓越置业集团重庆两江有限公司</t>
  </si>
  <si>
    <t>大渡口区大渡口组团K分区K13-1号宗地</t>
  </si>
  <si>
    <t>联发集团重庆房地产开发有限公司</t>
  </si>
  <si>
    <t>南岸区弹子石组团D分区D3-1/03号宗地</t>
  </si>
  <si>
    <t>公共交通场站用地、二类居住用地、商业用地、商务用地</t>
  </si>
  <si>
    <t>渝[2018]13号-4</t>
  </si>
  <si>
    <t>融侨集团股份有限公司</t>
  </si>
  <si>
    <t>南岸区茶园组团A分区A81-3/03号宗地</t>
  </si>
  <si>
    <t>2018-04-16</t>
  </si>
  <si>
    <t>渝[2018]11号</t>
  </si>
  <si>
    <t>中铁二十局集团房地产开发有限公司</t>
  </si>
  <si>
    <t>南岸区茶园组团B分区B37/03号宗地</t>
  </si>
  <si>
    <t>2018-04-13</t>
  </si>
  <si>
    <t>渝[2018]10号-2</t>
  </si>
  <si>
    <t>重庆首创新石置业有限公司</t>
  </si>
  <si>
    <t>南岸区茶园组团B分区B40-1/03、B45/03号宗地</t>
  </si>
  <si>
    <t>＞1并且＜1.5</t>
  </si>
  <si>
    <t>重庆北大资源投资有限公司、重庆盈丰地产有限公司</t>
  </si>
  <si>
    <t>南岸区茶园组团B分区B36/03号宗地</t>
  </si>
  <si>
    <t>渝[2018]8号-1</t>
  </si>
  <si>
    <t>成都云盛房地产开发有限公司、重庆国兴置业有限公司</t>
  </si>
  <si>
    <t>南岸区茶园组团F分区F16-1-3/02、F16-1-1/02、F13-4/02、F62/02、F13-1/02、F13-8/02、F13-3/01号宗地</t>
  </si>
  <si>
    <t>＞1并且≤2.1</t>
  </si>
  <si>
    <t>渝[2017]35号-4</t>
  </si>
  <si>
    <t>重庆市金科宸居置业有限公司</t>
  </si>
  <si>
    <t>南岸区茶园组团B分区B41-1/03、B43-3/03、B42-2/03、B43-2/03、B43-1/03号宗地</t>
  </si>
  <si>
    <t>＞1并且≤1.4</t>
  </si>
  <si>
    <t>南岸区茶园组团J分区J1-2-1/03号宗地</t>
  </si>
  <si>
    <t>渝[2017]33号-2</t>
  </si>
  <si>
    <t>朗基地产集团有限公司、重庆同原房地产开发有限公司、成都永进合能房地产有限公司</t>
  </si>
  <si>
    <t>大渡口区大渡口组团F分区F5-2号宗地</t>
  </si>
  <si>
    <t>渝[2017]32号-4</t>
  </si>
  <si>
    <t>重庆金科兆基房地产开发有限公司</t>
  </si>
  <si>
    <t>大渡口区大渡口组团N分区N23-1、N23-3-1、N23-3-2号宗地</t>
  </si>
  <si>
    <t>二类居住用地、其它服务设施用地</t>
  </si>
  <si>
    <t>大渡口区重钢片区组团F分区F7-5/03(部分)号宗地</t>
  </si>
  <si>
    <t>渝[2017]25号-1</t>
  </si>
  <si>
    <t>重庆建桥置业有限公司</t>
  </si>
  <si>
    <t>大渡口区大渡口组团M分区M01-4、M02-2号宗地</t>
  </si>
  <si>
    <t>＞1并且≤2.8</t>
  </si>
  <si>
    <t>2017-06-29</t>
  </si>
  <si>
    <t>渝[2017]20号-1</t>
  </si>
  <si>
    <t>大渡口区大渡口组团M分区M36-1、M39-1、M41-1号宗地</t>
  </si>
  <si>
    <t>≥1并且≤3</t>
  </si>
  <si>
    <t>西安金地置业投资有限公司</t>
  </si>
  <si>
    <t>大渡口区大渡口组团M分区M37-1、M40-1号宗地</t>
  </si>
  <si>
    <t>渝[2017]19号-3</t>
  </si>
  <si>
    <t>重庆市金科骏凯房地产开发有限公司</t>
  </si>
  <si>
    <t>南岸区茶园组团J分区J2-4/02、J3-1/02号宗地</t>
  </si>
  <si>
    <t>≥1并且≤2.1</t>
  </si>
  <si>
    <t>渝[2017]18号-2</t>
  </si>
  <si>
    <t>重庆市垫江县碧桂园房地产开发有限公司、重庆东原睿合置业有限公司</t>
  </si>
  <si>
    <t>大渡口区大渡口组团L分区L20-01(部分)、L23-1-1、大渡口组团N分区N32-1、N31-2-3号宗地</t>
  </si>
  <si>
    <t>≥1并且≤2.4</t>
  </si>
  <si>
    <t>渝[2017]18号-3</t>
  </si>
  <si>
    <t>大渡口区大渡口组团I分区I07-1、I08-2、I09、I11-2、I11-4、I15-1、I21-1号宗地</t>
  </si>
  <si>
    <t>渝[2017]16号</t>
  </si>
  <si>
    <t>重庆荣盛鑫煜房地产开发有限公司</t>
  </si>
  <si>
    <t>南岸区弹子石组团D分区D1-6-1/03部分宗地</t>
  </si>
  <si>
    <t>2017-06-13</t>
  </si>
  <si>
    <t>渝[2017]16号-2</t>
  </si>
  <si>
    <t>南岸区茶园新区组团A分区A74-3/02、A74-1/03、A74-2/02、A75-1/02号宗地</t>
  </si>
  <si>
    <t>≥1并且≤1.6</t>
  </si>
  <si>
    <t>南岸区茶园新区组团A分区A76-2/03、A79-1/03、A79-3/02号宗地</t>
  </si>
  <si>
    <t>大渡口区大渡口组团I分区I02-2、I02-6、I04-1、I05、I06号宗地</t>
  </si>
  <si>
    <t>2017-06-06</t>
  </si>
  <si>
    <t>渝[2017]15号-2</t>
  </si>
  <si>
    <t>大渡口区大渡口组团I分区I12、I13、I19、I25、I30(部分)、I61-1、I62-1、I64-1(部分)、I71-3号宗地</t>
  </si>
  <si>
    <t>≥1并且≤2.8</t>
  </si>
  <si>
    <t>大渡口区大渡口组团P分区P2-14号宗地</t>
  </si>
  <si>
    <t>2017-05-27</t>
  </si>
  <si>
    <t>渝[2017]14号-1</t>
  </si>
  <si>
    <t>深圳市中洲投资控股股份有限公司</t>
  </si>
  <si>
    <t>南岸区南坪组团D分区D10-3-2/02号宗地</t>
  </si>
  <si>
    <t>≥1并且≤7.9</t>
  </si>
  <si>
    <t>2017-06-09</t>
  </si>
  <si>
    <t>渝[2017]14号-2</t>
  </si>
  <si>
    <t>大渡口区中梁山组团L分区L20-01(部分)、L18-02-3、L18-02-1、L22地块、大渡口组团L分区L19地块</t>
  </si>
  <si>
    <t>≥1并且≤2.3</t>
  </si>
  <si>
    <t>2017-05-08</t>
  </si>
  <si>
    <t>渝[2017]12号-3</t>
  </si>
  <si>
    <t>大渡口区大渡口组团F分区F1-9-2号宗地</t>
  </si>
  <si>
    <t>≤4</t>
  </si>
  <si>
    <t>渝[2017]4号-2</t>
  </si>
  <si>
    <t>重庆旭鹏房地产开发有限公司</t>
  </si>
  <si>
    <t>南岸区南坪组团F标准分区F2-2/04部分宗地</t>
  </si>
  <si>
    <t>≤4.6</t>
  </si>
  <si>
    <t>渝国[2017]2号-1</t>
  </si>
  <si>
    <t>长江重庆航道工程局、重庆港九波顿发展有限责任公司</t>
  </si>
  <si>
    <t>南岸区南坪组团D分区D13-10-1/03号宗地</t>
  </si>
  <si>
    <t>二类居住及商业混合用地</t>
  </si>
  <si>
    <t>≤3.50</t>
  </si>
  <si>
    <t>渝国土房管告字[2016]41号-3</t>
  </si>
  <si>
    <t>重庆伟清房地产开发有限公司</t>
  </si>
  <si>
    <t>大渡口区大渡口组团T分区T05-1号宗地</t>
  </si>
  <si>
    <t>B1B3R2(商业用地、娱乐康体用地、二类居住用地)</t>
  </si>
  <si>
    <t>≤1.6</t>
  </si>
  <si>
    <t>2016-12-14</t>
  </si>
  <si>
    <t>渝国土房管告字[2016]39号-1</t>
  </si>
  <si>
    <t>重庆小南海水泥厂</t>
  </si>
  <si>
    <t>大渡口区大渡口组团D分区D10-3-1号宗地</t>
  </si>
  <si>
    <t>二类居住用地、防护绿地</t>
  </si>
  <si>
    <t>≤3.53</t>
  </si>
  <si>
    <t>2016-10-24</t>
  </si>
  <si>
    <t>渝国土房管告字[2016]32号-1</t>
  </si>
  <si>
    <t>重庆业瑞房地产可开发有限公司</t>
  </si>
  <si>
    <t>70年、50年</t>
  </si>
  <si>
    <t>沙坪坝区西永组团L标准分区L76-4/01、L78-1/01、L78-2/01、L78-3/01号宗地</t>
  </si>
  <si>
    <t>≤3.67</t>
  </si>
  <si>
    <t>渝国土房管告字[2016]27号-4</t>
  </si>
  <si>
    <t>九龙坡区大杨石组团N分区NF1-9/04号宗地</t>
  </si>
  <si>
    <t>二类居住用地兼容商业商务用地</t>
  </si>
  <si>
    <t>≤2.77</t>
  </si>
  <si>
    <t>渝国土房管告字[2016]26号-3</t>
  </si>
  <si>
    <t>重庆国兴置业有限公司</t>
  </si>
  <si>
    <t>40年70年</t>
  </si>
  <si>
    <t>渝国土房管告字[2016]25号-1</t>
  </si>
  <si>
    <t>渝国土房管告字[2016]25号-2</t>
  </si>
  <si>
    <t>九龙坡区大杨石组团二郎新城中心区分区C3-4-3/03号宗地</t>
  </si>
  <si>
    <t>≤3.8</t>
  </si>
  <si>
    <t>渝国土房管告字[2016]25号-4</t>
  </si>
  <si>
    <t>中铁十一局集团重庆房地产开发有限公司</t>
  </si>
  <si>
    <t>渝国土房管告字[2016]23号-1</t>
  </si>
  <si>
    <t>两江新区大竹林组团G标准分区G17/05(部分)宗地</t>
  </si>
  <si>
    <t>≤1.47</t>
  </si>
  <si>
    <t>2016-08-04</t>
  </si>
  <si>
    <t>渝国土房管告字[2016]22号-5</t>
  </si>
  <si>
    <t>重庆龙湖创安地产发展有限公司</t>
  </si>
  <si>
    <t>九龙坡区中梁山组团G分区G42-2-2/03号宗地</t>
  </si>
  <si>
    <t>渝国土房管告字[2016]22号-3</t>
  </si>
  <si>
    <t>南岸区弹子石A分区A8-1/03、A8-3/03、A8-5/03、A17-1/04号宗地</t>
  </si>
  <si>
    <t>娱乐康体、商务、商业、二类居住、服务设施用地</t>
  </si>
  <si>
    <t>≤2.95</t>
  </si>
  <si>
    <t>2016-07-20</t>
  </si>
  <si>
    <t>渝国土房管告字[2016]21号-1</t>
  </si>
  <si>
    <t>重庆至元成方房地产开发有限公司</t>
  </si>
  <si>
    <t>两江新区悦来组团C标准分区C14-1/06、C14-2/07、C18-1/07、C18-6/06号宗地</t>
  </si>
  <si>
    <t>2016-07-15</t>
  </si>
  <si>
    <t>渝国土房管告字[2016]20号-4</t>
  </si>
  <si>
    <t>重庆北辰两江置业有限公司</t>
  </si>
  <si>
    <t>两江新区悦来组团C分区C15-2/07、C17-5/04、C18-3/06号宗地</t>
  </si>
  <si>
    <t>渝国土房管告字[2016]20号-5</t>
  </si>
  <si>
    <t>两江新区悦来组团C分区C05-1/07、C05-3/07、C06-1/06、C09-2/06、C10-3/06、C10-1/06号宗地</t>
  </si>
  <si>
    <t>≤2.45</t>
  </si>
  <si>
    <t>渝国土房管告字[2016]20号-3</t>
  </si>
  <si>
    <t>两江新区礼嘉组团F标准分区F05-8/05、F05-16/03号宗地</t>
  </si>
  <si>
    <t>渝国土房管告字[2016]18号-6</t>
  </si>
  <si>
    <t>深圳市创泰投资管理有限公司、重庆龙湖地产发展有限公司</t>
  </si>
  <si>
    <t>两江新区礼嘉组团F标准分区F03-10/05、F03-11-1/05号宗地</t>
  </si>
  <si>
    <t>等于1</t>
  </si>
  <si>
    <t>渝国土房管告字[2016]18号-9</t>
  </si>
  <si>
    <t>沙坪坝区中梁山组团B分区B4-5/05号宗地</t>
  </si>
  <si>
    <t>大于1并且小于或等于2.8</t>
  </si>
  <si>
    <t>渝国土房管告字[2016]18号-2</t>
  </si>
  <si>
    <t>重庆市沙坪坝区房地产开发总公司</t>
  </si>
  <si>
    <t>两江新区礼嘉组团F标准分区F06-1/05、F06-9/03、F06-12/04号宗地</t>
  </si>
  <si>
    <t>渝国土房管告字[2016]18号-8</t>
  </si>
  <si>
    <t>两江新区礼嘉组团F标准分区F05-9/05号宗地</t>
  </si>
  <si>
    <t>渝国土房管告字[2016]18号-7</t>
  </si>
  <si>
    <t>成都朗基地产有限公司</t>
  </si>
  <si>
    <t>沙坪坝区西永组团L标准分区L37-2/04号宗地</t>
  </si>
  <si>
    <t>2016-06-21</t>
  </si>
  <si>
    <t>渝国土房管告字[2016]17号-2</t>
  </si>
  <si>
    <t>九龙坡区大杨石组团H分区H10-1-3/06号宗地</t>
  </si>
  <si>
    <t>二类居住用地兼容商业用地、商务用地</t>
  </si>
  <si>
    <t>＞1且≤4</t>
  </si>
  <si>
    <t>渝国土房管告字[2016]17号-1</t>
  </si>
  <si>
    <t>住宅70年、商业40年</t>
  </si>
  <si>
    <t>沙坪坝区西永组团L标准分区L73-5/01、L76-2/01号宗地</t>
  </si>
  <si>
    <t>＞1且≤2.25</t>
  </si>
  <si>
    <t>2016-06-14</t>
  </si>
  <si>
    <t>渝国土房管告字[2016]16号-3</t>
  </si>
  <si>
    <t>沙坪坝区西永组团L标准分区L67-2/02、L72-1/02号宗地</t>
  </si>
  <si>
    <t>渝国土房管告字[2016]16号-2</t>
  </si>
  <si>
    <t>沙坪坝区西永组团L标准分区L73-9/01、L76-3/01、L77-1/01号宗地</t>
  </si>
  <si>
    <t>＞1且≤3.16</t>
  </si>
  <si>
    <t>渝国土房管告字[2016]16号-4</t>
  </si>
  <si>
    <t>大渡口区大渡口组团M分区M39-1号宗地</t>
  </si>
  <si>
    <t>大于1并且小于或等于3</t>
  </si>
  <si>
    <t>渝国土房管告字[2016]11号-1</t>
  </si>
  <si>
    <t>九龙坡区大杨石组团D分区D12-2-1/03、D11-2/01号宗地</t>
  </si>
  <si>
    <t>大于1并且小于或等于4.27</t>
  </si>
  <si>
    <t>渝国土房管告字[2016]11号-4</t>
  </si>
  <si>
    <t>重庆业瑞房地产开发有限公司</t>
  </si>
  <si>
    <t>两江新区大竹林组团G标准分区G13-4-2/06、G14-4/05、G16/05、G17/05(部分)号宗地</t>
  </si>
  <si>
    <t>大于1并且小于或等于1.49</t>
  </si>
  <si>
    <t>渝国土房管告字[2016]11号-15</t>
  </si>
  <si>
    <t>南岸区茶园组团J分区J2-1(部分)号宗地</t>
  </si>
  <si>
    <t>渝国土房管告字[2016]11号-3</t>
  </si>
  <si>
    <t>重庆同景博达置地有限公司</t>
  </si>
  <si>
    <t>大渡口区大渡口组团M分区M37-1、M40-1、M41-1号宗地</t>
  </si>
  <si>
    <t>渝国土房管告字[2016]11号-2</t>
  </si>
  <si>
    <t>沙坪坝区双碑组团A分区A14-1/03号宗地</t>
  </si>
  <si>
    <t>二类居住用地、商业用地、城市道路用地</t>
  </si>
  <si>
    <t>小于或等于2</t>
  </si>
  <si>
    <t>2016-04-29</t>
  </si>
  <si>
    <t>渝国土房管告字[2016]9号</t>
  </si>
  <si>
    <t>重庆仁有置业有限公司</t>
  </si>
  <si>
    <t>渝国土房管告字[2016]4号-2</t>
  </si>
  <si>
    <t>沙坪坝区双碑组团E标准分区E35-1/03、E32-1/03、E34/02号宗地</t>
  </si>
  <si>
    <t>二类居住用地,商业用地,商务用地</t>
  </si>
  <si>
    <t>小于等于3.5</t>
  </si>
  <si>
    <t>2016-02-25</t>
  </si>
  <si>
    <t>渝国土房管告字[2016]3号-2</t>
  </si>
  <si>
    <t>重庆锦双房地产开发有限公司</t>
  </si>
  <si>
    <t>住宅70年,商业40年</t>
  </si>
  <si>
    <t>九龙坡区西永组团F分区F13-3-1/02、F13-3-2/02号宗地</t>
  </si>
  <si>
    <t>小于等于1.3</t>
  </si>
  <si>
    <t>渝国土房管告字[2016]3号-1</t>
  </si>
  <si>
    <t>重庆骏丰置业有限公司</t>
  </si>
  <si>
    <t>沙坪坝区沙坪坝组团B分区B11-2-2/03、B18-1/02号宗地</t>
  </si>
  <si>
    <t>≤4.2</t>
  </si>
  <si>
    <t>渝国土房管告字[2015]64号-5</t>
  </si>
  <si>
    <t>九龙坡区大杨石组团Q分区QF3-6-4/04号宗地</t>
  </si>
  <si>
    <t>渝国土房管告字[2015]64号-1</t>
  </si>
  <si>
    <t>商业40年、住宅70年</t>
  </si>
  <si>
    <t>沙坪坝区沙坪坝组团I分区I13-4/02号宗地</t>
  </si>
  <si>
    <t>≤5</t>
  </si>
  <si>
    <t>渝国土房管告字[2015]64号-4</t>
  </si>
  <si>
    <t>重庆三特实业有限公司</t>
  </si>
  <si>
    <t>大渡口区大渡口组团I分区I12、I13、I19号宗地</t>
  </si>
  <si>
    <t>≤3.0</t>
  </si>
  <si>
    <t>渝国土房管告字[2015]61号-3</t>
  </si>
  <si>
    <t>北部新区两路组团C标准分区C90-1-1/03、C101-1/03、C102-1/02、C103-1/03、C105-1/03号宗地</t>
  </si>
  <si>
    <t>≤3.89</t>
  </si>
  <si>
    <t>渝国土房管告字[2015]61号-6</t>
  </si>
  <si>
    <t>中房地产股份有限公司</t>
  </si>
  <si>
    <t>北部新区两路组团C分区C89-1/01、C94-1/02、C96-1/02、C91-1/02、C97-1/02、C92-1/02号宗地</t>
  </si>
  <si>
    <t>二类居住用地、商业用地、商务用地、娱乐用地</t>
  </si>
  <si>
    <t>≤2.3</t>
  </si>
  <si>
    <t>渝国土房管告字[2015]61号-7</t>
  </si>
  <si>
    <t>北部新区两路组团C分区C98-1/02、C98-2/02、C104-1/02、C106-1/02、C107-1/02、C109-1-2/03、C108-1/03、C110-1/02、C111-1/02号宗地</t>
  </si>
  <si>
    <t>≤2.0</t>
  </si>
  <si>
    <t>渝国土房管告字[2015]61号-5</t>
  </si>
  <si>
    <t>渝北区两路组团F分区F116-1、F116-2、F117-1、F117-2、F118-1、F118-2、F119-1、F120-1、F120-2、F121-2、F121-1号宗地</t>
  </si>
  <si>
    <t>商业用地、商务用地,二类居住用地、社会停车场用地</t>
  </si>
  <si>
    <t>小于或等于2.9</t>
  </si>
  <si>
    <t>2015-12-29</t>
  </si>
  <si>
    <t>渝国土房管告字[2015]60号-1</t>
  </si>
  <si>
    <t>沙坪坝区西永组团L标准分区L02-1/04、L02-3/04、L02-2/04、L02-4/04、L02-5/04、L02-6/04、L03-1/04、L03-2/04、L03-3/04、L05-2/04号宗地</t>
  </si>
  <si>
    <t>小于或等于3</t>
  </si>
  <si>
    <t>渝国土房管告字[2015]60号-3</t>
  </si>
  <si>
    <t>重庆西永微电子产业园区开发有限公司</t>
  </si>
  <si>
    <t>渝北区两路组团F分区F116-3、F116-4、两路(西部)组团F分区F119-2、F119-3、F119-4、两路组团F分区F122-1、两路(西部)组团F分区F123-1、F138-1、F138-2、F139-2号宗地</t>
  </si>
  <si>
    <t>商业用地、商务用地,二类居住用地</t>
  </si>
  <si>
    <t>小于或等于2.86</t>
  </si>
  <si>
    <t>渝国土房管告字[2015]60号-2</t>
  </si>
  <si>
    <t>渝北区人和组团L分区L-19/03号宗地</t>
  </si>
  <si>
    <t>≤5.5</t>
  </si>
  <si>
    <t>渝国土房管告字[2015]59号-2</t>
  </si>
  <si>
    <t>重庆市碧桂园房地产开发有限公司</t>
  </si>
  <si>
    <t>大渡口区大渡口组团I分区I25、I30(部分)号宗地</t>
  </si>
  <si>
    <t>商业用地、二类居住用地</t>
  </si>
  <si>
    <t>渝国土房管告字[2015]59号-1</t>
  </si>
  <si>
    <t>重庆诚投房地产开发有限公司</t>
  </si>
  <si>
    <t>沙坪坝区西永组团L标准分区L12-1/04、L12-2/04、L12-3/04、L12-4/04、L12-5/04、L12-6/04号宗地</t>
  </si>
  <si>
    <t>≤2.99</t>
  </si>
  <si>
    <t>2015-12-24</t>
  </si>
  <si>
    <t>渝国土房管告字[2015]58号-1</t>
  </si>
  <si>
    <t>商业40年、住宅50年</t>
  </si>
  <si>
    <t>沙坪坝区西永组团L标准分区L04-1/04、L04-2/04、L04-3/04、L04-4/04、L04-5/04、L04-6/04、L04-7/04、L04-8/04、L04-9/04、L07-1/04号宗地</t>
  </si>
  <si>
    <t>≤2.85</t>
  </si>
  <si>
    <t>2015-12-23</t>
  </si>
  <si>
    <t>渝国土房管告字[2015]57号-2</t>
  </si>
  <si>
    <t>沙坪坝区西永组团L标准分区L24-3/04、L24-1/04、L24-2/04、L25-1/04、L25-2/04、L25-3/04号宗地</t>
  </si>
  <si>
    <t>渝国土房管告字[2015]56号-5</t>
  </si>
  <si>
    <t>南岸区茶园组团F分区F42-8-1/01局部地块</t>
  </si>
  <si>
    <t>大于1并且小于或等于1.8</t>
  </si>
  <si>
    <t>渝国土房管告字[2015]56号-11</t>
  </si>
  <si>
    <t>重庆聚乾房地产开发有限公司</t>
  </si>
  <si>
    <t>两江新区龙兴组团H分区H79-1/01、H80-1/01、H82-1/01号宗地</t>
  </si>
  <si>
    <t>大于1并且小于或等于1.5</t>
  </si>
  <si>
    <t>渝国土房管告字[2015]56号-12</t>
  </si>
  <si>
    <t>重庆两江新区置业发展有限公司　齐</t>
  </si>
  <si>
    <t>大渡口区大渡口组团中梁山F分区F5-2号宗地</t>
  </si>
  <si>
    <t>渝国土房管告字[2015]56号-9</t>
  </si>
  <si>
    <t>重庆奥珈置业有限公司</t>
  </si>
  <si>
    <t>沙坪坝区西永组团L标准分区L36/05、L37-1/05号宗地</t>
  </si>
  <si>
    <t>渝国土房管告字[2015]56号-6</t>
  </si>
  <si>
    <t>2015-12-17</t>
  </si>
  <si>
    <t>渝国土房管告字[2015]55号-3</t>
  </si>
  <si>
    <t>沙坪坝区西永组团V标准分区V9-1/04号宗地</t>
  </si>
  <si>
    <t>商业用地,二类居住用地</t>
  </si>
  <si>
    <t>渝国土房管告字[2015]55号-1</t>
  </si>
  <si>
    <t>沙坪坝区西永组团L标准分区L15-1/04、L15-2/04、L15-3/04、L15-4/04、L15-5/04、L15-6/04号宗地</t>
  </si>
  <si>
    <t>大于1并且小于或等于2.7</t>
  </si>
  <si>
    <t>渝国土房管告字[2015]55号-2</t>
  </si>
  <si>
    <t>沙坪坝区西永组团L标准分区L05-3/04、L07-2/04、L10-3/04、L10-6/04号宗地</t>
  </si>
  <si>
    <t>商业用地,商务用地,二类居住用地</t>
  </si>
  <si>
    <t>大于1并且小于或等于3.5</t>
  </si>
  <si>
    <t>2015-12-14</t>
  </si>
  <si>
    <t>渝国土房管告字[2015]54号-4</t>
  </si>
  <si>
    <t>大于1并且小于或等于2.55</t>
  </si>
  <si>
    <t>渝国土房管告字[2015]54号-3</t>
  </si>
  <si>
    <t>小于或等于2.45</t>
  </si>
  <si>
    <t>渝国土房管告字[2015]51号-1</t>
  </si>
  <si>
    <t>重庆两江商务中心置业有限公司</t>
  </si>
  <si>
    <t>小于或等于1.6</t>
  </si>
  <si>
    <t>渝国土房管告字[2015]51号-3</t>
  </si>
  <si>
    <t>小于或等于2.5</t>
  </si>
  <si>
    <t>渝国土房管告字[2015]51号-2</t>
  </si>
  <si>
    <t>渝国土房管告字[2015]50号-2</t>
  </si>
  <si>
    <t>两江新区龙兴组团J标准分区J46-1/01、J47-1/01号宗地</t>
  </si>
  <si>
    <t>渝国土房管告字[2015]46号-1</t>
  </si>
  <si>
    <t>沙坪坝区西永组团M标准分区M22-1/03、M22-2/03、M22-4/03号宗地</t>
  </si>
  <si>
    <t>≤1.05</t>
  </si>
  <si>
    <t>渝国土房管告字[2015]41号-4</t>
  </si>
  <si>
    <t>沙坪坝区西永组团M标准分区M21-2/03、M26-3/03、M26-1/03、M27-1/03、M28-1/03号宗地</t>
  </si>
  <si>
    <t>渝国土房管告字[2015]41号-5</t>
  </si>
  <si>
    <t>沙坪坝区西永组团M标准分区M22-5/03、M22-6/03、M29-2/03、M30-1/03、M30-4/03号宗地</t>
  </si>
  <si>
    <t>≤1.9</t>
  </si>
  <si>
    <t>渝国土房管告字[2015]41号-6</t>
  </si>
  <si>
    <t>沙坪坝区西永组团M标准分区M15/03、M16-1/03、M17-1/03、M18-1/03、M21-1/03号宗地</t>
  </si>
  <si>
    <t>≤1.95</t>
  </si>
  <si>
    <t>渝国土房管告字[2015]41号-2</t>
  </si>
  <si>
    <t>南岸区弹子石组团D分区D1-10-2/03号宗地</t>
  </si>
  <si>
    <t>渝国土房管告字[2015]41号-9</t>
  </si>
  <si>
    <t>重庆蓝光和骏置业有限公司</t>
  </si>
  <si>
    <t>九龙坡区西彭组团K分区K8-1号宗地</t>
  </si>
  <si>
    <t>2015-09-22</t>
  </si>
  <si>
    <t>渝国土房管告字[2015]40号-1</t>
  </si>
  <si>
    <t>九龙坡区大杨石组团Q分区QF4-2-1/04号宗地</t>
  </si>
  <si>
    <t>小于或等于3.6</t>
  </si>
  <si>
    <t>2015-08-31</t>
  </si>
  <si>
    <t>渝国土房管告字[2015]37号-4</t>
  </si>
  <si>
    <t>沙坪坝区西永组团M标准分区M10-2/03(部分)、M11-5/03、M12-1/03、M13-2/03、M14-6/03(部分)号宗地</t>
  </si>
  <si>
    <t>小于或等于2.4</t>
  </si>
  <si>
    <t>渝国土房管告字[2015]37号-10</t>
  </si>
  <si>
    <t>渝北区两路组团F标准分区50-1、53-1、54-1、55-1、55-2、55-3号宗地</t>
  </si>
  <si>
    <t>二类居住用地、商业用地、商务用地、城市轨道交通用地、交通站场用地</t>
  </si>
  <si>
    <t>小于或等于3.8</t>
  </si>
  <si>
    <t>渝国土房管告字[2015]37号-5</t>
  </si>
  <si>
    <t>沙坪坝区西永组团M标准分区M2-3/03、M9/03、M5-1/03号宗地</t>
  </si>
  <si>
    <t>小于或等于1.4</t>
  </si>
  <si>
    <t>渝国土房管告字[2015]37号-7</t>
  </si>
  <si>
    <t>九龙坡区西彭组团A分区A44-1/02号宗地</t>
  </si>
  <si>
    <t>渝国土房管告字[2015]37号-1</t>
  </si>
  <si>
    <t>沙坪坝区西永组团M标准分区M1-2/03号宗地</t>
  </si>
  <si>
    <t>小于或等于1.1</t>
  </si>
  <si>
    <t>渝国土房管告字[2015]37号-6</t>
  </si>
  <si>
    <t>九龙坡区西彭组团A分区A46-1/02号宗地</t>
  </si>
  <si>
    <t>小于或等于1.7</t>
  </si>
  <si>
    <t>渝国土房管告字[2015]37号-2</t>
  </si>
  <si>
    <t>沙坪坝区西永组团M标准分区M3-1/03、M6-1/03、M8-1/03号宗地</t>
  </si>
  <si>
    <t>渝国土房管告字[2015]37号-8</t>
  </si>
  <si>
    <t>龙园路</t>
    <phoneticPr fontId="31" type="noConversion"/>
  </si>
  <si>
    <t>http://www.sohu.com/a/218722454_720917</t>
    <phoneticPr fontId="143" type="noConversion"/>
  </si>
  <si>
    <t>http://cq.fzg360.com/archive.php?aid=132573</t>
    <phoneticPr fontId="143" type="noConversion"/>
  </si>
  <si>
    <t>玉玲路</t>
    <phoneticPr fontId="31" type="noConversion"/>
  </si>
  <si>
    <t>http://cq.fzg360.com/archive.php?aid=121734</t>
    <phoneticPr fontId="143" type="noConversion"/>
  </si>
  <si>
    <t>http://www.langold.com.cn/index.php?m=content&amp;c=index&amp;a=show&amp;catid=8&amp;id=398</t>
    <phoneticPr fontId="143" type="noConversion"/>
  </si>
  <si>
    <r>
      <t>6</t>
    </r>
    <r>
      <rPr>
        <sz val="11"/>
        <rFont val="宋体"/>
        <family val="3"/>
        <charset val="134"/>
      </rPr>
      <t>号线大龙山</t>
    </r>
    <r>
      <rPr>
        <sz val="11"/>
        <rFont val="Arial"/>
        <family val="2"/>
      </rPr>
      <t>1.5</t>
    </r>
    <r>
      <rPr>
        <sz val="11"/>
        <rFont val="宋体"/>
        <family val="3"/>
        <charset val="134"/>
      </rPr>
      <t>公里</t>
    </r>
    <phoneticPr fontId="31" type="noConversion"/>
  </si>
  <si>
    <t>一号线高庙村1公里</t>
    <phoneticPr fontId="31" type="noConversion"/>
  </si>
  <si>
    <t>大渡口区大渡口组团N分区N10-1号宗地</t>
  </si>
  <si>
    <t>商务用地</t>
  </si>
  <si>
    <t>渝[2018]14号-1</t>
  </si>
  <si>
    <t>南岸区茶园新城区A24(部分)号宗地</t>
  </si>
  <si>
    <t>＞1并且≤2.4</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</si>
  <si>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</si>
  <si>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</si>
  <si>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</si>
  <si>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渝[2017]13号-2</t>
  </si>
  <si>
    <t>大渡口区大渡口组团H分区H02-10-2-1号宗地</t>
  </si>
  <si>
    <t>≤1.92</t>
  </si>
  <si>
    <t>2016-11-15</t>
  </si>
  <si>
    <t>渝国土房管告字[2016]34号-4</t>
  </si>
  <si>
    <t>大渡口区大渡口组团N分区N09-2(部分)地块</t>
  </si>
  <si>
    <t>渝国土房管告字[2016]33号-1</t>
  </si>
  <si>
    <t>中冶置业重庆华青有限公司、重庆西华建桥建设开发有限公司</t>
  </si>
  <si>
    <t>南岸区南坪组团M分区M10-3-2/06号宗地</t>
  </si>
  <si>
    <t>渝国土房管告字[2016]22号-6</t>
  </si>
  <si>
    <t>重庆汇庭房地产开发有限公司</t>
  </si>
  <si>
    <t>南岸区南坪组团I分区I11-1-4/05号宗地</t>
  </si>
  <si>
    <t>其它商务用地</t>
  </si>
  <si>
    <t>小于等于3.2</t>
  </si>
  <si>
    <t>渝国土房管告字[2016]3号-3</t>
  </si>
  <si>
    <t>重庆市江南城市建设资产经营管理有限公司</t>
  </si>
  <si>
    <t>沙坪坝区西永组团L标准分区L26-3/04号宗地</t>
  </si>
  <si>
    <t>大于1并且小于或等于4</t>
  </si>
  <si>
    <t>渝国土房管告字[2015]55号-4</t>
  </si>
  <si>
    <t>沙坪坝区西永组团L标准分区L26-2/04号宗地</t>
  </si>
  <si>
    <t>渝国土房管告字[2015]54号-2</t>
  </si>
  <si>
    <t>沙坪坝区西永组团R标准分区R16-2/06号宗地</t>
  </si>
  <si>
    <t>渝国土房管告字[2015]54号-1</t>
  </si>
  <si>
    <t>九龙坡区西永组团Ab分区Ab17-1/02号宗地</t>
  </si>
  <si>
    <t>2015-09-30</t>
  </si>
  <si>
    <t>渝国土房管告字[2015]42号-1</t>
  </si>
  <si>
    <t>重庆明旗实业有限公司&amp;amp;#160;</t>
  </si>
  <si>
    <t>大渡口区大渡口组团N标准分区N09-1(部分1)号宗地</t>
  </si>
  <si>
    <t>渝国土房管告字[2015]42号-2</t>
  </si>
  <si>
    <t>重庆红九九食品有限公司</t>
  </si>
  <si>
    <t>沙坪坝区西永组团M标准分区M20-1/03号宗地</t>
  </si>
  <si>
    <t>≤1.2</t>
  </si>
  <si>
    <t>渝国土房管告字[2015]41号-3</t>
  </si>
  <si>
    <t>九龙坡区西彭组团F分区F38-1/01、F37-7/02号宗地</t>
  </si>
  <si>
    <t>批发市场用地</t>
  </si>
  <si>
    <t>渝国土房管告字[2015]37号-3</t>
  </si>
  <si>
    <t>重庆市纲谐实业股份有限公司</t>
  </si>
  <si>
    <t>沙坪坝区西永组团R标准分区R39-3/04号宗地</t>
  </si>
  <si>
    <t>小于或等于1.2</t>
  </si>
  <si>
    <t>渝国土房管告字[2015]37号-9</t>
  </si>
  <si>
    <t>大渡口区大渡口组团N标准分区N09-1(部分)号宗地</t>
  </si>
  <si>
    <t>2015-08-24</t>
  </si>
  <si>
    <t>渝国土房管告字[2015]36号-13</t>
  </si>
  <si>
    <t>中冶建工集团有限公司</t>
  </si>
  <si>
    <t>南岸区茶园组团A分区A88/03号宗地</t>
  </si>
  <si>
    <t>B1B2-商业用地、商务用地</t>
  </si>
  <si>
    <t>小于或等于3.5</t>
  </si>
  <si>
    <t>渝国土房管告字[2015]36号-12</t>
  </si>
  <si>
    <t>http://www.sohu.com/a/206997095_720917</t>
    <phoneticPr fontId="143" type="noConversion"/>
  </si>
  <si>
    <t>石杨路</t>
    <phoneticPr fontId="143" type="noConversion"/>
  </si>
  <si>
    <t>http://cq.house.qq.com/a/20170919/018767.htm?qqcom_pgv_from=aio</t>
    <phoneticPr fontId="143" type="noConversion"/>
  </si>
  <si>
    <r>
      <rPr>
        <sz val="11"/>
        <rFont val="宋体"/>
        <family val="3"/>
        <charset val="134"/>
      </rPr>
      <t>六号线花卉园</t>
    </r>
    <r>
      <rPr>
        <sz val="11"/>
        <rFont val="Arial"/>
        <family val="2"/>
      </rPr>
      <t>1.5</t>
    </r>
    <r>
      <rPr>
        <sz val="11"/>
        <rFont val="宋体"/>
        <family val="3"/>
        <charset val="134"/>
      </rPr>
      <t>公里</t>
    </r>
    <phoneticPr fontId="143" type="noConversion"/>
  </si>
  <si>
    <t>一号线石桥铺 陈家坪汽车站</t>
    <phoneticPr fontId="143" type="noConversion"/>
  </si>
  <si>
    <t>红石路</t>
    <phoneticPr fontId="143" type="noConversion"/>
  </si>
  <si>
    <t>民安大道</t>
    <phoneticPr fontId="143" type="noConversion"/>
  </si>
  <si>
    <t>售价</t>
  </si>
  <si>
    <t>办公</t>
    <phoneticPr fontId="32" type="noConversion"/>
  </si>
  <si>
    <t>30-40（含）</t>
  </si>
  <si>
    <t>快速路</t>
    <phoneticPr fontId="32" type="noConversion"/>
  </si>
  <si>
    <t>主干道</t>
    <phoneticPr fontId="32" type="noConversion"/>
  </si>
  <si>
    <t>次干道</t>
    <phoneticPr fontId="32" type="noConversion"/>
  </si>
  <si>
    <t>支路</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</si>
  <si>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</si>
  <si>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</si>
  <si>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</si>
  <si>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</si>
  <si>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</si>
  <si>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</si>
  <si>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</si>
  <si>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</si>
  <si>
    <t>五通</t>
    <phoneticPr fontId="32" type="noConversion"/>
  </si>
  <si>
    <t>标准层高</t>
  </si>
  <si>
    <t>标准层高</t>
    <phoneticPr fontId="32" type="noConversion"/>
  </si>
  <si>
    <t>简装</t>
  </si>
  <si>
    <t>简装</t>
    <phoneticPr fontId="32" type="noConversion"/>
  </si>
  <si>
    <t>毛坯</t>
  </si>
  <si>
    <t>毛坯</t>
    <phoneticPr fontId="32" type="noConversion"/>
  </si>
  <si>
    <t>力帆中心-LFC</t>
    <phoneticPr fontId="3" type="noConversion"/>
  </si>
  <si>
    <t>江北江北嘴聚贤岩广场8号</t>
    <phoneticPr fontId="3" type="noConversion"/>
  </si>
  <si>
    <t xml:space="preserve">江北嘴重庆国金中心 </t>
    <phoneticPr fontId="3" type="noConversion"/>
  </si>
  <si>
    <t>江北江北嘴中央商务区CBD核心</t>
    <phoneticPr fontId="3" type="noConversion"/>
  </si>
  <si>
    <t xml:space="preserve">江北嘴金融城 </t>
    <phoneticPr fontId="3" type="noConversion"/>
  </si>
  <si>
    <t>江北五江路22号</t>
    <phoneticPr fontId="3" type="noConversion"/>
  </si>
  <si>
    <t>住宅</t>
    <phoneticPr fontId="25" type="noConversion"/>
  </si>
  <si>
    <t>40-50（含）</t>
  </si>
  <si>
    <t>高层</t>
    <phoneticPr fontId="25" type="noConversion"/>
  </si>
  <si>
    <t>钢混</t>
    <phoneticPr fontId="25" type="noConversion"/>
  </si>
  <si>
    <t>中档</t>
  </si>
  <si>
    <t>中档</t>
    <phoneticPr fontId="25" type="noConversion"/>
  </si>
  <si>
    <t>精装修</t>
    <phoneticPr fontId="25" type="noConversion"/>
  </si>
  <si>
    <t>专业</t>
    <phoneticPr fontId="25" type="noConversion"/>
  </si>
  <si>
    <t>六通</t>
    <phoneticPr fontId="25" type="noConversion"/>
  </si>
  <si>
    <t>平层</t>
  </si>
  <si>
    <t>平层</t>
    <phoneticPr fontId="25" type="noConversion"/>
  </si>
  <si>
    <t>简装</t>
    <phoneticPr fontId="25" type="noConversion"/>
  </si>
  <si>
    <t>毛坯</t>
    <phoneticPr fontId="25" type="noConversion"/>
  </si>
  <si>
    <t>民权路88号</t>
    <phoneticPr fontId="3" type="noConversion"/>
  </si>
  <si>
    <t>售价（万）</t>
    <phoneticPr fontId="3" type="noConversion"/>
  </si>
  <si>
    <t>解放路与凯旋路交汇处</t>
    <phoneticPr fontId="3" type="noConversion"/>
  </si>
  <si>
    <t>融创白象街</t>
    <phoneticPr fontId="3" type="noConversion"/>
  </si>
  <si>
    <t>日月光解放碑</t>
    <phoneticPr fontId="3" type="noConversion"/>
  </si>
  <si>
    <t>江</t>
    <phoneticPr fontId="25" type="noConversion"/>
  </si>
  <si>
    <t>中国东方资产管理股份有限公司</t>
    <phoneticPr fontId="6" type="noConversion"/>
  </si>
  <si>
    <t>重庆华诚投资有限公司</t>
    <phoneticPr fontId="6" type="noConversion"/>
  </si>
  <si>
    <r>
      <rPr>
        <sz val="12"/>
        <color theme="9" tint="-0.249977111117893"/>
        <rFont val="宋体"/>
        <family val="3"/>
        <charset val="134"/>
      </rPr>
      <t>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I29-3-/02</t>
    </r>
    <r>
      <rPr>
        <sz val="12"/>
        <color theme="9" tint="-0.249977111117893"/>
        <rFont val="宋体"/>
        <family val="3"/>
        <charset val="134"/>
      </rPr>
      <t>地块“隆鑫中心”项目</t>
    </r>
    <phoneticPr fontId="6" type="noConversion"/>
  </si>
  <si>
    <t>重庆市</t>
    <phoneticPr fontId="6" type="noConversion"/>
  </si>
  <si>
    <t>在建</t>
  </si>
  <si>
    <t>通路</t>
  </si>
  <si>
    <t>通电</t>
  </si>
  <si>
    <t>通讯</t>
  </si>
  <si>
    <t>通上水</t>
  </si>
  <si>
    <t>通下水</t>
  </si>
  <si>
    <t>燃气</t>
  </si>
  <si>
    <t>《国有土地使用证》</t>
  </si>
  <si>
    <t>复印件</t>
  </si>
  <si>
    <t>部分缴纳</t>
  </si>
  <si>
    <t>已部分缴纳</t>
  </si>
  <si>
    <t>皇冠国际</t>
    <phoneticPr fontId="3" type="noConversion"/>
  </si>
  <si>
    <t>其他省市系数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</si>
</sst>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rgb="FF78B43C"/>
      <name val="微软雅黑"/>
      <family val="2"/>
      <charset val="134"/>
    </font>
    <font>
      <sz val="8"/>
      <color rgb="FF313131"/>
      <name val="微软雅黑"/>
      <family val="2"/>
      <charset val="134"/>
    </font>
    <font>
      <sz val="8"/>
      <color rgb="FF2E2E2E"/>
      <name val="微软雅黑"/>
      <family val="2"/>
      <charset val="134"/>
    </font>
    <font>
      <sz val="8"/>
      <color theme="1"/>
      <name val="微软雅黑"/>
      <family val="2"/>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C000"/>
        <bgColor indexed="64"/>
      </patternFill>
    </fill>
    <fill>
      <patternFill patternType="solid">
        <fgColor theme="9" tint="0.59999389629810485"/>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258" fillId="0" borderId="0" applyNumberFormat="0" applyFill="0" applyBorder="0" applyAlignment="0" applyProtection="0">
      <alignment vertical="center"/>
    </xf>
  </cellStyleXfs>
  <cellXfs count="33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0" fillId="0" borderId="27" xfId="0" applyBorder="1">
      <alignment vertical="center"/>
    </xf>
    <xf numFmtId="0" fontId="0" fillId="0" borderId="81" xfId="0" applyBorder="1">
      <alignment vertical="center"/>
    </xf>
    <xf numFmtId="0" fontId="0" fillId="0" borderId="80" xfId="0" applyBorder="1">
      <alignment vertical="center"/>
    </xf>
    <xf numFmtId="0" fontId="0" fillId="0" borderId="82" xfId="0" applyBorder="1">
      <alignment vertical="center"/>
    </xf>
    <xf numFmtId="176" fontId="50" fillId="8" borderId="1"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0" xfId="0"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18" borderId="159" xfId="0" applyFont="1" applyFill="1" applyBorder="1" applyAlignment="1">
      <alignment horizontal="center"/>
    </xf>
    <xf numFmtId="0" fontId="255" fillId="18" borderId="160" xfId="0" applyFont="1" applyFill="1" applyBorder="1" applyAlignment="1">
      <alignment horizontal="center"/>
    </xf>
    <xf numFmtId="0" fontId="256" fillId="0" borderId="0" xfId="0" applyFont="1" applyAlignment="1">
      <alignment horizontal="left" vertical="center" wrapText="1"/>
    </xf>
    <xf numFmtId="0" fontId="256" fillId="0" borderId="161" xfId="0" applyFont="1" applyBorder="1" applyAlignment="1">
      <alignment horizontal="right" vertical="center" wrapText="1"/>
    </xf>
    <xf numFmtId="0" fontId="256" fillId="19" borderId="0" xfId="0" applyFont="1" applyFill="1" applyAlignment="1">
      <alignment horizontal="left" vertical="center" wrapText="1"/>
    </xf>
    <xf numFmtId="0" fontId="256" fillId="19" borderId="161" xfId="0" applyFont="1" applyFill="1" applyBorder="1" applyAlignment="1">
      <alignment horizontal="right" vertical="center" wrapText="1"/>
    </xf>
    <xf numFmtId="0" fontId="257" fillId="0" borderId="0" xfId="0" applyFont="1">
      <alignment vertical="center"/>
    </xf>
    <xf numFmtId="0" fontId="257" fillId="19" borderId="0" xfId="0" applyFont="1" applyFill="1" applyAlignment="1">
      <alignment horizontal="left" vertical="center" wrapText="1"/>
    </xf>
    <xf numFmtId="0" fontId="257" fillId="19" borderId="161" xfId="0" applyFont="1" applyFill="1" applyBorder="1" applyAlignment="1">
      <alignment horizontal="right" vertical="center" wrapText="1"/>
    </xf>
    <xf numFmtId="0" fontId="257" fillId="0" borderId="0" xfId="0" applyFont="1" applyAlignment="1">
      <alignment horizontal="left" vertical="center" wrapText="1"/>
    </xf>
    <xf numFmtId="0" fontId="257" fillId="0" borderId="161" xfId="0" applyFont="1" applyBorder="1" applyAlignment="1">
      <alignment horizontal="right" vertical="center" wrapText="1"/>
    </xf>
    <xf numFmtId="0" fontId="256" fillId="13" borderId="0" xfId="0" applyFont="1" applyFill="1" applyAlignment="1">
      <alignment horizontal="left" vertical="center" wrapText="1"/>
    </xf>
    <xf numFmtId="0" fontId="256" fillId="13" borderId="161" xfId="0" applyFont="1" applyFill="1" applyBorder="1" applyAlignment="1">
      <alignment horizontal="right" vertical="center" wrapText="1"/>
    </xf>
    <xf numFmtId="0" fontId="256" fillId="20" borderId="0" xfId="0" applyFont="1" applyFill="1" applyAlignment="1">
      <alignment horizontal="left" vertical="center" wrapText="1"/>
    </xf>
    <xf numFmtId="0" fontId="256" fillId="20" borderId="161" xfId="0" applyFont="1" applyFill="1" applyBorder="1" applyAlignment="1">
      <alignment horizontal="righ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49" fontId="137" fillId="0" borderId="4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17" borderId="0" xfId="13" applyFill="1"/>
    <xf numFmtId="0" fontId="0" fillId="17" borderId="0" xfId="0" applyFill="1">
      <alignment vertical="center"/>
    </xf>
    <xf numFmtId="0" fontId="56" fillId="0" borderId="0" xfId="13" applyFill="1"/>
    <xf numFmtId="0" fontId="106" fillId="2" borderId="41" xfId="0" applyNumberFormat="1" applyFont="1" applyFill="1" applyBorder="1" applyAlignment="1" applyProtection="1">
      <alignment horizontal="center" vertical="center" wrapText="1"/>
      <protection locked="0"/>
    </xf>
    <xf numFmtId="0" fontId="56" fillId="0" borderId="0" xfId="13" applyAlignment="1">
      <alignment horizontal="left"/>
    </xf>
    <xf numFmtId="0" fontId="56" fillId="0" borderId="0" xfId="13"/>
    <xf numFmtId="0" fontId="56" fillId="0" borderId="0" xfId="13"/>
    <xf numFmtId="0" fontId="56" fillId="0" borderId="0" xfId="13"/>
    <xf numFmtId="0" fontId="56" fillId="0" borderId="0" xfId="13"/>
    <xf numFmtId="0" fontId="56" fillId="0" borderId="0" xfId="13"/>
    <xf numFmtId="0" fontId="56" fillId="0" borderId="0" xfId="13" applyFill="1" applyAlignment="1">
      <alignment horizontal="left"/>
    </xf>
    <xf numFmtId="0" fontId="56" fillId="17" borderId="0" xfId="13" applyFill="1" applyAlignment="1">
      <alignment horizontal="left"/>
    </xf>
    <xf numFmtId="0" fontId="258" fillId="17" borderId="0" xfId="14" applyFill="1">
      <alignment vertical="center"/>
    </xf>
    <xf numFmtId="0" fontId="56" fillId="0" borderId="0" xfId="13"/>
    <xf numFmtId="0" fontId="56" fillId="0" borderId="0" xfId="13"/>
    <xf numFmtId="0" fontId="137" fillId="0" borderId="51"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4" fillId="0" borderId="0" xfId="0" applyFont="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21" borderId="1" xfId="0" applyNumberFormat="1" applyFont="1" applyFill="1" applyBorder="1" applyAlignment="1" applyProtection="1">
      <alignment horizontal="center" vertical="center" wrapText="1"/>
      <protection locked="0"/>
    </xf>
    <xf numFmtId="0" fontId="54" fillId="21" borderId="41" xfId="0" applyNumberFormat="1" applyFont="1" applyFill="1" applyBorder="1" applyAlignment="1" applyProtection="1">
      <alignment horizontal="center" vertical="center" wrapText="1"/>
      <protection locked="0"/>
    </xf>
    <xf numFmtId="49" fontId="54" fillId="21" borderId="7" xfId="0" applyNumberFormat="1" applyFont="1" applyFill="1" applyBorder="1" applyAlignment="1" applyProtection="1">
      <alignment horizontal="center" vertical="center" wrapText="1"/>
      <protection locked="0"/>
    </xf>
    <xf numFmtId="49" fontId="54" fillId="21" borderId="41" xfId="0" applyNumberFormat="1" applyFont="1" applyFill="1" applyBorder="1" applyAlignment="1" applyProtection="1">
      <alignment horizontal="center" vertical="center" wrapText="1"/>
      <protection locked="0"/>
    </xf>
    <xf numFmtId="176" fontId="47" fillId="21" borderId="24" xfId="1" applyNumberFormat="1" applyFont="1" applyFill="1" applyBorder="1" applyAlignment="1" applyProtection="1">
      <alignment horizontal="center" vertical="center"/>
      <protection locked="0"/>
    </xf>
    <xf numFmtId="181" fontId="50" fillId="21" borderId="24" xfId="0" applyNumberFormat="1" applyFont="1" applyFill="1" applyBorder="1" applyAlignment="1" applyProtection="1">
      <alignment horizontal="center" vertical="center"/>
      <protection locked="0"/>
    </xf>
    <xf numFmtId="0" fontId="61" fillId="21" borderId="72" xfId="0" applyNumberFormat="1" applyFont="1" applyFill="1" applyBorder="1" applyAlignment="1" applyProtection="1">
      <alignment horizontal="center" vertical="center" wrapText="1"/>
      <protection locked="0"/>
    </xf>
    <xf numFmtId="49" fontId="54" fillId="21" borderId="14" xfId="0" applyNumberFormat="1" applyFont="1" applyFill="1" applyBorder="1" applyAlignment="1" applyProtection="1">
      <alignment horizontal="center" vertical="center" wrapText="1"/>
      <protection locked="0"/>
    </xf>
    <xf numFmtId="186" fontId="105" fillId="21" borderId="13" xfId="0" applyNumberFormat="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0" fontId="47" fillId="22" borderId="23" xfId="0" applyNumberFormat="1" applyFont="1" applyFill="1" applyBorder="1" applyAlignment="1" applyProtection="1">
      <alignment horizontal="center" vertical="center" wrapText="1"/>
      <protection locked="0"/>
    </xf>
    <xf numFmtId="0" fontId="225" fillId="22" borderId="23" xfId="0" applyFont="1" applyFill="1" applyBorder="1" applyAlignment="1" applyProtection="1">
      <alignment horizontal="center" vertical="center" wrapText="1"/>
      <protection locked="0"/>
    </xf>
    <xf numFmtId="0" fontId="178" fillId="22" borderId="24" xfId="0" applyFont="1" applyFill="1" applyBorder="1" applyAlignment="1" applyProtection="1">
      <alignment horizontal="center" vertical="center" wrapText="1"/>
      <protection locked="0"/>
    </xf>
    <xf numFmtId="181" fontId="105" fillId="22" borderId="1" xfId="0" applyNumberFormat="1" applyFont="1" applyFill="1" applyBorder="1" applyAlignment="1" applyProtection="1">
      <alignment horizontal="center" vertical="center"/>
      <protection locked="0"/>
    </xf>
    <xf numFmtId="179" fontId="56" fillId="22" borderId="1" xfId="1" applyNumberFormat="1" applyFont="1" applyFill="1" applyBorder="1" applyAlignment="1" applyProtection="1">
      <alignment horizontal="center"/>
      <protection locked="0"/>
    </xf>
    <xf numFmtId="10" fontId="50" fillId="0" borderId="1" xfId="0" applyNumberFormat="1" applyFont="1" applyBorder="1" applyProtection="1">
      <alignment vertical="center"/>
      <protection locked="0"/>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4" builtinId="8"/>
  </cellStyles>
  <dxfs count="25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20987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364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171450</xdr:colOff>
      <xdr:row>55</xdr:row>
      <xdr:rowOff>142875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4175"/>
          <a:ext cx="9772650" cy="6657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24</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63075" cy="42195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50',20);" TargetMode="External"/><Relationship Id="rId1" Type="http://schemas.openxmlformats.org/officeDocument/2006/relationships/hyperlink" Target="javascript:top.main.DataEdit('50',20);"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hyperlink" Target="http://cq.fzg360.com/archive.php?aid=121734" TargetMode="External"/><Relationship Id="rId2" Type="http://schemas.openxmlformats.org/officeDocument/2006/relationships/hyperlink" Target="http://cq.fzg360.com/archive.php?aid=132573" TargetMode="External"/><Relationship Id="rId1" Type="http://schemas.openxmlformats.org/officeDocument/2006/relationships/hyperlink" Target="http://www.sohu.com/a/218722454_720917" TargetMode="External"/><Relationship Id="rId4" Type="http://schemas.openxmlformats.org/officeDocument/2006/relationships/hyperlink" Target="http://www.langold.com.cn/index.php?m=content&amp;c=index&amp;a=show&amp;catid=8&amp;id=398"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hyperlink" Target="http://cq.house.qq.com/a/20170919/018767.htm?qqcom_pgv_from=aio" TargetMode="External"/><Relationship Id="rId1" Type="http://schemas.openxmlformats.org/officeDocument/2006/relationships/hyperlink" Target="http://www.sohu.com/a/206997095_720917"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重庆市江北区观音桥组团I分区I29-3-/02地块“隆鑫中心”项目出让国有建设用地使用权及在建建筑物房地产抵押价值预评估</v>
      </c>
    </row>
    <row r="3" spans="1:2" s="1589" customFormat="1">
      <c r="A3" s="1587" t="s">
        <v>1221</v>
      </c>
      <c r="B3" s="1588" t="str">
        <f>'预评函-封皮'!B40</f>
        <v>中国东方资产管理股份有限公司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受贵公司委托，我公司对重庆市江北区观音桥组团I分区I29-3-/02地块“隆鑫中心”项目出让国有建设用地使用权及在建建筑物房地产抵押价值进行了预评估。</v>
      </c>
    </row>
    <row r="7" spans="1:2" s="1589" customFormat="1">
      <c r="A7" s="1587" t="s">
        <v>1264</v>
      </c>
      <c r="B7" s="1588" t="str">
        <f>'预评函-1'!A7</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378335.59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378335.59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2018年8月20日</v>
      </c>
    </row>
    <row r="13" spans="1:2" s="1589" customFormat="1">
      <c r="A13" s="1587" t="s">
        <v>1227</v>
      </c>
      <c r="B13" s="1588"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397033</v>
      </c>
    </row>
    <row r="21" spans="1:2" s="1589" customFormat="1">
      <c r="A21" s="1587" t="s">
        <v>1235</v>
      </c>
      <c r="B21" s="1588">
        <f ca="1">'预评函-2'!D7</f>
        <v>10494</v>
      </c>
    </row>
    <row r="22" spans="1:2" s="1589" customFormat="1">
      <c r="A22" s="1587" t="s">
        <v>1236</v>
      </c>
      <c r="B22" s="1588" t="str">
        <f ca="1">'预评函-2'!D6</f>
        <v>叁拾玖亿柒仟零叁拾叁万元整</v>
      </c>
    </row>
    <row r="23" spans="1:2" s="1589" customFormat="1">
      <c r="A23" s="1587" t="s">
        <v>1287</v>
      </c>
      <c r="B23" s="1588" t="str">
        <f>'预评函-2'!B8</f>
        <v>2.估价师知悉的法定优先受偿款</v>
      </c>
    </row>
    <row r="24" spans="1:2" s="1589" customFormat="1">
      <c r="A24" s="1587" t="s">
        <v>1293</v>
      </c>
      <c r="B24" s="1588">
        <f>'预评函-2'!D8</f>
        <v>4478</v>
      </c>
    </row>
    <row r="25" spans="1:2" s="1589" customFormat="1">
      <c r="A25" s="1587" t="s">
        <v>1237</v>
      </c>
      <c r="B25" s="1588" t="str">
        <f>'预评函-2'!D9</f>
        <v>肆仟肆佰柒拾捌万元整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4478</v>
      </c>
    </row>
    <row r="29" spans="1:2" s="1589" customFormat="1">
      <c r="A29" s="1587" t="s">
        <v>1291</v>
      </c>
      <c r="B29" s="1588" t="str">
        <f>'预评函-2'!B13</f>
        <v>3.房地产抵押价值</v>
      </c>
    </row>
    <row r="30" spans="1:2" s="1589" customFormat="1">
      <c r="A30" s="1587" t="s">
        <v>1292</v>
      </c>
      <c r="B30" s="1588">
        <f ca="1">'预评函-2'!D13</f>
        <v>392555</v>
      </c>
    </row>
    <row r="31" spans="1:2" s="1589" customFormat="1">
      <c r="A31" s="1587" t="s">
        <v>1274</v>
      </c>
      <c r="B31" s="1588">
        <f ca="1">'预评函-2'!D15</f>
        <v>10376</v>
      </c>
    </row>
    <row r="32" spans="1:2" s="1589" customFormat="1">
      <c r="A32" s="1587" t="s">
        <v>1241</v>
      </c>
      <c r="B32" s="1588" t="str">
        <f ca="1">'预评函-2'!D14</f>
        <v>叁拾玖亿贰仟伍佰伍拾伍万元整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重庆市江北区观音桥组团I分区I29-3-/02地块“隆鑫中心”项目出让国有建设用地使用权及在建建筑物房地产</v>
      </c>
    </row>
    <row r="42" spans="1:2" s="1589" customFormat="1">
      <c r="A42" s="1587" t="s">
        <v>1288</v>
      </c>
      <c r="B42" s="1588" t="str">
        <f>'预评函-3'!B2</f>
        <v>建筑面积</v>
      </c>
    </row>
    <row r="43" spans="1:2" s="1589" customFormat="1">
      <c r="A43" s="1587" t="s">
        <v>1289</v>
      </c>
      <c r="B43" s="1588">
        <f>'预评函-3'!B4</f>
        <v>378335.58999999997</v>
      </c>
    </row>
    <row r="44" spans="1:2" s="1589" customFormat="1">
      <c r="A44" s="1587" t="s">
        <v>1273</v>
      </c>
      <c r="B44" s="1588" t="str">
        <f>'预评函-3'!C2</f>
        <v>(分摊)土地面积</v>
      </c>
    </row>
    <row r="45" spans="1:2" s="1589" customFormat="1">
      <c r="A45" s="1587" t="s">
        <v>1245</v>
      </c>
      <c r="B45" s="1588">
        <f>'预评函-3'!C4</f>
        <v>25136</v>
      </c>
    </row>
    <row r="46" spans="1:2" s="1589" customFormat="1">
      <c r="A46" s="1587" t="s">
        <v>1271</v>
      </c>
      <c r="B46" s="1588" t="str">
        <f>'预评函-3'!D2</f>
        <v>出让国有建设用地使用权价值</v>
      </c>
    </row>
    <row r="47" spans="1:2" s="1589" customFormat="1">
      <c r="A47" s="1587" t="s">
        <v>1246</v>
      </c>
      <c r="B47" s="1588">
        <f ca="1">'预评函-3'!D4</f>
        <v>270777</v>
      </c>
    </row>
    <row r="48" spans="1:2" s="1589" customFormat="1">
      <c r="A48" s="1587" t="s">
        <v>1247</v>
      </c>
      <c r="B48" s="1588">
        <f ca="1">'预评函-3'!E4</f>
        <v>7157</v>
      </c>
    </row>
    <row r="49" spans="1:2" s="1589" customFormat="1">
      <c r="A49" s="1587" t="s">
        <v>1248</v>
      </c>
      <c r="B49" s="1588" t="str">
        <f ca="1">'预评函-3'!D5</f>
        <v>贰拾柒亿零柒佰柒拾柒万元整</v>
      </c>
    </row>
    <row r="50" spans="1:2" s="1589" customFormat="1">
      <c r="A50" s="1587" t="s">
        <v>1272</v>
      </c>
      <c r="B50" s="1588" t="str">
        <f>'预评函-3'!F2</f>
        <v>在建建筑物价值</v>
      </c>
    </row>
    <row r="51" spans="1:2" s="1589" customFormat="1">
      <c r="A51" s="1587" t="s">
        <v>1249</v>
      </c>
      <c r="B51" s="1588">
        <f ca="1">'预评函-3'!F4</f>
        <v>126256</v>
      </c>
    </row>
    <row r="52" spans="1:2" s="1589" customFormat="1">
      <c r="A52" s="1587" t="s">
        <v>1250</v>
      </c>
      <c r="B52" s="1588">
        <f ca="1">'预评函-3'!G4</f>
        <v>3337</v>
      </c>
    </row>
    <row r="53" spans="1:2" s="1589" customFormat="1">
      <c r="A53" s="1587" t="s">
        <v>1278</v>
      </c>
      <c r="B53" s="1588" t="str">
        <f ca="1">'预评函-3'!F5</f>
        <v>壹拾贰亿陆仟贰佰伍拾陆万元整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故，本次评估估价师知悉的法定优先受偿款为人民币4478万元整。</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3085</v>
      </c>
      <c r="C18" s="2011"/>
    </row>
    <row r="19" spans="1:3">
      <c r="A19" s="2010" t="s">
        <v>1768</v>
      </c>
      <c r="B19" s="2010" t="s">
        <v>3086</v>
      </c>
      <c r="C19" s="2011"/>
    </row>
    <row r="20" spans="1:3">
      <c r="A20" s="2010" t="s">
        <v>1769</v>
      </c>
      <c r="B20" s="2010" t="s">
        <v>3087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为估价委托人在向中国东方资产管理股份有限公司办理贷款手续过程中，确定房地产抵押贷款额度提供参考依据而评估房地产抵押价值。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58"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18" t="s">
        <v>864</v>
      </c>
      <c r="C54" s="2015" t="s">
        <v>1281</v>
      </c>
    </row>
    <row r="55" spans="1:4">
      <c r="A55" s="3058"/>
      <c r="B55" s="2018" t="s">
        <v>865</v>
      </c>
      <c r="C55" s="2015" t="s">
        <v>1282</v>
      </c>
    </row>
    <row r="56" spans="1:4">
      <c r="A56" s="3058"/>
      <c r="B56" s="2018" t="s">
        <v>866</v>
      </c>
      <c r="C56" s="2015" t="s">
        <v>1286</v>
      </c>
    </row>
    <row r="57" spans="1:4">
      <c r="A57" s="3058"/>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22" sqref="G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67" t="str">
        <f>IF(B10="北京市","北京市",C10)&amp;F10&amp;IF(结果表!G1="在建","出让国有建设用地使用权及在建建筑物",IF(结果表!G1="土地","出让国有建设用地使用权",))&amp;B9&amp;"预评估"</f>
        <v>重庆市江北区观音桥组团I分区I29-3-/02地块“隆鑫中心”项目出让国有建设用地使用权及在建建筑物房地产抵押价值预评估</v>
      </c>
      <c r="C1" s="3068"/>
      <c r="D1" s="3068"/>
      <c r="E1" s="3068"/>
      <c r="F1" s="3068"/>
      <c r="G1" s="3068"/>
      <c r="H1" s="3068"/>
      <c r="I1" s="306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重庆市江北区观音桥组团I分区I29-3-/02地块“隆鑫中心”项目出让国有建设用地使用权及在建建筑物房地产抵押价值</v>
      </c>
    </row>
    <row r="2" spans="1:19" ht="18" customHeight="1">
      <c r="A2" s="2022" t="s">
        <v>1777</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重庆市江北区观音桥组团I分区I29-3-/02地块“隆鑫中心”项目出让国有建设用地使用权及在建建筑物房地产</v>
      </c>
    </row>
    <row r="3" spans="1:19" ht="18" customHeight="1">
      <c r="A3" s="2031" t="s">
        <v>1778</v>
      </c>
      <c r="B3" s="2032"/>
      <c r="C3" s="2033" t="s">
        <v>1779</v>
      </c>
      <c r="D3" s="2032">
        <v>43332</v>
      </c>
      <c r="E3" s="2022"/>
      <c r="F3" s="2022"/>
      <c r="G3" s="2022"/>
      <c r="H3" s="2022"/>
      <c r="I3" s="2022"/>
      <c r="J3" s="2022"/>
      <c r="K3" s="2023"/>
      <c r="L3" s="2024"/>
      <c r="M3" s="2024"/>
      <c r="N3" s="2025"/>
      <c r="O3" s="2026"/>
      <c r="P3" s="2025"/>
      <c r="Q3" s="2025"/>
      <c r="R3" s="2025"/>
      <c r="S3" s="2027"/>
    </row>
    <row r="4" spans="1:19" ht="18" customHeight="1" thickBot="1">
      <c r="A4" s="2034" t="s">
        <v>1780</v>
      </c>
      <c r="B4" s="2035" t="s">
        <v>3036</v>
      </c>
      <c r="C4" s="1034">
        <f ca="1">SUMIF(注册房地产估价师,B4,估价师及机构信息!B3:B24)</f>
        <v>1120050019</v>
      </c>
      <c r="D4" s="2035" t="s">
        <v>3037</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3013" t="str">
        <f>B6</f>
        <v>中国东方资产管理股份有限公司</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3011" t="s">
        <v>4266</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1783</v>
      </c>
      <c r="B7" s="2044" t="str">
        <f>C11</f>
        <v>重庆华诚投资有限公司</v>
      </c>
      <c r="C7" s="2045"/>
      <c r="D7" s="2046"/>
      <c r="E7" s="2030"/>
      <c r="F7" s="2038"/>
      <c r="G7" s="2038"/>
      <c r="H7" s="2038"/>
      <c r="I7" s="2038"/>
      <c r="J7" s="2038"/>
      <c r="K7" s="2048"/>
      <c r="L7" s="2024"/>
      <c r="M7" s="2024"/>
      <c r="N7" s="2025"/>
      <c r="O7" s="2026"/>
      <c r="P7" s="2025"/>
      <c r="Q7" s="2025"/>
      <c r="R7" s="2025"/>
    </row>
    <row r="8" spans="1:19" ht="18" customHeight="1">
      <c r="A8" s="2043" t="s">
        <v>1784</v>
      </c>
      <c r="B8" s="2049" t="s">
        <v>3042</v>
      </c>
      <c r="C8" s="2050"/>
      <c r="D8" s="3070" t="s">
        <v>1785</v>
      </c>
      <c r="E8" s="2051" t="s">
        <v>3041</v>
      </c>
      <c r="F8" s="2052"/>
      <c r="G8" s="2022"/>
      <c r="H8" s="2022"/>
      <c r="I8" s="2022"/>
      <c r="J8" s="2038"/>
      <c r="K8" s="2039"/>
      <c r="L8" s="2024"/>
      <c r="M8" s="2024"/>
      <c r="N8" s="2025"/>
      <c r="O8" s="2026"/>
      <c r="P8" s="2025"/>
      <c r="Q8" s="2025"/>
      <c r="R8" s="2025"/>
    </row>
    <row r="9" spans="1:19" ht="18" customHeight="1" thickBot="1">
      <c r="A9" s="2036" t="s">
        <v>1786</v>
      </c>
      <c r="B9" s="2053" t="s">
        <v>3041</v>
      </c>
      <c r="C9" s="2054"/>
      <c r="D9" s="3071"/>
      <c r="E9" s="2053"/>
      <c r="F9" s="2055"/>
      <c r="G9" s="2056"/>
      <c r="H9" s="2056"/>
      <c r="I9" s="2056"/>
      <c r="J9" s="2038"/>
      <c r="K9" s="2048"/>
      <c r="L9" s="2024"/>
      <c r="M9" s="2024"/>
      <c r="N9" s="2025"/>
      <c r="O9" s="2026"/>
      <c r="P9" s="2025"/>
      <c r="Q9" s="2025"/>
      <c r="R9" s="2025"/>
    </row>
    <row r="10" spans="1:19" ht="18" customHeight="1" thickTop="1">
      <c r="A10" s="2057" t="s">
        <v>1787</v>
      </c>
      <c r="B10" s="2058" t="s">
        <v>3040</v>
      </c>
      <c r="C10" s="3012" t="s">
        <v>4269</v>
      </c>
      <c r="D10" s="2042"/>
      <c r="E10" s="2059" t="s">
        <v>1788</v>
      </c>
      <c r="F10" s="2060" t="s">
        <v>4268</v>
      </c>
      <c r="G10" s="2061"/>
      <c r="H10" s="2062"/>
      <c r="I10" s="2042"/>
      <c r="J10" s="2038"/>
      <c r="K10" s="2048"/>
      <c r="L10" s="2024"/>
      <c r="M10" s="2024"/>
      <c r="N10" s="2025"/>
      <c r="O10" s="2026"/>
      <c r="P10" s="2025"/>
      <c r="Q10" s="2025"/>
      <c r="R10" s="2025"/>
    </row>
    <row r="11" spans="1:19" ht="18" customHeight="1">
      <c r="A11" s="2063" t="s">
        <v>1789</v>
      </c>
      <c r="B11" s="2064" t="s">
        <v>3039</v>
      </c>
      <c r="C11" s="3014" t="s">
        <v>4267</v>
      </c>
      <c r="D11" s="2065"/>
      <c r="E11" s="2038"/>
      <c r="F11" s="2038"/>
      <c r="G11" s="2038"/>
      <c r="H11" s="2038"/>
      <c r="I11" s="2038"/>
      <c r="J11" s="2038"/>
      <c r="K11" s="2048"/>
      <c r="L11" s="2024"/>
      <c r="M11" s="2024"/>
      <c r="N11" s="2025"/>
      <c r="O11" s="2026"/>
      <c r="P11" s="2025"/>
      <c r="Q11" s="2025"/>
      <c r="R11" s="2025"/>
    </row>
    <row r="12" spans="1:19" ht="18" customHeight="1">
      <c r="A12" s="2066" t="s">
        <v>1790</v>
      </c>
      <c r="B12" s="2064" t="s">
        <v>3038</v>
      </c>
      <c r="C12" s="2067" t="s">
        <v>1791</v>
      </c>
      <c r="D12" s="2068" t="s">
        <v>1792</v>
      </c>
      <c r="E12" s="2068" t="s">
        <v>1793</v>
      </c>
      <c r="F12" s="2068" t="s">
        <v>1794</v>
      </c>
      <c r="G12" s="2068" t="s">
        <v>1795</v>
      </c>
      <c r="H12" s="2068" t="s">
        <v>1796</v>
      </c>
      <c r="I12" s="2068" t="s">
        <v>1797</v>
      </c>
      <c r="J12" s="2038"/>
      <c r="K12" s="2048"/>
      <c r="L12" s="2024"/>
      <c r="M12" s="2024"/>
      <c r="N12" s="2025"/>
      <c r="O12" s="2026"/>
      <c r="P12" s="2025"/>
      <c r="Q12" s="2025"/>
      <c r="R12" s="2025"/>
    </row>
    <row r="13" spans="1:19" ht="18" customHeight="1">
      <c r="A13" s="2069"/>
      <c r="B13" s="2070"/>
      <c r="C13" s="2071" t="s">
        <v>1798</v>
      </c>
      <c r="D13" s="2072">
        <v>55395</v>
      </c>
      <c r="E13" s="2072">
        <v>55395</v>
      </c>
      <c r="F13" s="2072"/>
      <c r="G13" s="2072">
        <v>55395</v>
      </c>
      <c r="H13" s="2072"/>
      <c r="I13" s="1044"/>
      <c r="J13" s="2038"/>
      <c r="K13" s="2048"/>
      <c r="L13" s="2024"/>
      <c r="M13" s="2024"/>
      <c r="N13" s="2025"/>
      <c r="O13" s="2026"/>
      <c r="P13" s="2025"/>
      <c r="Q13" s="2025"/>
      <c r="R13" s="2025"/>
    </row>
    <row r="14" spans="1:19" ht="18" customHeight="1">
      <c r="A14" s="2069"/>
      <c r="B14" s="2070"/>
      <c r="C14" s="2071" t="s">
        <v>1799</v>
      </c>
      <c r="D14" s="1047">
        <v>40</v>
      </c>
      <c r="E14" s="1047">
        <v>40</v>
      </c>
      <c r="F14" s="1047"/>
      <c r="G14" s="1047">
        <v>40</v>
      </c>
      <c r="H14" s="1047"/>
      <c r="I14" s="1047"/>
      <c r="J14" s="2038"/>
      <c r="K14" s="2073"/>
      <c r="L14" s="2024"/>
      <c r="M14" s="2024"/>
      <c r="N14" s="2025"/>
      <c r="O14" s="2026"/>
      <c r="P14" s="2025"/>
      <c r="Q14" s="2025"/>
      <c r="R14" s="2025"/>
    </row>
    <row r="15" spans="1:19" ht="18" customHeight="1">
      <c r="A15" s="2057"/>
      <c r="B15" s="2074"/>
      <c r="C15" s="2071" t="s">
        <v>1800</v>
      </c>
      <c r="D15" s="1046">
        <f>IF(B12="出让",IF(D13="","",ROUNDDOWN(MIN((D13-$D$3)/365,D14),2)),D14)</f>
        <v>33.04</v>
      </c>
      <c r="E15" s="1046">
        <f>IF(B12="出让",IF(E13="","",ROUNDDOWN(MIN((E13-$D$3)/365,E14),2)),E14)</f>
        <v>33.04</v>
      </c>
      <c r="F15" s="1046" t="str">
        <f>IF(B12="出让",IF(F13="","",ROUNDDOWN(MIN((F13-$D$3)/365,F14),2)),F14)</f>
        <v/>
      </c>
      <c r="G15" s="1046">
        <f>IF(B12="出让",IF(G13="","",ROUNDDOWN(MIN((G13-$D$3)/365,G14),2)),G14)</f>
        <v>33.04</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1801</v>
      </c>
      <c r="B16" s="3077"/>
      <c r="C16" s="3078"/>
      <c r="D16" s="3079"/>
      <c r="E16" s="2078" t="s">
        <v>1802</v>
      </c>
      <c r="F16" s="3080"/>
      <c r="G16" s="3081"/>
      <c r="H16" s="3081"/>
      <c r="I16" s="3082"/>
      <c r="J16" s="2025"/>
      <c r="K16" s="2075"/>
      <c r="L16" s="2076"/>
      <c r="M16" s="2076"/>
      <c r="N16" s="2077"/>
      <c r="O16" s="2076"/>
      <c r="P16" s="2077"/>
      <c r="Q16" s="2025"/>
      <c r="R16" s="2025"/>
    </row>
    <row r="17" spans="1:22" ht="18" customHeight="1">
      <c r="A17" s="2079" t="s">
        <v>1803</v>
      </c>
      <c r="B17" s="2031" t="s">
        <v>1804</v>
      </c>
      <c r="C17" s="1051">
        <f>'数据-汇总表'!E3</f>
        <v>378335.58999999997</v>
      </c>
      <c r="D17" s="2080" t="s">
        <v>1805</v>
      </c>
      <c r="E17" s="3083" t="s">
        <v>1806</v>
      </c>
      <c r="F17" s="3084"/>
      <c r="G17" s="3084"/>
      <c r="H17" s="3084"/>
      <c r="I17" s="3085"/>
      <c r="J17" s="2025"/>
      <c r="K17" s="2081"/>
      <c r="L17" s="2076"/>
      <c r="M17" s="2076"/>
      <c r="N17" s="2077"/>
      <c r="O17" s="2076"/>
      <c r="P17" s="2077"/>
      <c r="Q17" s="2025"/>
      <c r="R17" s="2025"/>
      <c r="S17" s="2025"/>
      <c r="T17" s="2025"/>
      <c r="U17" s="2025"/>
      <c r="V17" s="2025"/>
    </row>
    <row r="18" spans="1:22" ht="36" customHeight="1" thickBot="1">
      <c r="A18" s="2082" t="s">
        <v>1807</v>
      </c>
      <c r="B18" s="2034" t="s">
        <v>1808</v>
      </c>
      <c r="C18" s="1441">
        <f>'数据-汇总表'!D3</f>
        <v>25136</v>
      </c>
      <c r="D18" s="2083" t="s">
        <v>1805</v>
      </c>
      <c r="E18" s="3086" t="s">
        <v>1809</v>
      </c>
      <c r="F18" s="3087"/>
      <c r="G18" s="3087"/>
      <c r="H18" s="3087"/>
      <c r="I18" s="3088"/>
      <c r="J18" s="2025"/>
      <c r="K18" s="2081"/>
      <c r="L18" s="2076"/>
      <c r="M18" s="2076"/>
      <c r="N18" s="2077"/>
      <c r="O18" s="2076"/>
      <c r="P18" s="2077"/>
      <c r="Q18" s="2025"/>
      <c r="R18" s="2025"/>
      <c r="S18" s="2025"/>
      <c r="T18" s="2025"/>
      <c r="U18" s="2025"/>
      <c r="V18" s="2025"/>
    </row>
    <row r="19" spans="1:22" ht="37.5" customHeight="1" thickTop="1" thickBot="1">
      <c r="A19" s="373" t="s">
        <v>1810</v>
      </c>
      <c r="B19" s="352" t="s">
        <v>1811</v>
      </c>
      <c r="C19" s="2084" t="s">
        <v>3044</v>
      </c>
      <c r="D19" s="2085" t="s">
        <v>1812</v>
      </c>
      <c r="E19" s="2086"/>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1813</v>
      </c>
      <c r="B20" s="3073" t="s">
        <v>1814</v>
      </c>
      <c r="C20" s="3074"/>
      <c r="D20" s="3075" t="s">
        <v>1815</v>
      </c>
      <c r="E20" s="3076"/>
      <c r="F20" s="2090" t="s">
        <v>1816</v>
      </c>
      <c r="G20" s="2038"/>
      <c r="H20" s="2038"/>
      <c r="I20" s="2038"/>
      <c r="J20" s="2038"/>
      <c r="K20" s="3072" t="s">
        <v>1817</v>
      </c>
      <c r="L20" s="748"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4"/>
      <c r="N20" s="2077"/>
      <c r="O20" s="2076"/>
      <c r="P20" s="2077"/>
      <c r="Q20" s="2025"/>
      <c r="R20" s="2025"/>
      <c r="S20" s="2025"/>
      <c r="T20" s="2025"/>
      <c r="U20" s="2025"/>
      <c r="V20" s="2025"/>
    </row>
    <row r="21" spans="1:22" ht="24.75" customHeight="1">
      <c r="A21" s="2089"/>
      <c r="B21" s="2091" t="s">
        <v>4277</v>
      </c>
      <c r="C21" s="2092" t="s">
        <v>4278</v>
      </c>
      <c r="D21" s="2093"/>
      <c r="E21" s="2094"/>
      <c r="F21" s="2095"/>
      <c r="G21" s="2038"/>
      <c r="H21" s="2038"/>
      <c r="I21" s="2038"/>
      <c r="J21" s="2038"/>
      <c r="K21" s="30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7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1818</v>
      </c>
      <c r="B23" s="183" t="s">
        <v>1819</v>
      </c>
      <c r="C23" s="2099"/>
      <c r="D23" s="2100" t="s">
        <v>1819</v>
      </c>
      <c r="E23" s="2101"/>
      <c r="F23" s="2097"/>
      <c r="G23" s="2038"/>
      <c r="H23" s="2038"/>
      <c r="I23" s="2038"/>
      <c r="J23" s="2038"/>
      <c r="K23" s="2102"/>
      <c r="L23" s="748"/>
      <c r="M23" s="2024"/>
      <c r="N23" s="2077"/>
      <c r="O23" s="2076"/>
      <c r="P23" s="2077"/>
      <c r="Q23" s="2025"/>
      <c r="R23" s="2025"/>
      <c r="S23" s="2025"/>
      <c r="T23" s="2025"/>
      <c r="U23" s="2025"/>
      <c r="V23" s="2025"/>
    </row>
    <row r="24" spans="1:22" ht="18" customHeight="1">
      <c r="A24" s="2103"/>
      <c r="B24" s="183" t="s">
        <v>1820</v>
      </c>
      <c r="C24" s="2104"/>
      <c r="D24" s="2098" t="s">
        <v>1820</v>
      </c>
      <c r="E24" s="2105"/>
      <c r="F24" s="2097"/>
      <c r="G24" s="2038"/>
      <c r="H24" s="2038"/>
      <c r="I24" s="2038"/>
      <c r="J24" s="2038"/>
      <c r="K24" s="2102"/>
      <c r="L24" s="748"/>
      <c r="M24" s="2024"/>
      <c r="N24" s="2077"/>
      <c r="O24" s="2076"/>
      <c r="P24" s="2077"/>
      <c r="Q24" s="2025"/>
      <c r="R24" s="2025"/>
      <c r="S24" s="2025"/>
      <c r="T24" s="2025"/>
      <c r="U24" s="2025"/>
      <c r="V24" s="2025"/>
    </row>
    <row r="25" spans="1:22" ht="18" customHeight="1">
      <c r="A25" s="2103"/>
      <c r="B25" s="183" t="s">
        <v>1821</v>
      </c>
      <c r="C25" s="2104"/>
      <c r="D25" s="2098" t="s">
        <v>1821</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1822</v>
      </c>
      <c r="C26" s="2108"/>
      <c r="D26" s="2109" t="s">
        <v>1823</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060" t="s">
        <v>1824</v>
      </c>
      <c r="B27" s="2057" t="s">
        <v>1825</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60"/>
      <c r="B28" s="2031" t="s">
        <v>1826</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60"/>
      <c r="B29" s="2031" t="s">
        <v>1827</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61"/>
      <c r="B30" s="2031" t="s">
        <v>1828</v>
      </c>
      <c r="C30" s="3062"/>
      <c r="D30" s="3063"/>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64" t="s">
        <v>1829</v>
      </c>
      <c r="B31" s="2119" t="s">
        <v>4270</v>
      </c>
      <c r="C31" s="2120" t="str">
        <f>IF(B31="现房","成新及维护状况正常否",IF(B31="在建","工程状态是否正常",IF(B31="土地","是否闲置","-")))</f>
        <v>工程状态是否正常</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65"/>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65"/>
      <c r="B33" s="2123"/>
      <c r="C33" s="2063"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6" t="s">
        <v>4271</v>
      </c>
      <c r="C34" s="2126" t="s">
        <v>4272</v>
      </c>
      <c r="D34" s="2126" t="s">
        <v>4273</v>
      </c>
      <c r="E34" s="2126" t="s">
        <v>4274</v>
      </c>
      <c r="F34" s="2126" t="s">
        <v>4275</v>
      </c>
      <c r="G34" s="2126" t="s">
        <v>4276</v>
      </c>
      <c r="H34" s="2126"/>
      <c r="I34" s="2038"/>
      <c r="J34" s="2038"/>
      <c r="K34" s="1791">
        <f>COUNTIF(B34:H34,"——")</f>
        <v>0</v>
      </c>
      <c r="L34" s="2067" t="s">
        <v>1831</v>
      </c>
      <c r="M34" s="2067" t="s">
        <v>1832</v>
      </c>
      <c r="N34" s="2067" t="s">
        <v>1833</v>
      </c>
      <c r="O34" s="2067" t="s">
        <v>1834</v>
      </c>
      <c r="P34" s="2067" t="s">
        <v>1835</v>
      </c>
      <c r="Q34" s="2067" t="s">
        <v>1836</v>
      </c>
      <c r="R34" s="2067" t="s">
        <v>1837</v>
      </c>
      <c r="S34" s="3059" t="s">
        <v>1838</v>
      </c>
      <c r="T34" s="2127" t="str">
        <f>NUMBERSTRING(7-K34,1)&amp;"通"</f>
        <v>七通</v>
      </c>
      <c r="U34" s="2025"/>
      <c r="V34" s="2025"/>
    </row>
    <row r="35" spans="1:22" ht="18" customHeight="1">
      <c r="A35" s="2128"/>
      <c r="B35" s="3066" t="s">
        <v>1839</v>
      </c>
      <c r="C35" s="3066"/>
      <c r="D35" s="3066"/>
      <c r="E35" s="3066"/>
      <c r="F35" s="2129" t="str">
        <f>C10</f>
        <v>重庆市</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25"/>
      <c r="V35" s="2025"/>
    </row>
    <row r="36" spans="1:22" ht="18" customHeight="1">
      <c r="A36" s="2130"/>
      <c r="B36" s="2129" t="s">
        <v>1840</v>
      </c>
      <c r="C36" s="2129" t="s">
        <v>1841</v>
      </c>
      <c r="D36" s="2129" t="s">
        <v>1842</v>
      </c>
      <c r="E36" s="2129" t="s">
        <v>1843</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1844</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1845</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1846</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6"/>
      <c r="L40" s="2076"/>
      <c r="M40" s="2076"/>
      <c r="N40" s="2077"/>
      <c r="O40" s="2076"/>
      <c r="P40" s="2025"/>
      <c r="Q40" s="2025"/>
      <c r="R40" s="2025"/>
      <c r="S40" s="2025"/>
      <c r="T40" s="2025"/>
      <c r="U40" s="2025"/>
      <c r="V40" s="2025"/>
    </row>
    <row r="41" spans="1:22" ht="18" customHeight="1">
      <c r="A41" s="8" t="s">
        <v>1847</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5"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0" width="10.75" style="2152" customWidth="1"/>
    <col min="21"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1868</v>
      </c>
      <c r="B2" s="11" t="s">
        <v>1869</v>
      </c>
      <c r="C2" s="11" t="s">
        <v>1870</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1871</v>
      </c>
      <c r="AZ2" s="1267" t="s">
        <v>1872</v>
      </c>
      <c r="BA2" s="11" t="s">
        <v>1873</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25136</v>
      </c>
      <c r="B3" s="14">
        <f>IF(C3="否",G5-AT5,G5)</f>
        <v>378335.58999999997</v>
      </c>
      <c r="C3" s="2161" t="s">
        <v>1874</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1875</v>
      </c>
      <c r="B5" s="1799"/>
      <c r="C5" s="1799"/>
      <c r="D5" s="1802"/>
      <c r="E5" s="16" t="s">
        <v>1</v>
      </c>
      <c r="F5" s="16">
        <f>SUM(F13:F587)</f>
        <v>0</v>
      </c>
      <c r="G5" s="16">
        <f>SUM(G13:G587)</f>
        <v>378907.56999999995</v>
      </c>
      <c r="H5" s="16">
        <f t="shared" ref="H5:AT5" si="0">SUM(H13:H656)</f>
        <v>362258.93</v>
      </c>
      <c r="I5" s="16">
        <f t="shared" si="0"/>
        <v>38459.120000000003</v>
      </c>
      <c r="J5" s="16">
        <f t="shared" si="0"/>
        <v>0</v>
      </c>
      <c r="K5" s="16">
        <f t="shared" si="0"/>
        <v>32618.32</v>
      </c>
      <c r="L5" s="16">
        <f t="shared" si="0"/>
        <v>0</v>
      </c>
      <c r="M5" s="16">
        <f t="shared" si="0"/>
        <v>6266.93</v>
      </c>
      <c r="N5" s="16">
        <f t="shared" si="0"/>
        <v>0</v>
      </c>
      <c r="O5" s="16">
        <f t="shared" si="0"/>
        <v>82985.51999999999</v>
      </c>
      <c r="P5" s="16">
        <f t="shared" si="0"/>
        <v>0</v>
      </c>
      <c r="Q5" s="16">
        <f t="shared" si="0"/>
        <v>86542.98</v>
      </c>
      <c r="R5" s="16">
        <f t="shared" si="0"/>
        <v>0</v>
      </c>
      <c r="S5" s="16">
        <f t="shared" si="0"/>
        <v>115386.06</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16076.66</v>
      </c>
      <c r="AD5" s="16">
        <f t="shared" si="0"/>
        <v>2543.58</v>
      </c>
      <c r="AE5" s="16">
        <f t="shared" si="0"/>
        <v>0</v>
      </c>
      <c r="AF5" s="16">
        <f t="shared" si="0"/>
        <v>0</v>
      </c>
      <c r="AG5" s="16">
        <f t="shared" si="0"/>
        <v>0</v>
      </c>
      <c r="AH5" s="16">
        <f t="shared" si="0"/>
        <v>0</v>
      </c>
      <c r="AI5" s="16">
        <f t="shared" si="0"/>
        <v>0</v>
      </c>
      <c r="AJ5" s="16">
        <f t="shared" si="0"/>
        <v>0</v>
      </c>
      <c r="AK5" s="16">
        <f t="shared" si="0"/>
        <v>0</v>
      </c>
      <c r="AL5" s="16">
        <f t="shared" si="0"/>
        <v>6080.4000000000005</v>
      </c>
      <c r="AM5" s="16">
        <f t="shared" si="0"/>
        <v>0</v>
      </c>
      <c r="AN5" s="16">
        <f t="shared" si="0"/>
        <v>7452.6800000000012</v>
      </c>
      <c r="AO5" s="16">
        <f t="shared" si="0"/>
        <v>0</v>
      </c>
      <c r="AP5" s="16">
        <f t="shared" si="0"/>
        <v>0</v>
      </c>
      <c r="AQ5" s="16">
        <f t="shared" si="0"/>
        <v>0</v>
      </c>
      <c r="AR5" s="16">
        <f t="shared" si="0"/>
        <v>0</v>
      </c>
      <c r="AS5" s="16">
        <f t="shared" si="0"/>
        <v>0</v>
      </c>
      <c r="AT5" s="16">
        <f t="shared" si="0"/>
        <v>571.98</v>
      </c>
      <c r="AU5" s="1798"/>
      <c r="AV5" s="15" t="s">
        <v>1875</v>
      </c>
      <c r="AW5" s="1799"/>
      <c r="AX5" s="1799"/>
      <c r="AY5" s="17" t="s">
        <v>3</v>
      </c>
      <c r="AZ5" s="18">
        <f t="shared" ref="AZ5:BT5" si="1">SUM(AZ13:AZ656)</f>
        <v>378335.58999999997</v>
      </c>
      <c r="BA5" s="18">
        <f t="shared" si="1"/>
        <v>362258.93</v>
      </c>
      <c r="BB5" s="18">
        <f t="shared" si="1"/>
        <v>38459.120000000003</v>
      </c>
      <c r="BC5" s="18">
        <f t="shared" si="1"/>
        <v>32618.32</v>
      </c>
      <c r="BD5" s="18">
        <f t="shared" si="1"/>
        <v>6266.93</v>
      </c>
      <c r="BE5" s="18">
        <f t="shared" si="1"/>
        <v>82985.51999999999</v>
      </c>
      <c r="BF5" s="18">
        <f t="shared" si="1"/>
        <v>86542.98</v>
      </c>
      <c r="BG5" s="18">
        <f t="shared" si="1"/>
        <v>115386.06</v>
      </c>
      <c r="BH5" s="18">
        <f t="shared" si="1"/>
        <v>0</v>
      </c>
      <c r="BI5" s="18">
        <f t="shared" si="1"/>
        <v>0</v>
      </c>
      <c r="BJ5" s="18">
        <f t="shared" si="1"/>
        <v>0</v>
      </c>
      <c r="BK5" s="18">
        <f t="shared" si="1"/>
        <v>0</v>
      </c>
      <c r="BL5" s="18">
        <f t="shared" si="1"/>
        <v>16076.66</v>
      </c>
      <c r="BM5" s="18">
        <f t="shared" si="1"/>
        <v>2543.58</v>
      </c>
      <c r="BN5" s="18">
        <f t="shared" si="1"/>
        <v>0</v>
      </c>
      <c r="BO5" s="18">
        <f t="shared" si="1"/>
        <v>0</v>
      </c>
      <c r="BP5" s="18">
        <f t="shared" si="1"/>
        <v>0</v>
      </c>
      <c r="BQ5" s="18">
        <f t="shared" si="1"/>
        <v>6080.4000000000005</v>
      </c>
      <c r="BR5" s="18">
        <f t="shared" si="1"/>
        <v>7452.6800000000012</v>
      </c>
      <c r="BS5" s="18">
        <f t="shared" si="1"/>
        <v>0</v>
      </c>
      <c r="BT5" s="19">
        <f t="shared" si="1"/>
        <v>0</v>
      </c>
    </row>
    <row r="6" spans="1:72" s="2170" customFormat="1" ht="12.75">
      <c r="A6" s="15" t="s">
        <v>1876</v>
      </c>
      <c r="B6" s="2167"/>
      <c r="C6" s="2167"/>
      <c r="D6" s="2168"/>
      <c r="E6" s="16">
        <f>H6+AC6+AT6</f>
        <v>25135.98</v>
      </c>
      <c r="F6" s="16" t="s">
        <v>1</v>
      </c>
      <c r="G6" s="16" t="s">
        <v>2</v>
      </c>
      <c r="H6" s="20">
        <f>SUMIF(I$12:AB$12,"总值",I6:AB6)</f>
        <v>24067.88</v>
      </c>
      <c r="I6" s="16">
        <f t="shared" ref="I6:AB6" si="2">ROUND($A$3*I5/$B$3,2)</f>
        <v>2555.16</v>
      </c>
      <c r="J6" s="16">
        <f t="shared" si="2"/>
        <v>0</v>
      </c>
      <c r="K6" s="16">
        <f t="shared" si="2"/>
        <v>2167.11</v>
      </c>
      <c r="L6" s="16">
        <f t="shared" si="2"/>
        <v>0</v>
      </c>
      <c r="M6" s="16">
        <f t="shared" si="2"/>
        <v>416.36</v>
      </c>
      <c r="N6" s="16">
        <f t="shared" si="2"/>
        <v>0</v>
      </c>
      <c r="O6" s="16">
        <f t="shared" si="2"/>
        <v>5513.42</v>
      </c>
      <c r="P6" s="16">
        <f t="shared" si="2"/>
        <v>0</v>
      </c>
      <c r="Q6" s="16">
        <f t="shared" si="2"/>
        <v>5749.77</v>
      </c>
      <c r="R6" s="16">
        <f t="shared" si="2"/>
        <v>0</v>
      </c>
      <c r="S6" s="16">
        <f t="shared" si="2"/>
        <v>7666.06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1068.0999999999999</v>
      </c>
      <c r="AD6" s="16">
        <f t="shared" ref="AD6:AS6" si="3">ROUND($A$3*AD5/$B$3,2)</f>
        <v>168.99</v>
      </c>
      <c r="AE6" s="16">
        <f t="shared" si="3"/>
        <v>0</v>
      </c>
      <c r="AF6" s="16">
        <f t="shared" si="3"/>
        <v>0</v>
      </c>
      <c r="AG6" s="16">
        <f t="shared" si="3"/>
        <v>0</v>
      </c>
      <c r="AH6" s="16">
        <f t="shared" si="3"/>
        <v>0</v>
      </c>
      <c r="AI6" s="16">
        <f t="shared" si="3"/>
        <v>0</v>
      </c>
      <c r="AJ6" s="16">
        <f t="shared" si="3"/>
        <v>0</v>
      </c>
      <c r="AK6" s="16">
        <f t="shared" si="3"/>
        <v>0</v>
      </c>
      <c r="AL6" s="16">
        <f t="shared" si="3"/>
        <v>403.97</v>
      </c>
      <c r="AM6" s="16">
        <f t="shared" si="3"/>
        <v>0</v>
      </c>
      <c r="AN6" s="16">
        <f t="shared" si="3"/>
        <v>495.14</v>
      </c>
      <c r="AO6" s="16">
        <f t="shared" si="3"/>
        <v>0</v>
      </c>
      <c r="AP6" s="16">
        <f t="shared" si="3"/>
        <v>0</v>
      </c>
      <c r="AQ6" s="16">
        <f t="shared" si="3"/>
        <v>0</v>
      </c>
      <c r="AR6" s="16">
        <f t="shared" si="3"/>
        <v>0</v>
      </c>
      <c r="AS6" s="16">
        <f t="shared" si="3"/>
        <v>0</v>
      </c>
      <c r="AT6" s="20">
        <f>IF(C3="是",ROUND($A$3*AT5/$B$3,2),0)</f>
        <v>0</v>
      </c>
      <c r="AU6" s="2169"/>
      <c r="AV6" s="15" t="s">
        <v>1876</v>
      </c>
      <c r="AW6" s="2167"/>
      <c r="AX6" s="2167"/>
      <c r="AY6" s="21">
        <f>IF(AY3&gt;0,AY3,ROUND($A$3*AZ5/$B$3,2))</f>
        <v>25136</v>
      </c>
      <c r="AZ6" s="16" t="s">
        <v>3</v>
      </c>
      <c r="BA6" s="16">
        <f>ROUND($AY$6*BA5/$AZ$5,2)</f>
        <v>24067.89</v>
      </c>
      <c r="BB6" s="16">
        <f>ROUND($AY$6*BB5/$AZ$5,2)</f>
        <v>2555.16</v>
      </c>
      <c r="BC6" s="16">
        <f t="shared" ref="BC6:BH6" si="4">ROUND($AY$6*BC5/$AZ$5,2)</f>
        <v>2167.11</v>
      </c>
      <c r="BD6" s="16">
        <f t="shared" si="4"/>
        <v>416.36</v>
      </c>
      <c r="BE6" s="16">
        <f t="shared" si="4"/>
        <v>5513.42</v>
      </c>
      <c r="BF6" s="16">
        <f t="shared" si="4"/>
        <v>5749.77</v>
      </c>
      <c r="BG6" s="16">
        <f t="shared" si="4"/>
        <v>7666.06</v>
      </c>
      <c r="BH6" s="16">
        <f t="shared" si="4"/>
        <v>0</v>
      </c>
      <c r="BI6" s="16">
        <f t="shared" ref="BI6:BT6" si="5">ROUND($AY$6*BI5/$AZ$5,2)</f>
        <v>0</v>
      </c>
      <c r="BJ6" s="16">
        <f t="shared" si="5"/>
        <v>0</v>
      </c>
      <c r="BK6" s="16">
        <f t="shared" si="5"/>
        <v>0</v>
      </c>
      <c r="BL6" s="16">
        <f t="shared" si="5"/>
        <v>1068.1099999999999</v>
      </c>
      <c r="BM6" s="16">
        <f t="shared" si="5"/>
        <v>168.99</v>
      </c>
      <c r="BN6" s="16">
        <f t="shared" si="5"/>
        <v>0</v>
      </c>
      <c r="BO6" s="16">
        <f t="shared" si="5"/>
        <v>0</v>
      </c>
      <c r="BP6" s="16">
        <f t="shared" si="5"/>
        <v>0</v>
      </c>
      <c r="BQ6" s="16">
        <f t="shared" si="5"/>
        <v>403.97</v>
      </c>
      <c r="BR6" s="16">
        <f t="shared" si="5"/>
        <v>495.14</v>
      </c>
      <c r="BS6" s="16">
        <f t="shared" si="5"/>
        <v>0</v>
      </c>
      <c r="BT6" s="22">
        <f t="shared" si="5"/>
        <v>0</v>
      </c>
    </row>
    <row r="7" spans="1:72" s="2160" customFormat="1" ht="24.75">
      <c r="A7" s="2102" t="s">
        <v>1877</v>
      </c>
      <c r="B7" s="2102" t="s">
        <v>1878</v>
      </c>
      <c r="C7" s="2102" t="s">
        <v>1879</v>
      </c>
      <c r="D7" s="2102" t="s">
        <v>1880</v>
      </c>
      <c r="E7" s="2102" t="s">
        <v>1881</v>
      </c>
      <c r="F7" s="2102" t="s">
        <v>1882</v>
      </c>
      <c r="G7" s="2171" t="s">
        <v>1883</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1884</v>
      </c>
      <c r="AV7" s="23" t="s">
        <v>1885</v>
      </c>
      <c r="AW7" s="2159" t="s">
        <v>1886</v>
      </c>
      <c r="AX7" s="23" t="s">
        <v>1879</v>
      </c>
      <c r="AY7" s="1799" t="s">
        <v>1887</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1888</v>
      </c>
      <c r="H8" s="2177" t="s">
        <v>1889</v>
      </c>
      <c r="I8" s="2178"/>
      <c r="J8" s="1814"/>
      <c r="K8" s="1814"/>
      <c r="L8" s="1814"/>
      <c r="M8" s="1814"/>
      <c r="N8" s="1814"/>
      <c r="O8" s="1814"/>
      <c r="P8" s="1814"/>
      <c r="Q8" s="1814"/>
      <c r="R8" s="1814"/>
      <c r="S8" s="1814"/>
      <c r="T8" s="1814"/>
      <c r="U8" s="1814"/>
      <c r="V8" s="2179"/>
      <c r="W8" s="1814"/>
      <c r="X8" s="1814"/>
      <c r="Y8" s="1814"/>
      <c r="Z8" s="1814"/>
      <c r="AA8" s="2179"/>
      <c r="AB8" s="2180"/>
      <c r="AC8" s="978" t="s">
        <v>1890</v>
      </c>
      <c r="AD8" s="2181"/>
      <c r="AE8" s="2173"/>
      <c r="AF8" s="1814"/>
      <c r="AG8" s="1814"/>
      <c r="AH8" s="1814"/>
      <c r="AI8" s="1814"/>
      <c r="AJ8" s="1814"/>
      <c r="AK8" s="1814"/>
      <c r="AL8" s="1814"/>
      <c r="AM8" s="1814"/>
      <c r="AN8" s="1814"/>
      <c r="AO8" s="1814"/>
      <c r="AP8" s="1814"/>
      <c r="AQ8" s="1814"/>
      <c r="AR8" s="1814"/>
      <c r="AS8" s="1814"/>
      <c r="AT8" s="1289" t="s">
        <v>1891</v>
      </c>
      <c r="AU8" s="2175" t="s">
        <v>1892</v>
      </c>
      <c r="AV8" s="1289"/>
      <c r="AW8" s="2158"/>
      <c r="AX8" s="1289"/>
      <c r="AY8" s="2159"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1895</v>
      </c>
      <c r="I9" s="2184" t="s">
        <v>3043</v>
      </c>
      <c r="J9" s="978"/>
      <c r="K9" s="2184" t="s">
        <v>3053</v>
      </c>
      <c r="L9" s="978"/>
      <c r="M9" s="2184" t="s">
        <v>3043</v>
      </c>
      <c r="N9" s="978"/>
      <c r="O9" s="2184" t="s">
        <v>3043</v>
      </c>
      <c r="P9" s="978"/>
      <c r="Q9" s="2184" t="s">
        <v>3043</v>
      </c>
      <c r="R9" s="978"/>
      <c r="S9" s="2184" t="s">
        <v>3053</v>
      </c>
      <c r="T9" s="978"/>
      <c r="U9" s="2184"/>
      <c r="V9" s="978"/>
      <c r="W9" s="2184"/>
      <c r="X9" s="2185"/>
      <c r="Y9" s="2184"/>
      <c r="Z9" s="978"/>
      <c r="AA9" s="2184"/>
      <c r="AB9" s="978"/>
      <c r="AC9" s="2176" t="s">
        <v>1895</v>
      </c>
      <c r="AD9" s="15" t="s">
        <v>1896</v>
      </c>
      <c r="AE9" s="1295"/>
      <c r="AF9" s="15" t="s">
        <v>1897</v>
      </c>
      <c r="AG9" s="1295"/>
      <c r="AH9" s="15" t="s">
        <v>1896</v>
      </c>
      <c r="AI9" s="1295"/>
      <c r="AJ9" s="15" t="s">
        <v>1897</v>
      </c>
      <c r="AK9" s="1295"/>
      <c r="AL9" s="15" t="s">
        <v>1896</v>
      </c>
      <c r="AM9" s="1295"/>
      <c r="AN9" s="15" t="s">
        <v>1897</v>
      </c>
      <c r="AO9" s="1295"/>
      <c r="AP9" s="15" t="s">
        <v>1896</v>
      </c>
      <c r="AQ9" s="1295"/>
      <c r="AR9" s="15" t="s">
        <v>1897</v>
      </c>
      <c r="AS9" s="2186"/>
      <c r="AT9" s="2175"/>
      <c r="AU9" s="2175" t="s">
        <v>1898</v>
      </c>
      <c r="AV9" s="1289"/>
      <c r="AW9" s="2158"/>
      <c r="AX9" s="1289"/>
      <c r="AY9" s="28"/>
      <c r="AZ9" s="28" t="s">
        <v>1888</v>
      </c>
      <c r="BA9" s="2187" t="s">
        <v>1899</v>
      </c>
      <c r="BB9" s="2188"/>
      <c r="BC9" s="1335"/>
      <c r="BD9" s="1335"/>
      <c r="BE9" s="1335"/>
      <c r="BF9" s="1335"/>
      <c r="BG9" s="1335"/>
      <c r="BH9" s="1335"/>
      <c r="BI9" s="1335"/>
      <c r="BJ9" s="1335"/>
      <c r="BK9" s="2189"/>
      <c r="BL9" s="15" t="s">
        <v>1900</v>
      </c>
      <c r="BM9" s="1814"/>
      <c r="BN9" s="2178"/>
      <c r="BO9" s="1814"/>
      <c r="BP9" s="1814"/>
      <c r="BQ9" s="1814"/>
      <c r="BR9" s="1814"/>
      <c r="BS9" s="1814"/>
      <c r="BT9" s="26"/>
    </row>
    <row r="10" spans="1:72" s="2182" customFormat="1" ht="12.75">
      <c r="A10" s="2175"/>
      <c r="B10" s="2175"/>
      <c r="C10" s="2175"/>
      <c r="D10" s="2175"/>
      <c r="E10" s="2175"/>
      <c r="F10" s="2175"/>
      <c r="G10" s="1289"/>
      <c r="H10" s="28"/>
      <c r="I10" s="2184" t="s">
        <v>1377</v>
      </c>
      <c r="J10" s="978"/>
      <c r="K10" s="2190" t="s">
        <v>1377</v>
      </c>
      <c r="L10" s="978"/>
      <c r="M10" s="2190" t="s">
        <v>1377</v>
      </c>
      <c r="N10" s="978"/>
      <c r="O10" s="2190" t="s">
        <v>1377</v>
      </c>
      <c r="P10" s="978"/>
      <c r="Q10" s="2190" t="s">
        <v>3047</v>
      </c>
      <c r="R10" s="978"/>
      <c r="S10" s="2190" t="s">
        <v>3054</v>
      </c>
      <c r="T10" s="978"/>
      <c r="U10" s="2190"/>
      <c r="V10" s="978"/>
      <c r="W10" s="2190"/>
      <c r="X10" s="978"/>
      <c r="Y10" s="2190"/>
      <c r="Z10" s="978"/>
      <c r="AA10" s="2190"/>
      <c r="AB10" s="978"/>
      <c r="AC10" s="1289"/>
      <c r="AD10" s="15" t="s">
        <v>1901</v>
      </c>
      <c r="AE10" s="2191"/>
      <c r="AF10" s="15" t="s">
        <v>1901</v>
      </c>
      <c r="AG10" s="2191"/>
      <c r="AH10" s="15" t="s">
        <v>1902</v>
      </c>
      <c r="AI10" s="2191"/>
      <c r="AJ10" s="15" t="s">
        <v>1902</v>
      </c>
      <c r="AK10" s="2191"/>
      <c r="AL10" s="15" t="s">
        <v>1903</v>
      </c>
      <c r="AM10" s="1295"/>
      <c r="AN10" s="15" t="s">
        <v>1903</v>
      </c>
      <c r="AO10" s="1295"/>
      <c r="AP10" s="15" t="s">
        <v>1904</v>
      </c>
      <c r="AQ10" s="1295"/>
      <c r="AR10" s="15" t="s">
        <v>1904</v>
      </c>
      <c r="AS10" s="1295"/>
      <c r="AT10" s="2175"/>
      <c r="AU10" s="2175"/>
      <c r="AV10" s="1289"/>
      <c r="AW10" s="2158"/>
      <c r="AX10" s="1289"/>
      <c r="AY10" s="28"/>
      <c r="AZ10" s="28"/>
      <c r="BA10" s="2192" t="s">
        <v>1895</v>
      </c>
      <c r="BB10" s="2193" t="str">
        <f>I9</f>
        <v>地上</v>
      </c>
      <c r="BC10" s="29" t="str">
        <f>K9</f>
        <v>地下</v>
      </c>
      <c r="BD10" s="29" t="str">
        <f>M9</f>
        <v>地上</v>
      </c>
      <c r="BE10" s="29" t="str">
        <f>O9</f>
        <v>地上</v>
      </c>
      <c r="BF10" s="29" t="str">
        <f>Q9</f>
        <v>地上</v>
      </c>
      <c r="BG10" s="29" t="str">
        <f>S9</f>
        <v>地下</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1905</v>
      </c>
      <c r="AE11" s="1815"/>
      <c r="AF11" s="2197" t="s">
        <v>1905</v>
      </c>
      <c r="AG11" s="1815"/>
      <c r="AH11" s="2197" t="s">
        <v>1906</v>
      </c>
      <c r="AI11" s="2198"/>
      <c r="AJ11" s="2197" t="s">
        <v>1906</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商业</v>
      </c>
      <c r="BE11" s="2180" t="str">
        <f>O10</f>
        <v>商业</v>
      </c>
      <c r="BF11" s="2180" t="str">
        <f>Q10</f>
        <v>住宅</v>
      </c>
      <c r="BG11" s="2180" t="str">
        <f>S10</f>
        <v>车库—商业</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2"/>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0" t="s">
        <v>1908</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c r="E13" s="16">
        <f>IF($C$3="是",ROUND($A$3*G13/$B$3,2),ROUND($A$3*(G13-AT13)/$B$3,2))</f>
        <v>0</v>
      </c>
      <c r="F13" s="32"/>
      <c r="G13" s="33">
        <f>H13+AC13+AT13</f>
        <v>0</v>
      </c>
      <c r="H13" s="20">
        <f>SUMIF(I$12:AB$12,"总值",I13:AB13)</f>
        <v>0</v>
      </c>
      <c r="I13" s="2207"/>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146"/>
      <c r="D14" s="2206" t="s">
        <v>3044</v>
      </c>
      <c r="E14" s="16">
        <f>IF($C$3="是",ROUND($A$3*G14/$B$3,2),ROUND($A$3*(G14-AT14)/$B$3,2))</f>
        <v>25136</v>
      </c>
      <c r="F14" s="32"/>
      <c r="G14" s="33">
        <f>H14+AC14+AT14</f>
        <v>378907.56999999995</v>
      </c>
      <c r="H14" s="20">
        <f>SUMIF(I$12:AB$12,"总值",I14:AB14)</f>
        <v>362258.93</v>
      </c>
      <c r="I14" s="2207">
        <f>'预测（T1-3）'!B7</f>
        <v>38459.120000000003</v>
      </c>
      <c r="J14" s="2207"/>
      <c r="K14" s="2207">
        <f>'预测（地下商业、车库）'!B9</f>
        <v>32618.32</v>
      </c>
      <c r="L14" s="2207"/>
      <c r="M14" s="2207">
        <f>'预测（T1-3）'!C7</f>
        <v>6266.93</v>
      </c>
      <c r="N14" s="2207"/>
      <c r="O14" s="2207">
        <f>'预测（T1-3）'!D7</f>
        <v>82985.51999999999</v>
      </c>
      <c r="P14" s="2207"/>
      <c r="Q14" s="2207">
        <v>86542.98</v>
      </c>
      <c r="R14" s="2207"/>
      <c r="S14" s="2207">
        <f>'预测（地下商业、车库）'!C9</f>
        <v>115386.06</v>
      </c>
      <c r="T14" s="2207"/>
      <c r="U14" s="2207"/>
      <c r="V14" s="2207"/>
      <c r="W14" s="2207"/>
      <c r="X14" s="2207"/>
      <c r="Y14" s="2207"/>
      <c r="Z14" s="2207"/>
      <c r="AA14" s="2207"/>
      <c r="AB14" s="2207"/>
      <c r="AC14" s="16">
        <f>SUMIF(AD$12:AS$12,"总值",AD14:AS14)</f>
        <v>16076.66</v>
      </c>
      <c r="AD14" s="3349">
        <f>2543.58</f>
        <v>2543.58</v>
      </c>
      <c r="AE14" s="2208"/>
      <c r="AF14" s="2208"/>
      <c r="AG14" s="2208"/>
      <c r="AH14" s="3349"/>
      <c r="AI14" s="2208"/>
      <c r="AJ14" s="2208"/>
      <c r="AK14" s="2208"/>
      <c r="AL14" s="2962">
        <f>'预测（T1-3）'!E7+1527.39+846.55</f>
        <v>6080.4000000000005</v>
      </c>
      <c r="AM14" s="2208"/>
      <c r="AN14" s="3349">
        <f>'预测（地下商业、车库）'!D9+'预测（地下商业、车库）'!F2</f>
        <v>7452.6800000000012</v>
      </c>
      <c r="AO14" s="2208"/>
      <c r="AP14" s="2208"/>
      <c r="AQ14" s="2208"/>
      <c r="AR14" s="2208"/>
      <c r="AS14" s="2208"/>
      <c r="AT14" s="2209">
        <f>'预测（地下商业、车库）'!E9</f>
        <v>571.98</v>
      </c>
      <c r="AU14" s="2210"/>
      <c r="AV14" s="11">
        <f t="shared" si="6"/>
        <v>0</v>
      </c>
      <c r="AW14" s="11">
        <f t="shared" si="6"/>
        <v>0</v>
      </c>
      <c r="AX14" s="11">
        <f t="shared" si="6"/>
        <v>0</v>
      </c>
      <c r="AY14" s="1802">
        <f>ROUND($AY$6*AZ14/$AZ$5,2)</f>
        <v>25136</v>
      </c>
      <c r="AZ14" s="16">
        <f>BA14+BL14</f>
        <v>378335.58999999997</v>
      </c>
      <c r="BA14" s="16">
        <f>SUM(BB14:BK14)</f>
        <v>362258.93</v>
      </c>
      <c r="BB14" s="16">
        <f>IF($D14="是",I14-J14,0)</f>
        <v>38459.120000000003</v>
      </c>
      <c r="BC14" s="16">
        <f>IF($D14="是",K14-L14,0)</f>
        <v>32618.32</v>
      </c>
      <c r="BD14" s="16">
        <f>IF($D14="是",M14-N14,0)</f>
        <v>6266.93</v>
      </c>
      <c r="BE14" s="16">
        <f>IF($D14="是",O14-P14,0)</f>
        <v>82985.51999999999</v>
      </c>
      <c r="BF14" s="16">
        <f>IF($D14="是",Q14-R14,0)</f>
        <v>86542.98</v>
      </c>
      <c r="BG14" s="16">
        <f>IF($D14="是",S14-T14,0)</f>
        <v>115386.06</v>
      </c>
      <c r="BH14" s="16">
        <f>IF($D14="是",U14-V14,0)</f>
        <v>0</v>
      </c>
      <c r="BI14" s="16">
        <f>IF($D14="是",W14-X14,0)</f>
        <v>0</v>
      </c>
      <c r="BJ14" s="16">
        <f>IF($D14="是",Y14-Z14,0)</f>
        <v>0</v>
      </c>
      <c r="BK14" s="16">
        <f>IF($D14="是",AA14-AB14,0)</f>
        <v>0</v>
      </c>
      <c r="BL14" s="16">
        <f>SUM(BM14:BT14)</f>
        <v>16076.66</v>
      </c>
      <c r="BM14" s="16">
        <f>IF($D14="是",AD14-AE14,0)</f>
        <v>2543.58</v>
      </c>
      <c r="BN14" s="16">
        <f>IF($D14="是",AF14-AG14,0)</f>
        <v>0</v>
      </c>
      <c r="BO14" s="16">
        <f>IF($D14="是",AH14-AI14,0)</f>
        <v>0</v>
      </c>
      <c r="BP14" s="16">
        <f>IF($D14="是",AJ14-AK14,0)</f>
        <v>0</v>
      </c>
      <c r="BQ14" s="16">
        <f>IF($D14="是",AL14-AM14,0)</f>
        <v>6080.4000000000005</v>
      </c>
      <c r="BR14" s="16">
        <f>IF($D14="是",AN14-AO14,0)</f>
        <v>7452.6800000000012</v>
      </c>
      <c r="BS14" s="16">
        <f>IF($D14="是",AP14-AQ14,0)</f>
        <v>0</v>
      </c>
      <c r="BT14" s="22">
        <f>IF($D14="是",AR14-AS14,0)</f>
        <v>0</v>
      </c>
    </row>
    <row r="15" spans="1:72" s="2160" customFormat="1" ht="12.75">
      <c r="A15" s="1269"/>
      <c r="B15" s="1269"/>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8" sqref="P8"/>
    </sheetView>
  </sheetViews>
  <sheetFormatPr defaultRowHeight="13.5"/>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26" sqref="E26"/>
    </sheetView>
  </sheetViews>
  <sheetFormatPr defaultRowHeight="13.5"/>
  <cols>
    <col min="2" max="6" width="11.75" customWidth="1"/>
  </cols>
  <sheetData>
    <row r="1" spans="1:6" ht="14.25" thickBot="1">
      <c r="B1" s="2956" t="s">
        <v>3056</v>
      </c>
      <c r="C1" s="2956" t="s">
        <v>3057</v>
      </c>
      <c r="D1" s="2956" t="s">
        <v>3058</v>
      </c>
      <c r="E1" s="2956" t="s">
        <v>3059</v>
      </c>
      <c r="F1" s="2956"/>
    </row>
    <row r="2" spans="1:6">
      <c r="A2">
        <v>-1</v>
      </c>
      <c r="B2" s="2958">
        <v>32618.32</v>
      </c>
      <c r="C2">
        <v>115386.06</v>
      </c>
      <c r="D2">
        <f>58.38+9.59+1778.14+1209.16+955.17+131.33+248.2+218.24+940.9+61.77+50.33+18+56.04+48.37+41.18+92.01+34.03+8.64+27.8+28.8+201.93+134.64+120.94+627.96</f>
        <v>7101.5500000000011</v>
      </c>
      <c r="E2">
        <v>571.98</v>
      </c>
      <c r="F2">
        <f>29.68+321.45</f>
        <v>351.13</v>
      </c>
    </row>
    <row r="3" spans="1:6" ht="14.25" thickBot="1">
      <c r="A3">
        <v>-2</v>
      </c>
      <c r="B3" s="2959"/>
    </row>
    <row r="4" spans="1:6">
      <c r="A4">
        <v>-3</v>
      </c>
      <c r="C4" s="2958"/>
    </row>
    <row r="5" spans="1:6">
      <c r="A5">
        <v>-4</v>
      </c>
      <c r="C5" s="2960"/>
    </row>
    <row r="6" spans="1:6">
      <c r="A6">
        <v>-5</v>
      </c>
      <c r="C6" s="2960"/>
    </row>
    <row r="7" spans="1:6" ht="14.25" thickBot="1">
      <c r="A7">
        <v>-6</v>
      </c>
      <c r="C7" s="2960"/>
    </row>
    <row r="8" spans="1:6" ht="14.25" thickBot="1">
      <c r="A8">
        <v>-7</v>
      </c>
      <c r="C8" s="2959"/>
      <c r="E8" s="2961"/>
    </row>
    <row r="9" spans="1:6">
      <c r="B9" s="2957">
        <f>SUM(B2:B8)</f>
        <v>32618.32</v>
      </c>
      <c r="C9" s="2957">
        <f t="shared" ref="C9:E9" si="0">SUM(C2:C8)</f>
        <v>115386.06</v>
      </c>
      <c r="D9" s="2957">
        <f t="shared" si="0"/>
        <v>7101.5500000000011</v>
      </c>
      <c r="E9" s="2957">
        <f t="shared" si="0"/>
        <v>571.98</v>
      </c>
      <c r="F9" s="2957">
        <f>SUM(B9:E9)</f>
        <v>155677.91</v>
      </c>
    </row>
    <row r="10" spans="1:6">
      <c r="F10">
        <f>SUM(F2:F9)</f>
        <v>156029.04</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8" sqref="G8"/>
    </sheetView>
  </sheetViews>
  <sheetFormatPr defaultRowHeight="13.5"/>
  <cols>
    <col min="2" max="5" width="10.875" customWidth="1"/>
    <col min="6" max="6" width="11.125" customWidth="1"/>
  </cols>
  <sheetData>
    <row r="1" spans="1:6" ht="14.25" thickBot="1">
      <c r="B1" s="2956" t="s">
        <v>3060</v>
      </c>
      <c r="C1" s="2956" t="s">
        <v>3061</v>
      </c>
      <c r="D1" s="2956" t="s">
        <v>3062</v>
      </c>
      <c r="E1" s="2956" t="s">
        <v>3058</v>
      </c>
    </row>
    <row r="2" spans="1:6">
      <c r="A2">
        <v>1</v>
      </c>
      <c r="B2" s="2958"/>
      <c r="E2">
        <f>559.3+525.06+467.42+525.06+102.02+250.53+23.78+16.82+16.24+17.77+22.58+25.24+65.33+97.33</f>
        <v>2714.48</v>
      </c>
      <c r="F2">
        <f>618.13+649.69+698.75</f>
        <v>1966.5700000000002</v>
      </c>
    </row>
    <row r="3" spans="1:6">
      <c r="A3">
        <v>2</v>
      </c>
      <c r="B3" s="2960"/>
      <c r="E3">
        <v>220.98</v>
      </c>
      <c r="F3">
        <v>86433.57</v>
      </c>
    </row>
    <row r="4" spans="1:6" ht="14.25" thickBot="1">
      <c r="A4">
        <v>3</v>
      </c>
      <c r="B4" s="2960">
        <v>38459.120000000003</v>
      </c>
      <c r="C4">
        <v>6266.93</v>
      </c>
      <c r="D4">
        <f>40689.99+42295.53</f>
        <v>82985.51999999999</v>
      </c>
      <c r="E4">
        <v>771</v>
      </c>
    </row>
    <row r="5" spans="1:6">
      <c r="A5">
        <v>4</v>
      </c>
      <c r="B5" s="2960"/>
      <c r="C5" s="2958"/>
    </row>
    <row r="6" spans="1:6" ht="14.25" thickBot="1">
      <c r="A6">
        <v>5</v>
      </c>
      <c r="B6" s="2959"/>
      <c r="C6" s="2959"/>
    </row>
    <row r="7" spans="1:6">
      <c r="A7">
        <v>6</v>
      </c>
      <c r="B7" s="2957">
        <f>SUM(B2:B6)</f>
        <v>38459.120000000003</v>
      </c>
      <c r="C7" s="2957">
        <f t="shared" ref="C7:E7" si="0">SUM(C2:C6)</f>
        <v>6266.93</v>
      </c>
      <c r="D7" s="2957">
        <f t="shared" si="0"/>
        <v>82985.51999999999</v>
      </c>
      <c r="E7" s="2957">
        <f t="shared" si="0"/>
        <v>3706.46</v>
      </c>
      <c r="F7" s="2957">
        <f>SUM(B7:E7)</f>
        <v>131418.03</v>
      </c>
    </row>
    <row r="8" spans="1:6">
      <c r="A8">
        <v>7</v>
      </c>
      <c r="F8">
        <f>SUM(F2:F7)</f>
        <v>219818.17</v>
      </c>
    </row>
    <row r="9" spans="1:6">
      <c r="A9">
        <v>8</v>
      </c>
    </row>
    <row r="10" spans="1:6">
      <c r="A10">
        <v>9</v>
      </c>
    </row>
    <row r="11" spans="1:6">
      <c r="A11">
        <v>10</v>
      </c>
    </row>
    <row r="12" spans="1:6">
      <c r="A12">
        <v>11</v>
      </c>
    </row>
    <row r="13" spans="1:6">
      <c r="A13">
        <v>12</v>
      </c>
    </row>
    <row r="14" spans="1:6">
      <c r="A14">
        <v>13</v>
      </c>
    </row>
    <row r="15" spans="1:6">
      <c r="A15">
        <v>14</v>
      </c>
    </row>
    <row r="16" spans="1:6">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1934</v>
      </c>
      <c r="B1" s="1389"/>
      <c r="C1" s="1389"/>
      <c r="D1" s="1389"/>
      <c r="E1" s="1389"/>
      <c r="F1" s="1389"/>
      <c r="G1" s="1389"/>
      <c r="H1" s="1389"/>
      <c r="I1" s="1389"/>
      <c r="J1" s="1389"/>
      <c r="K1" s="1389"/>
      <c r="L1" s="1389"/>
      <c r="M1" s="1389"/>
      <c r="N1" s="1389"/>
      <c r="O1" s="1389"/>
      <c r="P1" s="1389"/>
    </row>
    <row r="2" spans="1:16" ht="15">
      <c r="A2" s="3100" t="s">
        <v>1935</v>
      </c>
      <c r="B2" s="3100"/>
      <c r="C2" s="3100"/>
      <c r="D2" s="964" t="s">
        <v>1911</v>
      </c>
      <c r="E2" s="2220" t="s">
        <v>1912</v>
      </c>
      <c r="F2" s="1389"/>
      <c r="G2" s="2221"/>
      <c r="H2" s="2222"/>
      <c r="I2" s="2223" t="s">
        <v>1936</v>
      </c>
      <c r="J2" s="1389"/>
      <c r="K2" s="1389"/>
      <c r="L2" s="1389"/>
      <c r="M2" s="1389"/>
      <c r="N2" s="1424"/>
      <c r="O2" s="1389"/>
      <c r="P2" s="1389"/>
    </row>
    <row r="3" spans="1:16" ht="15.75" thickBot="1">
      <c r="A3" s="3101" t="s">
        <v>1909</v>
      </c>
      <c r="B3" s="3101"/>
      <c r="C3" s="3101"/>
      <c r="D3" s="46">
        <f>'数据-基础表'!AY6</f>
        <v>25136</v>
      </c>
      <c r="E3" s="46">
        <f>'数据-基础表'!AZ5</f>
        <v>378335.58999999997</v>
      </c>
      <c r="F3" s="1389"/>
      <c r="G3" s="1396"/>
      <c r="H3" s="1244" t="s">
        <v>1910</v>
      </c>
      <c r="I3" s="55">
        <f>ROUND('数据-基础表'!B3/'数据-基础表'!A3,2)</f>
        <v>15.05</v>
      </c>
      <c r="J3" s="1389"/>
      <c r="K3" s="1389"/>
      <c r="L3" s="1389"/>
      <c r="M3" s="1389"/>
      <c r="N3" s="1424"/>
      <c r="O3" s="1389"/>
      <c r="P3" s="1389"/>
    </row>
    <row r="4" spans="1:16" ht="15">
      <c r="A4" s="3102"/>
      <c r="B4" s="3103"/>
      <c r="C4" s="3104"/>
      <c r="D4" s="2224" t="s">
        <v>1911</v>
      </c>
      <c r="E4" s="2225" t="s">
        <v>1912</v>
      </c>
      <c r="F4" s="1389"/>
      <c r="G4" s="2226" t="s">
        <v>1937</v>
      </c>
      <c r="H4" s="1244" t="s">
        <v>1917</v>
      </c>
      <c r="I4" s="55">
        <f>ROUND(SUMIF('数据-基础表'!I9:AS9,"地上",'数据-基础表'!I5:AS5)/'数据-基础表'!A3,2)</f>
        <v>8.8699999999999992</v>
      </c>
      <c r="J4" s="1389"/>
      <c r="K4" s="1389"/>
      <c r="L4" s="1389"/>
      <c r="M4" s="1389"/>
      <c r="N4" s="1424"/>
      <c r="O4" s="1389"/>
      <c r="P4" s="1389"/>
    </row>
    <row r="5" spans="1:16">
      <c r="A5" s="47" t="s">
        <v>1913</v>
      </c>
      <c r="B5" s="3105" t="s">
        <v>1914</v>
      </c>
      <c r="C5" s="3105"/>
      <c r="D5" s="48">
        <f>ROUND($D$3*E5/$E$3,2)</f>
        <v>5749.77</v>
      </c>
      <c r="E5" s="49">
        <f>SUMIF('数据-基础表'!$11:$11,"住宅",'数据-基础表'!$5:$5)</f>
        <v>86542.98</v>
      </c>
      <c r="F5" s="1389"/>
      <c r="G5" s="1396"/>
      <c r="H5" s="1244" t="s">
        <v>1910</v>
      </c>
      <c r="I5" s="55">
        <f>ROUND(E31/D31,2)</f>
        <v>15.05</v>
      </c>
      <c r="J5" s="1389"/>
      <c r="K5" s="1389"/>
      <c r="L5" s="1389"/>
      <c r="M5" s="1389"/>
      <c r="N5" s="1389"/>
      <c r="O5" s="1389"/>
      <c r="P5" s="1389"/>
    </row>
    <row r="6" spans="1:16" ht="15" thickBot="1">
      <c r="A6" s="2227"/>
      <c r="B6" s="3105" t="s">
        <v>1915</v>
      </c>
      <c r="C6" s="3105"/>
      <c r="D6" s="48">
        <f>ROUND($D$3*E6/$E$3,2)</f>
        <v>19386.23</v>
      </c>
      <c r="E6" s="49">
        <f>E3-E5</f>
        <v>291792.61</v>
      </c>
      <c r="F6" s="1389"/>
      <c r="G6" s="2228" t="s">
        <v>1916</v>
      </c>
      <c r="H6" s="1396" t="s">
        <v>1917</v>
      </c>
      <c r="I6" s="936">
        <f>ROUND(F31/D31,2)</f>
        <v>8.8699999999999992</v>
      </c>
      <c r="J6" s="1389"/>
      <c r="K6" s="1389"/>
      <c r="L6" s="1389"/>
      <c r="M6" s="1389"/>
      <c r="N6" s="1389"/>
      <c r="O6" s="1389"/>
      <c r="P6" s="1389"/>
    </row>
    <row r="7" spans="1:16" ht="15">
      <c r="A7" s="3097"/>
      <c r="B7" s="3098"/>
      <c r="C7" s="3099"/>
      <c r="D7" s="2224" t="s">
        <v>1911</v>
      </c>
      <c r="E7" s="2229" t="s">
        <v>1918</v>
      </c>
      <c r="F7" s="1389"/>
      <c r="G7" s="2221" t="s">
        <v>1919</v>
      </c>
      <c r="H7" s="64"/>
      <c r="I7" s="420"/>
      <c r="J7" s="1389"/>
      <c r="K7" s="1389"/>
      <c r="L7" s="1389"/>
      <c r="M7" s="1389"/>
      <c r="N7" s="1389"/>
      <c r="O7" s="1389"/>
      <c r="P7" s="1389"/>
    </row>
    <row r="8" spans="1:16">
      <c r="A8" s="47" t="s">
        <v>1920</v>
      </c>
      <c r="B8" s="50" t="s">
        <v>1921</v>
      </c>
      <c r="C8" s="48" t="s">
        <v>1922</v>
      </c>
      <c r="D8" s="48">
        <f t="shared" ref="D8:D15" si="0">ROUND($D$3*E8/$E$3,2)</f>
        <v>14234.72</v>
      </c>
      <c r="E8" s="51">
        <f>SUMIF('数据-基础表'!BB10:BK10,"地上",'数据-基础表'!BB5:BK5)</f>
        <v>214254.55</v>
      </c>
      <c r="F8" s="1389"/>
      <c r="G8" s="2230"/>
      <c r="H8" s="2230"/>
      <c r="I8" s="1389"/>
      <c r="J8" s="1389"/>
      <c r="K8" s="1389"/>
      <c r="L8" s="1389"/>
      <c r="M8" s="1389"/>
      <c r="N8" s="1389"/>
      <c r="O8" s="1389"/>
      <c r="P8" s="1389"/>
    </row>
    <row r="9" spans="1:16">
      <c r="A9" s="2231"/>
      <c r="B9" s="2232"/>
      <c r="C9" s="48" t="s">
        <v>1923</v>
      </c>
      <c r="D9" s="48">
        <f t="shared" si="0"/>
        <v>0</v>
      </c>
      <c r="E9" s="52">
        <v>0</v>
      </c>
      <c r="F9" s="1389"/>
      <c r="G9" s="2230"/>
      <c r="H9" s="2230"/>
      <c r="I9" s="1389"/>
      <c r="J9" s="1389"/>
      <c r="K9" s="1389"/>
      <c r="L9" s="1389"/>
      <c r="M9" s="1389"/>
      <c r="N9" s="1389"/>
      <c r="O9" s="1389"/>
      <c r="P9" s="1389"/>
    </row>
    <row r="10" spans="1:16">
      <c r="A10" s="2231"/>
      <c r="B10" s="2232"/>
      <c r="C10" s="48" t="s">
        <v>1932</v>
      </c>
      <c r="D10" s="48">
        <f t="shared" si="0"/>
        <v>2167.11</v>
      </c>
      <c r="E10" s="51">
        <f>SUMPRODUCT(('数据-基础表'!BB10:BK10="地下")*('数据-基础表'!BB11:BK11="商业")*('数据-基础表'!BB5:BK5))</f>
        <v>32618.32</v>
      </c>
      <c r="F10" s="1389"/>
      <c r="G10" s="2230"/>
      <c r="H10" s="2230"/>
      <c r="I10" s="1389"/>
      <c r="J10" s="1389"/>
      <c r="K10" s="1389"/>
      <c r="L10" s="1389"/>
      <c r="M10" s="1389"/>
      <c r="N10" s="1389"/>
      <c r="O10" s="1389"/>
      <c r="P10" s="1389"/>
    </row>
    <row r="11" spans="1:16">
      <c r="A11" s="2231"/>
      <c r="B11" s="2232"/>
      <c r="C11" s="48" t="s">
        <v>1924</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1925</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1926</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1938</v>
      </c>
      <c r="D14" s="48">
        <f t="shared" si="0"/>
        <v>7666.06</v>
      </c>
      <c r="E14" s="51">
        <f>SUMPRODUCT(('数据-基础表'!BB10:BK10="地下")*('数据-基础表'!BB11:BK11="车库—商业")*('数据-基础表'!BB5:BK5))</f>
        <v>115386.06</v>
      </c>
      <c r="F14" s="1389"/>
      <c r="G14" s="2230"/>
      <c r="H14" s="2230"/>
      <c r="I14" s="1389"/>
      <c r="J14" s="1389"/>
      <c r="K14" s="1389"/>
      <c r="L14" s="1389"/>
      <c r="M14" s="1389"/>
      <c r="N14" s="1389"/>
      <c r="O14" s="1389"/>
      <c r="P14" s="1389"/>
    </row>
    <row r="15" spans="1:16" ht="15" thickBot="1">
      <c r="A15" s="2231"/>
      <c r="B15" s="2232"/>
      <c r="C15" s="48" t="s">
        <v>1933</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1927</v>
      </c>
      <c r="D16" s="50">
        <f>SUM(D8:D15)</f>
        <v>24067.89</v>
      </c>
      <c r="E16" s="53">
        <f>SUM(E8:E15)</f>
        <v>362258.93</v>
      </c>
      <c r="F16" s="1389"/>
      <c r="G16" s="2230"/>
      <c r="H16" s="2233" t="s">
        <v>1939</v>
      </c>
      <c r="I16" s="2234"/>
      <c r="J16" s="1389"/>
      <c r="K16" s="3094" t="s">
        <v>1939</v>
      </c>
      <c r="L16" s="3095"/>
      <c r="M16" s="3095"/>
      <c r="N16" s="3095"/>
      <c r="O16" s="3095"/>
      <c r="P16" s="3096"/>
    </row>
    <row r="17" spans="1:19" ht="15">
      <c r="A17" s="2235" t="s">
        <v>1940</v>
      </c>
      <c r="B17" s="2236" t="s">
        <v>1941</v>
      </c>
      <c r="C17" s="2237" t="s">
        <v>1942</v>
      </c>
      <c r="D17" s="2238" t="s">
        <v>1930</v>
      </c>
      <c r="E17" s="2239" t="s">
        <v>1931</v>
      </c>
      <c r="F17" s="2240"/>
      <c r="G17" s="2241"/>
      <c r="H17" s="2242" t="s">
        <v>1943</v>
      </c>
      <c r="I17" s="2243" t="s">
        <v>1928</v>
      </c>
      <c r="J17" s="1389"/>
      <c r="K17" s="3091" t="s">
        <v>1944</v>
      </c>
      <c r="L17" s="3092"/>
      <c r="M17" s="3093"/>
      <c r="N17" s="3091" t="s">
        <v>1945</v>
      </c>
      <c r="O17" s="3092"/>
      <c r="P17" s="3093"/>
      <c r="R17" s="2221" t="s">
        <v>1946</v>
      </c>
      <c r="S17" s="64"/>
    </row>
    <row r="18" spans="1:19" ht="15">
      <c r="A18" s="2231"/>
      <c r="B18" s="2244"/>
      <c r="C18" s="2245"/>
      <c r="D18" s="2246"/>
      <c r="E18" s="2247" t="s">
        <v>1947</v>
      </c>
      <c r="F18" s="2248" t="s">
        <v>1948</v>
      </c>
      <c r="G18" s="2249" t="s">
        <v>1949</v>
      </c>
      <c r="H18" s="1259" t="s">
        <v>1950</v>
      </c>
      <c r="I18" s="2250" t="s">
        <v>1951</v>
      </c>
      <c r="J18" s="1389"/>
      <c r="K18" s="1259" t="s">
        <v>1952</v>
      </c>
      <c r="L18" s="2251" t="s">
        <v>1953</v>
      </c>
      <c r="M18" s="1043" t="s">
        <v>1954</v>
      </c>
      <c r="N18" s="1259" t="s">
        <v>1952</v>
      </c>
      <c r="O18" s="2251" t="s">
        <v>1953</v>
      </c>
      <c r="P18" s="1043" t="s">
        <v>1954</v>
      </c>
      <c r="R18" s="1244" t="s">
        <v>1955</v>
      </c>
      <c r="S18" s="1244" t="s">
        <v>1956</v>
      </c>
    </row>
    <row r="19" spans="1:19">
      <c r="A19" s="2252"/>
      <c r="B19" s="50" t="s">
        <v>1929</v>
      </c>
      <c r="C19" s="2954" t="s">
        <v>3049</v>
      </c>
      <c r="D19" s="48">
        <f>ROUND($D$3*E19/$E$3,2)</f>
        <v>2971.53</v>
      </c>
      <c r="E19" s="56">
        <f t="shared" ref="E19:E26" si="1">SUM(F19:G19)</f>
        <v>44726.05</v>
      </c>
      <c r="F19" s="57">
        <f>'数据-基础表'!I14+'数据-基础表'!M14</f>
        <v>44726.05</v>
      </c>
      <c r="G19" s="58"/>
      <c r="H19" s="723">
        <f>ROUND($D$3*I19/$E$3,2)</f>
        <v>111.01</v>
      </c>
      <c r="I19" s="51">
        <f t="shared" ref="I19:I26" si="2">IF($I$17="自定义",P19,M19)</f>
        <v>1670.85</v>
      </c>
      <c r="J19" s="1389"/>
      <c r="K19" s="1388">
        <f t="shared" ref="K19:K26" si="3">ROUND(E$28*E19/E$27,2)</f>
        <v>1670.85</v>
      </c>
      <c r="L19" s="1244">
        <f t="shared" ref="L19:L26" si="4">ROUND(IF(COUNTIF(C19,"*住宅*")&gt;0,E$29*E19/E$32,0),2)</f>
        <v>0</v>
      </c>
      <c r="M19" s="1400">
        <f>K19+L19</f>
        <v>1670.85</v>
      </c>
      <c r="N19" s="2253"/>
      <c r="O19" s="2254"/>
      <c r="P19" s="1400">
        <f>N19+O19</f>
        <v>0</v>
      </c>
      <c r="R19" s="1244">
        <f t="shared" ref="R19:S26" si="5">D19+H19</f>
        <v>3082.5400000000004</v>
      </c>
      <c r="S19" s="1245">
        <f t="shared" si="5"/>
        <v>46396.9</v>
      </c>
    </row>
    <row r="20" spans="1:19">
      <c r="A20" s="2255"/>
      <c r="B20" s="50" t="s">
        <v>1957</v>
      </c>
      <c r="C20" s="2954" t="s">
        <v>3050</v>
      </c>
      <c r="D20" s="48">
        <f t="shared" ref="D20:D26" si="6">ROUND($D$3*E20/$E$3,2)</f>
        <v>2167.11</v>
      </c>
      <c r="E20" s="56">
        <f t="shared" si="1"/>
        <v>32618.32</v>
      </c>
      <c r="F20" s="57"/>
      <c r="G20" s="58">
        <f>'数据-基础表'!K14</f>
        <v>32618.32</v>
      </c>
      <c r="H20" s="723">
        <f t="shared" ref="H20:H26" si="7">ROUND($D$3*I20/$E$3,2)</f>
        <v>80.959999999999994</v>
      </c>
      <c r="I20" s="51">
        <f t="shared" si="2"/>
        <v>1218.54</v>
      </c>
      <c r="J20" s="1389"/>
      <c r="K20" s="1388">
        <f t="shared" si="3"/>
        <v>1218.54</v>
      </c>
      <c r="L20" s="1244">
        <f t="shared" si="4"/>
        <v>0</v>
      </c>
      <c r="M20" s="1400">
        <f t="shared" ref="M20:M26" si="8">K20+L20</f>
        <v>1218.54</v>
      </c>
      <c r="N20" s="2253"/>
      <c r="O20" s="2254"/>
      <c r="P20" s="1400">
        <f t="shared" ref="P20:P26" si="9">N20+O20</f>
        <v>0</v>
      </c>
      <c r="R20" s="1244">
        <f t="shared" si="5"/>
        <v>2248.0700000000002</v>
      </c>
      <c r="S20" s="1245">
        <f t="shared" si="5"/>
        <v>33836.86</v>
      </c>
    </row>
    <row r="21" spans="1:19">
      <c r="A21" s="2255"/>
      <c r="B21" s="50" t="s">
        <v>1957</v>
      </c>
      <c r="C21" s="2954" t="s">
        <v>3051</v>
      </c>
      <c r="D21" s="48">
        <f t="shared" si="6"/>
        <v>5513.42</v>
      </c>
      <c r="E21" s="56">
        <f t="shared" si="1"/>
        <v>82985.51999999999</v>
      </c>
      <c r="F21" s="57">
        <f>'数据-基础表'!O14</f>
        <v>82985.51999999999</v>
      </c>
      <c r="G21" s="58"/>
      <c r="H21" s="723">
        <f t="shared" si="7"/>
        <v>205.97</v>
      </c>
      <c r="I21" s="51">
        <f t="shared" si="2"/>
        <v>3100.13</v>
      </c>
      <c r="J21" s="1389"/>
      <c r="K21" s="1388">
        <f t="shared" si="3"/>
        <v>3100.13</v>
      </c>
      <c r="L21" s="1244">
        <f t="shared" si="4"/>
        <v>0</v>
      </c>
      <c r="M21" s="1400">
        <f t="shared" si="8"/>
        <v>3100.13</v>
      </c>
      <c r="N21" s="2253"/>
      <c r="O21" s="2254"/>
      <c r="P21" s="1400">
        <f t="shared" si="9"/>
        <v>0</v>
      </c>
      <c r="R21" s="1244">
        <f t="shared" si="5"/>
        <v>5719.39</v>
      </c>
      <c r="S21" s="1245">
        <f t="shared" si="5"/>
        <v>86085.65</v>
      </c>
    </row>
    <row r="22" spans="1:19">
      <c r="A22" s="2255"/>
      <c r="B22" s="50" t="s">
        <v>1957</v>
      </c>
      <c r="C22" s="2955" t="s">
        <v>3048</v>
      </c>
      <c r="D22" s="48">
        <f t="shared" si="6"/>
        <v>5749.77</v>
      </c>
      <c r="E22" s="56">
        <f t="shared" si="1"/>
        <v>86542.98</v>
      </c>
      <c r="F22" s="61">
        <f>'数据-基础表'!Q14</f>
        <v>86542.98</v>
      </c>
      <c r="G22" s="62"/>
      <c r="H22" s="723">
        <f t="shared" si="7"/>
        <v>383.79</v>
      </c>
      <c r="I22" s="51">
        <f t="shared" si="2"/>
        <v>5776.6100000000006</v>
      </c>
      <c r="J22" s="1389"/>
      <c r="K22" s="1388">
        <f t="shared" si="3"/>
        <v>3233.03</v>
      </c>
      <c r="L22" s="1244">
        <f t="shared" si="4"/>
        <v>2543.58</v>
      </c>
      <c r="M22" s="1400">
        <f t="shared" si="8"/>
        <v>5776.6100000000006</v>
      </c>
      <c r="N22" s="2253"/>
      <c r="O22" s="2254"/>
      <c r="P22" s="1400">
        <f t="shared" si="9"/>
        <v>0</v>
      </c>
      <c r="R22" s="1244">
        <f t="shared" si="5"/>
        <v>6133.56</v>
      </c>
      <c r="S22" s="1245">
        <f t="shared" si="5"/>
        <v>92319.59</v>
      </c>
    </row>
    <row r="23" spans="1:19">
      <c r="A23" s="2255"/>
      <c r="B23" s="50" t="s">
        <v>1957</v>
      </c>
      <c r="C23" s="2955" t="s">
        <v>3052</v>
      </c>
      <c r="D23" s="48">
        <f>ROUND($D$3*E23/$E$3,2)</f>
        <v>7666.06</v>
      </c>
      <c r="E23" s="56">
        <f>SUM(F23:G23)</f>
        <v>115386.06</v>
      </c>
      <c r="F23" s="61"/>
      <c r="G23" s="62">
        <f>'数据-基础表'!S14</f>
        <v>115386.06</v>
      </c>
      <c r="H23" s="723">
        <f>ROUND($D$3*I23/$E$3,2)</f>
        <v>286.38</v>
      </c>
      <c r="I23" s="51">
        <f t="shared" si="2"/>
        <v>4310.53</v>
      </c>
      <c r="J23" s="1389"/>
      <c r="K23" s="1388">
        <f t="shared" si="3"/>
        <v>4310.53</v>
      </c>
      <c r="L23" s="1244">
        <f t="shared" si="4"/>
        <v>0</v>
      </c>
      <c r="M23" s="1400">
        <f t="shared" si="8"/>
        <v>4310.53</v>
      </c>
      <c r="N23" s="2253"/>
      <c r="O23" s="2254"/>
      <c r="P23" s="1400">
        <f t="shared" si="9"/>
        <v>0</v>
      </c>
      <c r="R23" s="1244">
        <f t="shared" si="5"/>
        <v>7952.4400000000005</v>
      </c>
      <c r="S23" s="1245">
        <f t="shared" si="5"/>
        <v>119696.59</v>
      </c>
    </row>
    <row r="24" spans="1:19">
      <c r="A24" s="2255"/>
      <c r="B24" s="50" t="s">
        <v>1957</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1957</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1957</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29.25" thickBot="1">
      <c r="A27" s="2255"/>
      <c r="B27" s="48"/>
      <c r="C27" s="2258" t="s">
        <v>1958</v>
      </c>
      <c r="D27" s="1390">
        <f>SUM(D19:D26)</f>
        <v>24067.890000000003</v>
      </c>
      <c r="E27" s="1391">
        <f>IF(SUM(E19:E26)='数据-基础表'!BA5,SUM(E19:E26),IF(F27="地上面积有误","面积有误","地下面积有误"))</f>
        <v>362258.93</v>
      </c>
      <c r="F27" s="1390">
        <f>IF(SUM(F19:F26)=E8,SUM(F19:F26),"地上面积有误")</f>
        <v>214254.55</v>
      </c>
      <c r="G27" s="1392">
        <f>SUM(G19:G26)</f>
        <v>148004.38</v>
      </c>
      <c r="H27" s="1393">
        <f>SUM(H19:H26)</f>
        <v>1068.1100000000001</v>
      </c>
      <c r="I27" s="1394">
        <f>SUM(I19:I26)</f>
        <v>16076.66</v>
      </c>
      <c r="J27" s="1389"/>
      <c r="K27" s="1397">
        <f>SUM(K19:K26)</f>
        <v>13533.080000000002</v>
      </c>
      <c r="L27" s="1398">
        <f>SUM(L19:L26)</f>
        <v>2543.58</v>
      </c>
      <c r="M27" s="1401">
        <f>SUM(M19:M26)</f>
        <v>16076.66</v>
      </c>
      <c r="N27" s="1397">
        <f t="shared" ref="N27:O27" si="10">SUM(N19:N26)</f>
        <v>0</v>
      </c>
      <c r="O27" s="1398">
        <f t="shared" si="10"/>
        <v>0</v>
      </c>
      <c r="P27" s="1399">
        <f>SUM(P19:P26)</f>
        <v>0</v>
      </c>
      <c r="R27" s="1246">
        <f>IF(SUM(R19:R26)=$D$3,SUM(R19:R26),SUM(R19:R26)&amp;"误差"&amp;ROUND(SUM(R19:R26)-$D$3,2))</f>
        <v>25136</v>
      </c>
      <c r="S27" s="1244">
        <f>IF(SUM(S19:S26)=$E$3,SUM(S19:S26),SUM(S19:S26)&amp;"误差"&amp;ROUND(SUM(S19:S26)-E3,2))</f>
        <v>378335.58999999997</v>
      </c>
    </row>
    <row r="28" spans="1:19">
      <c r="A28" s="2255"/>
      <c r="B28" s="50" t="s">
        <v>1959</v>
      </c>
      <c r="C28" s="1256" t="s">
        <v>1960</v>
      </c>
      <c r="D28" s="48">
        <f>ROUND($D$3*E28/$E$3,2)</f>
        <v>899.12</v>
      </c>
      <c r="E28" s="56">
        <f>SUM(F28:G28)</f>
        <v>13533.080000000002</v>
      </c>
      <c r="F28" s="64">
        <f>'数据-基础表'!BQ5+'数据-基础表'!BS5</f>
        <v>6080.4000000000005</v>
      </c>
      <c r="G28" s="65">
        <f>'数据-基础表'!BR5+'数据-基础表'!BT5</f>
        <v>7452.6800000000012</v>
      </c>
      <c r="H28" s="1389"/>
      <c r="I28" s="1389"/>
      <c r="J28" s="1389"/>
      <c r="K28" s="1389"/>
      <c r="L28" s="1389"/>
      <c r="M28" s="1389"/>
      <c r="N28" s="1389"/>
      <c r="O28" s="1389"/>
      <c r="P28" s="1389"/>
    </row>
    <row r="29" spans="1:19">
      <c r="A29" s="2255"/>
      <c r="B29" s="50" t="s">
        <v>1959</v>
      </c>
      <c r="C29" s="2259" t="s">
        <v>1961</v>
      </c>
      <c r="D29" s="48">
        <f>ROUND($D$3*E29/$E$3,2)</f>
        <v>168.99</v>
      </c>
      <c r="E29" s="56">
        <f>SUM(F29:G29)</f>
        <v>2543.58</v>
      </c>
      <c r="F29" s="66">
        <f>'数据-基础表'!BM5+'数据-基础表'!BO5</f>
        <v>2543.58</v>
      </c>
      <c r="G29" s="67">
        <f>'数据-基础表'!BN5+'数据-基础表'!BP5</f>
        <v>0</v>
      </c>
      <c r="H29" s="1389"/>
      <c r="I29" s="1389"/>
      <c r="J29" s="1389"/>
      <c r="K29" s="1389"/>
      <c r="L29" s="1389"/>
      <c r="M29" s="1389"/>
      <c r="N29" s="1389"/>
      <c r="O29" s="1389"/>
      <c r="P29" s="1389"/>
    </row>
    <row r="30" spans="1:19" ht="15">
      <c r="A30" s="2255"/>
      <c r="B30" s="50"/>
      <c r="C30" s="2260" t="s">
        <v>1958</v>
      </c>
      <c r="D30" s="1390">
        <f>SUM(D28:D29)</f>
        <v>1068.1100000000001</v>
      </c>
      <c r="E30" s="1390">
        <f>SUM(E28:E29)</f>
        <v>16076.660000000002</v>
      </c>
      <c r="F30" s="1390">
        <f>SUM(F28:F29)</f>
        <v>8623.98</v>
      </c>
      <c r="G30" s="1392">
        <f>SUM(G28:G29)</f>
        <v>7452.6800000000012</v>
      </c>
      <c r="H30" s="1389"/>
      <c r="I30" s="1389"/>
      <c r="J30" s="1389"/>
      <c r="K30" s="1389"/>
      <c r="L30" s="1389"/>
      <c r="M30" s="1389"/>
      <c r="N30" s="1389"/>
      <c r="O30" s="1389"/>
      <c r="P30" s="1389"/>
    </row>
    <row r="31" spans="1:19" ht="15.75" thickBot="1">
      <c r="A31" s="2261"/>
      <c r="B31" s="2262"/>
      <c r="C31" s="1004" t="s">
        <v>1962</v>
      </c>
      <c r="D31" s="729">
        <f>D27+D30</f>
        <v>25136.000000000004</v>
      </c>
      <c r="E31" s="729">
        <f>E27+E30</f>
        <v>378335.58999999997</v>
      </c>
      <c r="F31" s="730">
        <f>F27+F30</f>
        <v>222878.53</v>
      </c>
      <c r="G31" s="731">
        <f>G27+G30</f>
        <v>155457.06</v>
      </c>
      <c r="H31" s="1389"/>
      <c r="I31" s="1389"/>
      <c r="J31" s="1389"/>
      <c r="K31" s="1389"/>
      <c r="L31" s="1389"/>
      <c r="M31" s="1389"/>
      <c r="N31" s="1389"/>
      <c r="O31" s="1389"/>
      <c r="P31" s="1389"/>
    </row>
    <row r="32" spans="1:19">
      <c r="A32" s="2226"/>
      <c r="B32" s="2226" t="s">
        <v>1963</v>
      </c>
      <c r="C32" s="2226"/>
      <c r="D32" s="2226"/>
      <c r="E32" s="1271">
        <f>SUMIF(C19:C26,"*住宅*",E19:E26)</f>
        <v>86542.98</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11" sqref="N1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1964</v>
      </c>
      <c r="B1" s="732"/>
      <c r="C1" s="1577"/>
      <c r="D1" s="2265"/>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1965</v>
      </c>
      <c r="B2" s="1263">
        <f>项目基本情况!D3</f>
        <v>43332</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7" t="s">
        <v>1970</v>
      </c>
      <c r="AA4" s="2237"/>
      <c r="AB4" s="2237"/>
      <c r="AC4" s="2237"/>
      <c r="AD4" s="2237"/>
      <c r="AE4" s="2235" t="s">
        <v>1971</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1972</v>
      </c>
      <c r="B5" s="2282" t="s">
        <v>1973</v>
      </c>
      <c r="C5" s="2283" t="s">
        <v>1974</v>
      </c>
      <c r="D5" s="2284" t="s">
        <v>1975</v>
      </c>
      <c r="E5" s="1265" t="s">
        <v>1976</v>
      </c>
      <c r="F5" s="2285" t="s">
        <v>1977</v>
      </c>
      <c r="G5" s="1265" t="s">
        <v>1978</v>
      </c>
      <c r="H5" s="1265" t="s">
        <v>1979</v>
      </c>
      <c r="I5" s="1265" t="s">
        <v>1980</v>
      </c>
      <c r="J5" s="2286" t="s">
        <v>1981</v>
      </c>
      <c r="K5" s="2287" t="s">
        <v>1982</v>
      </c>
      <c r="L5" s="2288" t="s">
        <v>1983</v>
      </c>
      <c r="M5" s="2289" t="s">
        <v>1984</v>
      </c>
      <c r="N5" s="2290" t="s">
        <v>1985</v>
      </c>
      <c r="O5" s="2288" t="s">
        <v>1986</v>
      </c>
      <c r="P5" s="2291" t="s">
        <v>1987</v>
      </c>
      <c r="Q5" s="69" t="s">
        <v>1988</v>
      </c>
      <c r="R5" s="2292" t="s">
        <v>1989</v>
      </c>
      <c r="S5" s="2293" t="s">
        <v>1990</v>
      </c>
      <c r="T5" s="2294" t="s">
        <v>1991</v>
      </c>
      <c r="U5" s="1264" t="s">
        <v>1992</v>
      </c>
      <c r="V5" s="1265" t="s">
        <v>1993</v>
      </c>
      <c r="W5" s="1265" t="s">
        <v>1994</v>
      </c>
      <c r="X5" s="71"/>
      <c r="Y5" s="70" t="s">
        <v>1995</v>
      </c>
      <c r="Z5" s="2295" t="s">
        <v>1992</v>
      </c>
      <c r="AA5" s="1265" t="s">
        <v>1993</v>
      </c>
      <c r="AB5" s="1265" t="s">
        <v>1994</v>
      </c>
      <c r="AC5" s="71"/>
      <c r="AD5" s="71" t="s">
        <v>1995</v>
      </c>
      <c r="AE5" s="1264" t="s">
        <v>1996</v>
      </c>
      <c r="AF5" s="1265" t="s">
        <v>1997</v>
      </c>
      <c r="AG5" s="70" t="s">
        <v>1998</v>
      </c>
      <c r="AH5" s="1264" t="s">
        <v>1999</v>
      </c>
      <c r="AI5" s="2295" t="s">
        <v>2000</v>
      </c>
      <c r="AJ5" s="2295" t="s">
        <v>2001</v>
      </c>
      <c r="AK5" s="1265" t="s">
        <v>2002</v>
      </c>
      <c r="AL5" s="1265" t="s">
        <v>2003</v>
      </c>
      <c r="AM5" s="70" t="s">
        <v>2004</v>
      </c>
      <c r="AN5" s="2296" t="s">
        <v>2005</v>
      </c>
      <c r="AO5" s="2067" t="s">
        <v>2006</v>
      </c>
      <c r="AP5" s="1246" t="s">
        <v>2007</v>
      </c>
      <c r="AQ5" s="2297" t="s">
        <v>2008</v>
      </c>
      <c r="AR5" s="2297"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地上商业</v>
      </c>
      <c r="B6" s="2299" t="str">
        <f>IF(A6=0,"","经营性")</f>
        <v>经营性</v>
      </c>
      <c r="C6" s="2300" t="s">
        <v>1377</v>
      </c>
      <c r="D6" s="1048">
        <f>SUMIF(项目基本情况!D$12:I$12,C6,项目基本情况!D$14:I$14)</f>
        <v>40</v>
      </c>
      <c r="E6" s="1045">
        <f>IF(B6="","",SUMIF(项目基本情况!D$12:I$12,C6,项目基本情况!D$13:I$13))</f>
        <v>55395</v>
      </c>
      <c r="F6" s="72">
        <f>SUMIF(项目基本情况!D$12:I$12,C6,项目基本情况!D$15:I$15)</f>
        <v>33.04</v>
      </c>
      <c r="G6" s="73">
        <f>IF(ISERROR(ROUND(POWER(1+H6,D6-F6)*(POWER(1+H6,F6)-1)/(POWER(1+H6,D6)-1),3)),0,ROUND(POWER(1+H6,D6-F6)*(POWER(1+H6,F6)-1)/(POWER(1+H6,D6)-1),3))</f>
        <v>0.93300000000000005</v>
      </c>
      <c r="H6" s="802">
        <v>0.05</v>
      </c>
      <c r="I6" s="802">
        <v>0.06</v>
      </c>
      <c r="J6" s="74">
        <v>8.5000000000000006E-2</v>
      </c>
      <c r="K6" s="1248">
        <f>SUMIF('数据-汇总表'!C$19:C$33,A6,'数据-汇总表'!E$19:E$33)</f>
        <v>44726.05</v>
      </c>
      <c r="L6" s="803">
        <v>4500</v>
      </c>
      <c r="M6" s="75">
        <f t="shared" ref="M6:M14" si="0">ROUND(K6*L6/10000,0)</f>
        <v>20127</v>
      </c>
      <c r="N6" s="801">
        <v>0.6</v>
      </c>
      <c r="O6" s="75">
        <f>IF($N$5="成新度","——",ROUND(M6*N6,0))</f>
        <v>12076</v>
      </c>
      <c r="P6" s="76">
        <f>IF($N$5="成新度","——",M6-O6)</f>
        <v>8051</v>
      </c>
      <c r="Q6" s="804">
        <v>0.25</v>
      </c>
      <c r="R6" s="77">
        <f ca="1">SUMIF('数据-汇总表'!C$19:C$33,A6,'数据-汇总表'!R$19:R$27)</f>
        <v>3082.5400000000004</v>
      </c>
      <c r="S6" s="54">
        <f>IF('数据-汇总表'!$I$17="按面积比例",SUMIF('数据-汇总表'!C$19:C$33,A6,'数据-汇总表'!K$19:K$33),SUMIF('数据-汇总表'!C$19:C$33,A6,'数据-汇总表'!N$19:N$33))</f>
        <v>1670.85</v>
      </c>
      <c r="T6" s="1440">
        <f>ROUND($L$14*S6/10000,0)</f>
        <v>668</v>
      </c>
      <c r="U6" s="81">
        <v>6.5</v>
      </c>
      <c r="V6" s="74">
        <v>0.03</v>
      </c>
      <c r="W6" s="74">
        <v>0.1</v>
      </c>
      <c r="X6" s="1258"/>
      <c r="Y6" s="82">
        <v>1</v>
      </c>
      <c r="Z6" s="81"/>
      <c r="AA6" s="74"/>
      <c r="AB6" s="74"/>
      <c r="AC6" s="1258"/>
      <c r="AD6" s="82"/>
      <c r="AE6" s="1259">
        <f ca="1">IF(AN6="",0,SUMIF(INDIRECT("'"&amp;AN6&amp;"'"&amp;"!E:E"),$AE$5,INDIRECT("'"&amp;AN6&amp;"'"&amp;"!F:F")))</f>
        <v>31.54</v>
      </c>
      <c r="AF6" s="1800"/>
      <c r="AG6" s="147">
        <f>IF(AF6="",0,AE6-AF6)</f>
        <v>0</v>
      </c>
      <c r="AH6" s="83"/>
      <c r="AI6" s="85">
        <v>365</v>
      </c>
      <c r="AJ6" s="86"/>
      <c r="AK6" s="87">
        <v>0.01</v>
      </c>
      <c r="AL6" s="88">
        <v>1E-3</v>
      </c>
      <c r="AM6" s="3358">
        <v>0.02</v>
      </c>
      <c r="AN6" s="2301" t="s">
        <v>3085</v>
      </c>
      <c r="AO6" s="55">
        <f ca="1">SUMIF(INDIRECT("'"&amp;AN6&amp;"'"&amp;"!A:A"),"总价",INDIRECT("'"&amp;AN6&amp;"'"&amp;"!B:B"))</f>
        <v>145184</v>
      </c>
      <c r="AP6" s="2302">
        <f>IF(C6="住宅",K6*L6,0)</f>
        <v>0</v>
      </c>
      <c r="AQ6" s="55">
        <f>ROUND($L$14*$N$14*S6/10000,0)</f>
        <v>401</v>
      </c>
      <c r="AR6" s="55">
        <f>ROUND($L$14*(1-$N$14)*S6/10000,0)</f>
        <v>267</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地下商业</v>
      </c>
      <c r="B7" s="2299" t="str">
        <f t="shared" ref="B7:B13" si="1">IF(A7=0,"","经营性")</f>
        <v>经营性</v>
      </c>
      <c r="C7" s="2300" t="s">
        <v>1377</v>
      </c>
      <c r="D7" s="1048">
        <f>SUMIF(项目基本情况!D$12:I$12,C7,项目基本情况!D$14:I$14)</f>
        <v>40</v>
      </c>
      <c r="E7" s="1045">
        <f>IF(B7="","",SUMIF(项目基本情况!D$12:I$12,C7,项目基本情况!D$13:I$13))</f>
        <v>55395</v>
      </c>
      <c r="F7" s="72">
        <f>SUMIF(项目基本情况!D$12:I$12,C7,项目基本情况!D$15:I$15)</f>
        <v>33.04</v>
      </c>
      <c r="G7" s="73">
        <f t="shared" ref="G7:G11" si="2">IF(ISERROR(ROUND(POWER(1+H7,D7-F7)*(POWER(1+H7,F7)-1)/(POWER(1+H7,D7)-1),3)),0,ROUND(POWER(1+H7,D7-F7)*(POWER(1+H7,F7)-1)/(POWER(1+H7,D7)-1),3))</f>
        <v>0.93300000000000005</v>
      </c>
      <c r="H7" s="802">
        <v>0.05</v>
      </c>
      <c r="I7" s="802">
        <v>0.06</v>
      </c>
      <c r="J7" s="74">
        <v>8.5000000000000006E-2</v>
      </c>
      <c r="K7" s="1248">
        <f>SUMIF('数据-汇总表'!C$19:C$33,A7,'数据-汇总表'!E$19:E$33)</f>
        <v>32618.32</v>
      </c>
      <c r="L7" s="803">
        <v>4500</v>
      </c>
      <c r="M7" s="75">
        <f t="shared" si="0"/>
        <v>14678</v>
      </c>
      <c r="N7" s="801">
        <v>0.6</v>
      </c>
      <c r="O7" s="75">
        <f t="shared" ref="O7:O14" si="3">IF($N$5="成新度","——",ROUND(M7*N7,0))</f>
        <v>8807</v>
      </c>
      <c r="P7" s="76">
        <f t="shared" ref="P7:P14" si="4">IF($N$5="成新度","——",M7-O7)</f>
        <v>5871</v>
      </c>
      <c r="Q7" s="804">
        <v>0.25</v>
      </c>
      <c r="R7" s="77">
        <f ca="1">SUMIF('数据-汇总表'!C$19:C$33,A7,'数据-汇总表'!R$19:R$27)</f>
        <v>2248.0700000000002</v>
      </c>
      <c r="S7" s="54">
        <f>IF('数据-汇总表'!$I$17="按面积比例",SUMIF('数据-汇总表'!C$19:C$33,A7,'数据-汇总表'!K$19:K$33),SUMIF('数据-汇总表'!C$19:C$33,A7,'数据-汇总表'!N$19:N$33))</f>
        <v>1218.54</v>
      </c>
      <c r="T7" s="1440">
        <f t="shared" ref="T7:T13" si="5">ROUND($L$14*S7/10000,0)</f>
        <v>487</v>
      </c>
      <c r="U7" s="81">
        <v>5</v>
      </c>
      <c r="V7" s="74">
        <v>0.03</v>
      </c>
      <c r="W7" s="74">
        <v>0.1</v>
      </c>
      <c r="X7" s="1258"/>
      <c r="Y7" s="82">
        <v>1</v>
      </c>
      <c r="Z7" s="81"/>
      <c r="AA7" s="74"/>
      <c r="AB7" s="74"/>
      <c r="AC7" s="1258"/>
      <c r="AD7" s="82"/>
      <c r="AE7" s="1259">
        <f t="shared" ref="AE7:AE13" ca="1" si="6">IF(AN7="",0,SUMIF(INDIRECT("'"&amp;AN7&amp;"'"&amp;"!E:E"),$AE$5,INDIRECT("'"&amp;AN7&amp;"'"&amp;"!F:F")))</f>
        <v>31.54</v>
      </c>
      <c r="AF7" s="1800"/>
      <c r="AG7" s="147">
        <f t="shared" ref="AG7:AG13" si="7">IF(AF7="",0,AE7-AF7)</f>
        <v>0</v>
      </c>
      <c r="AH7" s="83"/>
      <c r="AI7" s="85">
        <v>365</v>
      </c>
      <c r="AJ7" s="86"/>
      <c r="AK7" s="87">
        <v>0.01</v>
      </c>
      <c r="AL7" s="88">
        <v>1E-3</v>
      </c>
      <c r="AM7" s="3358">
        <v>0.02</v>
      </c>
      <c r="AN7" s="2301" t="s">
        <v>3086</v>
      </c>
      <c r="AO7" s="55">
        <f t="shared" ref="AO7:AO13" ca="1" si="8">SUMIF(INDIRECT("'"&amp;AN7&amp;"'"&amp;"!A:A"),"总价",INDIRECT("'"&amp;AN7&amp;"'"&amp;"!B:B"))</f>
        <v>80137</v>
      </c>
      <c r="AP7" s="2302">
        <f t="shared" ref="AP7:AP13" si="9">IF(C7="住宅",K7*L7,0)</f>
        <v>0</v>
      </c>
      <c r="AQ7" s="55">
        <f t="shared" ref="AQ7:AQ13" si="10">ROUND($L$14*$N$14*S7/10000,0)</f>
        <v>292</v>
      </c>
      <c r="AR7" s="55">
        <f t="shared" ref="AR7:AR13" si="11">ROUND($L$14*(1-$N$14)*S7/10000,0)</f>
        <v>195</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办公</v>
      </c>
      <c r="B8" s="2299" t="str">
        <f t="shared" si="1"/>
        <v>经营性</v>
      </c>
      <c r="C8" s="2300" t="s">
        <v>1377</v>
      </c>
      <c r="D8" s="1048">
        <f>SUMIF(项目基本情况!D$12:I$12,C8,项目基本情况!D$14:I$14)</f>
        <v>40</v>
      </c>
      <c r="E8" s="1045">
        <f>IF(B8="","",SUMIF(项目基本情况!D$12:I$12,C8,项目基本情况!D$13:I$13))</f>
        <v>55395</v>
      </c>
      <c r="F8" s="72">
        <f>SUMIF(项目基本情况!D$12:I$12,C8,项目基本情况!D$15:I$15)</f>
        <v>33.04</v>
      </c>
      <c r="G8" s="73">
        <f t="shared" si="2"/>
        <v>0.93300000000000005</v>
      </c>
      <c r="H8" s="802">
        <v>0.05</v>
      </c>
      <c r="I8" s="802">
        <v>0.06</v>
      </c>
      <c r="J8" s="74">
        <v>8.5000000000000006E-2</v>
      </c>
      <c r="K8" s="1248">
        <f>SUMIF('数据-汇总表'!C$19:C$33,A8,'数据-汇总表'!E$19:E$33)</f>
        <v>82985.51999999999</v>
      </c>
      <c r="L8" s="803">
        <v>4000</v>
      </c>
      <c r="M8" s="75">
        <f>ROUND(K8*L8/10000,0)</f>
        <v>33194</v>
      </c>
      <c r="N8" s="801">
        <v>0.6</v>
      </c>
      <c r="O8" s="75">
        <f t="shared" si="3"/>
        <v>19916</v>
      </c>
      <c r="P8" s="76">
        <f t="shared" si="4"/>
        <v>13278</v>
      </c>
      <c r="Q8" s="804">
        <v>0.2</v>
      </c>
      <c r="R8" s="77">
        <f ca="1">SUMIF('数据-汇总表'!C$19:C$33,A8,'数据-汇总表'!R$19:R$27)</f>
        <v>5719.39</v>
      </c>
      <c r="S8" s="54">
        <f>IF('数据-汇总表'!$I$17="按面积比例",SUMIF('数据-汇总表'!C$19:C$33,A8,'数据-汇总表'!K$19:K$33),SUMIF('数据-汇总表'!C$19:C$33,A8,'数据-汇总表'!N$19:N$33))</f>
        <v>3100.13</v>
      </c>
      <c r="T8" s="1440">
        <f t="shared" si="5"/>
        <v>1240</v>
      </c>
      <c r="U8" s="81"/>
      <c r="V8" s="74"/>
      <c r="W8" s="74"/>
      <c r="X8" s="1258"/>
      <c r="Y8" s="82"/>
      <c r="Z8" s="81"/>
      <c r="AA8" s="74"/>
      <c r="AB8" s="74"/>
      <c r="AC8" s="1258"/>
      <c r="AD8" s="82"/>
      <c r="AE8" s="1259">
        <f t="shared" ca="1" si="6"/>
        <v>0</v>
      </c>
      <c r="AF8" s="1800"/>
      <c r="AG8" s="147">
        <f t="shared" si="7"/>
        <v>0</v>
      </c>
      <c r="AH8" s="805"/>
      <c r="AI8" s="85">
        <v>365</v>
      </c>
      <c r="AJ8" s="86"/>
      <c r="AK8" s="87">
        <v>0.01</v>
      </c>
      <c r="AL8" s="88">
        <v>1E-3</v>
      </c>
      <c r="AM8" s="3358">
        <v>0.02</v>
      </c>
      <c r="AN8" s="2301"/>
      <c r="AO8" s="55" t="e">
        <f t="shared" ca="1" si="8"/>
        <v>#REF!</v>
      </c>
      <c r="AP8" s="2302">
        <f t="shared" si="9"/>
        <v>0</v>
      </c>
      <c r="AQ8" s="55">
        <f t="shared" si="10"/>
        <v>744</v>
      </c>
      <c r="AR8" s="55">
        <f t="shared" si="11"/>
        <v>496</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t="str">
        <f>'数据-汇总表'!C22</f>
        <v>住宅</v>
      </c>
      <c r="B9" s="2299" t="str">
        <f t="shared" si="1"/>
        <v>经营性</v>
      </c>
      <c r="C9" s="2300" t="s">
        <v>3047</v>
      </c>
      <c r="D9" s="1048">
        <f>SUMIF(项目基本情况!D$12:I$12,C9,项目基本情况!D$14:I$14)</f>
        <v>40</v>
      </c>
      <c r="E9" s="1045">
        <f>IF(B9="","",SUMIF(项目基本情况!D$12:I$12,C9,项目基本情况!D$13:I$13))</f>
        <v>55395</v>
      </c>
      <c r="F9" s="72">
        <f>SUMIF(项目基本情况!D$12:I$12,C9,项目基本情况!D$15:I$15)</f>
        <v>33.04</v>
      </c>
      <c r="G9" s="73">
        <f t="shared" si="2"/>
        <v>0.92600000000000005</v>
      </c>
      <c r="H9" s="74">
        <v>4.4999999999999998E-2</v>
      </c>
      <c r="I9" s="74">
        <v>5.5E-2</v>
      </c>
      <c r="J9" s="74">
        <v>8.5000000000000006E-2</v>
      </c>
      <c r="K9" s="1248">
        <f>SUMIF('数据-汇总表'!C$19:C$33,A9,'数据-汇总表'!E$19:E$33)</f>
        <v>86542.98</v>
      </c>
      <c r="L9" s="803">
        <v>3500</v>
      </c>
      <c r="M9" s="75">
        <f t="shared" si="0"/>
        <v>30290</v>
      </c>
      <c r="N9" s="801">
        <v>0</v>
      </c>
      <c r="O9" s="75">
        <f t="shared" si="3"/>
        <v>0</v>
      </c>
      <c r="P9" s="76">
        <f t="shared" si="4"/>
        <v>30290</v>
      </c>
      <c r="Q9" s="90">
        <v>0.15</v>
      </c>
      <c r="R9" s="77">
        <f ca="1">SUMIF('数据-汇总表'!C$19:C$33,A9,'数据-汇总表'!R$19:R$27)</f>
        <v>6133.56</v>
      </c>
      <c r="S9" s="54">
        <f>IF('数据-汇总表'!$I$17="按面积比例",SUMIF('数据-汇总表'!C$19:C$33,A9,'数据-汇总表'!K$19:K$33),SUMIF('数据-汇总表'!C$19:C$33,A9,'数据-汇总表'!N$19:N$33))</f>
        <v>3233.03</v>
      </c>
      <c r="T9" s="1440">
        <f t="shared" si="5"/>
        <v>1293</v>
      </c>
      <c r="U9" s="81"/>
      <c r="V9" s="74"/>
      <c r="W9" s="74"/>
      <c r="X9" s="1258"/>
      <c r="Y9" s="82"/>
      <c r="Z9" s="81"/>
      <c r="AA9" s="74"/>
      <c r="AB9" s="74"/>
      <c r="AC9" s="1258"/>
      <c r="AD9" s="82"/>
      <c r="AE9" s="1259">
        <f t="shared" ca="1" si="6"/>
        <v>0</v>
      </c>
      <c r="AF9" s="1800"/>
      <c r="AG9" s="147">
        <f t="shared" si="7"/>
        <v>0</v>
      </c>
      <c r="AH9" s="83"/>
      <c r="AI9" s="85">
        <v>365</v>
      </c>
      <c r="AJ9" s="86"/>
      <c r="AK9" s="87">
        <v>0.01</v>
      </c>
      <c r="AL9" s="88">
        <v>1E-3</v>
      </c>
      <c r="AM9" s="3358">
        <v>0.02</v>
      </c>
      <c r="AN9" s="2301"/>
      <c r="AO9" s="55" t="e">
        <f t="shared" ca="1" si="8"/>
        <v>#REF!</v>
      </c>
      <c r="AP9" s="2302">
        <f t="shared" si="9"/>
        <v>302900430</v>
      </c>
      <c r="AQ9" s="55">
        <f t="shared" si="10"/>
        <v>776</v>
      </c>
      <c r="AR9" s="55">
        <f t="shared" si="11"/>
        <v>517</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t="str">
        <f>'数据-汇总表'!C23</f>
        <v>地下车位</v>
      </c>
      <c r="B10" s="2299" t="str">
        <f t="shared" si="1"/>
        <v>经营性</v>
      </c>
      <c r="C10" s="2300" t="s">
        <v>3055</v>
      </c>
      <c r="D10" s="1048">
        <f>SUMIF(项目基本情况!D$12:I$12,C10,项目基本情况!D$14:I$14)</f>
        <v>40</v>
      </c>
      <c r="E10" s="1045">
        <f>IF(B10="","",SUMIF(项目基本情况!D$12:I$12,C10,项目基本情况!D$13:I$13))</f>
        <v>55395</v>
      </c>
      <c r="F10" s="72">
        <f>SUMIF(项目基本情况!D$12:I$12,C10,项目基本情况!D$15:I$15)</f>
        <v>33.04</v>
      </c>
      <c r="G10" s="73">
        <f t="shared" si="2"/>
        <v>0.92600000000000005</v>
      </c>
      <c r="H10" s="3362">
        <v>4.4999999999999998E-2</v>
      </c>
      <c r="I10" s="3362">
        <v>5.5E-2</v>
      </c>
      <c r="J10" s="74">
        <v>8.5000000000000006E-2</v>
      </c>
      <c r="K10" s="1248">
        <f>SUMIF('数据-汇总表'!C$19:C$33,A10,'数据-汇总表'!E$19:E$33)</f>
        <v>115386.06</v>
      </c>
      <c r="L10" s="803">
        <v>4000</v>
      </c>
      <c r="M10" s="75">
        <f t="shared" si="0"/>
        <v>46154</v>
      </c>
      <c r="N10" s="801">
        <v>0.65</v>
      </c>
      <c r="O10" s="75">
        <f t="shared" si="3"/>
        <v>30000</v>
      </c>
      <c r="P10" s="76">
        <f t="shared" si="4"/>
        <v>16154</v>
      </c>
      <c r="Q10" s="90">
        <v>0.05</v>
      </c>
      <c r="R10" s="77">
        <f ca="1">SUMIF('数据-汇总表'!C$19:C$33,A10,'数据-汇总表'!R$19:R$27)</f>
        <v>7952.4400000000005</v>
      </c>
      <c r="S10" s="54">
        <f>IF('数据-汇总表'!$I$17="按面积比例",SUMIF('数据-汇总表'!C$19:C$33,A10,'数据-汇总表'!K$19:K$33),SUMIF('数据-汇总表'!C$19:C$33,A10,'数据-汇总表'!N$19:N$33))</f>
        <v>4310.53</v>
      </c>
      <c r="T10" s="1440">
        <f t="shared" si="5"/>
        <v>1724</v>
      </c>
      <c r="U10" s="81">
        <v>1</v>
      </c>
      <c r="V10" s="74">
        <v>0.03</v>
      </c>
      <c r="W10" s="74">
        <v>0.1</v>
      </c>
      <c r="X10" s="1258"/>
      <c r="Y10" s="82">
        <v>1</v>
      </c>
      <c r="Z10" s="81"/>
      <c r="AA10" s="74"/>
      <c r="AB10" s="74"/>
      <c r="AC10" s="1258"/>
      <c r="AD10" s="82"/>
      <c r="AE10" s="1259">
        <f t="shared" ca="1" si="6"/>
        <v>31.54</v>
      </c>
      <c r="AF10" s="1800"/>
      <c r="AG10" s="147">
        <f t="shared" si="7"/>
        <v>0</v>
      </c>
      <c r="AH10" s="83"/>
      <c r="AI10" s="85">
        <v>365</v>
      </c>
      <c r="AJ10" s="86"/>
      <c r="AK10" s="87">
        <v>0.01</v>
      </c>
      <c r="AL10" s="88">
        <v>1E-3</v>
      </c>
      <c r="AM10" s="3358">
        <v>0.02</v>
      </c>
      <c r="AN10" s="2301" t="s">
        <v>3087</v>
      </c>
      <c r="AO10" s="55">
        <f t="shared" ca="1" si="8"/>
        <v>48628</v>
      </c>
      <c r="AP10" s="2302">
        <f t="shared" si="9"/>
        <v>0</v>
      </c>
      <c r="AQ10" s="55">
        <f t="shared" si="10"/>
        <v>1035</v>
      </c>
      <c r="AR10" s="55">
        <f t="shared" si="11"/>
        <v>690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2010</v>
      </c>
      <c r="B14" s="2299" t="s">
        <v>2011</v>
      </c>
      <c r="C14" s="2304" t="s">
        <v>2010</v>
      </c>
      <c r="D14" s="1048"/>
      <c r="E14" s="1045"/>
      <c r="F14" s="72"/>
      <c r="G14" s="73"/>
      <c r="H14" s="1247"/>
      <c r="I14" s="1247"/>
      <c r="J14" s="1247"/>
      <c r="K14" s="1248">
        <f>SUMIF('数据-汇总表'!C$19:C$33,A14,'数据-汇总表'!E$19:E$33)</f>
        <v>13533.080000000002</v>
      </c>
      <c r="L14" s="91">
        <v>4000</v>
      </c>
      <c r="M14" s="75">
        <f t="shared" si="0"/>
        <v>5413</v>
      </c>
      <c r="N14" s="92">
        <v>0.6</v>
      </c>
      <c r="O14" s="75">
        <f t="shared" si="3"/>
        <v>3248</v>
      </c>
      <c r="P14" s="76">
        <f t="shared" si="4"/>
        <v>2165</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2012</v>
      </c>
      <c r="B15" s="2299" t="s">
        <v>2011</v>
      </c>
      <c r="C15" s="2304" t="s">
        <v>2013</v>
      </c>
      <c r="D15" s="1048"/>
      <c r="E15" s="1045"/>
      <c r="F15" s="72"/>
      <c r="G15" s="73"/>
      <c r="H15" s="1247"/>
      <c r="I15" s="1247"/>
      <c r="J15" s="1247"/>
      <c r="K15" s="1248">
        <f>SUMIF('数据-汇总表'!C$19:C$33,A15,'数据-汇总表'!E$19:E$33)</f>
        <v>2543.58</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2014</v>
      </c>
      <c r="B16" s="97"/>
      <c r="C16" s="1002"/>
      <c r="D16" s="2306"/>
      <c r="E16" s="97"/>
      <c r="F16" s="97"/>
      <c r="G16" s="98">
        <f>ROUND(SUMPRODUCT(G6:G13,K6:K13)/SUMPRODUCT((G6:G13&gt;0)*(K6:K13)),3)</f>
        <v>0.92900000000000005</v>
      </c>
      <c r="H16" s="99">
        <f>ROUND(SUMPRODUCT(H6:H13,K6:K13)/SUMPRODUCT((H6:H13&gt;0)*(K6:K13)),3)</f>
        <v>4.7E-2</v>
      </c>
      <c r="I16" s="100"/>
      <c r="J16" s="100"/>
      <c r="K16" s="101">
        <f>SUM(K6:K15)</f>
        <v>378335.59</v>
      </c>
      <c r="L16" s="102">
        <f>ROUND(M16*10000/SUM(K6:K14),0)</f>
        <v>3988</v>
      </c>
      <c r="M16" s="102">
        <f>SUM(M6:M14)</f>
        <v>149856</v>
      </c>
      <c r="N16" s="103">
        <f>ROUND(SUMPRODUCT(M6:M14,N6:N14)/M16,3)</f>
        <v>0.49399999999999999</v>
      </c>
      <c r="O16" s="102">
        <f>SUM(O6:O14)</f>
        <v>74047</v>
      </c>
      <c r="P16" s="102">
        <f>SUM(P6:P14)</f>
        <v>75809</v>
      </c>
      <c r="Q16" s="104">
        <f>ROUND(SUMPRODUCT(Q6:Q13,K6:K13)/SUMPRODUCT((Q6:Q13&gt;0)*(K6:K13)),2)</f>
        <v>0.15</v>
      </c>
      <c r="R16" s="1252">
        <f ca="1">SUM(R6:R13)</f>
        <v>25136</v>
      </c>
      <c r="S16" s="105">
        <f>SUM(S6:S13)</f>
        <v>13533.080000000002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77"/>
      <c r="D17" s="2265"/>
      <c r="E17" s="2265"/>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2"/>
      <c r="C18" s="2269"/>
      <c r="D18" s="2270"/>
      <c r="E18" s="2269"/>
      <c r="F18" s="2269"/>
      <c r="G18" s="2269"/>
      <c r="H18" s="2269"/>
      <c r="I18" s="2269"/>
      <c r="J18" s="2269"/>
      <c r="K18" s="168"/>
      <c r="L18" s="168"/>
      <c r="M18" s="1577"/>
      <c r="N18" s="1577"/>
      <c r="O18" s="1577"/>
      <c r="P18" s="1577"/>
      <c r="Q18" s="1577"/>
      <c r="R18" s="1577"/>
      <c r="S18" s="1577"/>
      <c r="T18" s="1577"/>
      <c r="U18" s="1577"/>
      <c r="V18" s="1577"/>
      <c r="W18" s="3010" t="s">
        <v>4261</v>
      </c>
      <c r="X18" s="1577"/>
      <c r="Y18" s="1577"/>
      <c r="Z18" s="1577"/>
      <c r="AA18" s="1577"/>
      <c r="AB18" s="1577"/>
      <c r="AC18" s="1577"/>
      <c r="AD18" s="1577"/>
      <c r="AE18" s="1577"/>
      <c r="AF18" s="1577"/>
      <c r="AG18" s="1577"/>
      <c r="AH18" s="1577"/>
      <c r="AI18" s="1577"/>
      <c r="AJ18" s="1577"/>
      <c r="AK18" s="1577"/>
      <c r="AL18" s="1577"/>
      <c r="AM18" s="1577"/>
    </row>
    <row r="19" spans="1:67" ht="14.25">
      <c r="A19" s="2308" t="s">
        <v>2016</v>
      </c>
      <c r="B19" s="112">
        <v>0</v>
      </c>
      <c r="C19" s="2269" t="s">
        <v>2017</v>
      </c>
      <c r="D19" s="2270"/>
      <c r="E19" s="2269"/>
      <c r="F19" s="2269"/>
      <c r="G19" s="2269"/>
      <c r="H19" s="2269"/>
      <c r="I19" s="2269"/>
      <c r="J19" s="2269"/>
      <c r="K19" s="2963" t="s">
        <v>3063</v>
      </c>
      <c r="L19" s="3106" t="s">
        <v>3064</v>
      </c>
      <c r="M19" s="3106"/>
      <c r="N19" s="3106"/>
      <c r="O19" s="3107" t="s">
        <v>3065</v>
      </c>
      <c r="P19" s="3107"/>
      <c r="Q19" s="1577"/>
      <c r="R19" s="1577"/>
      <c r="S19" s="1577"/>
      <c r="T19" s="1577"/>
      <c r="U19" s="1577">
        <v>1</v>
      </c>
      <c r="V19" s="1577">
        <v>1</v>
      </c>
      <c r="W19" s="1577">
        <v>6</v>
      </c>
      <c r="X19" s="1577"/>
      <c r="Y19" s="1577"/>
      <c r="Z19" s="1577"/>
      <c r="AA19" s="1577"/>
      <c r="AB19" s="1577"/>
      <c r="AC19" s="1577"/>
      <c r="AD19" s="1577"/>
      <c r="AE19" s="1577"/>
      <c r="AF19" s="1577"/>
      <c r="AG19" s="1577"/>
      <c r="AH19" s="1577"/>
      <c r="AI19" s="1577"/>
      <c r="AJ19" s="1577"/>
      <c r="AK19" s="1577"/>
      <c r="AL19" s="1577"/>
      <c r="AM19" s="1577"/>
    </row>
    <row r="20" spans="1:67" ht="14.25">
      <c r="A20" s="2309" t="s">
        <v>2018</v>
      </c>
      <c r="B20" s="3353">
        <v>3.5</v>
      </c>
      <c r="C20" s="2269" t="s">
        <v>2019</v>
      </c>
      <c r="D20" s="2270"/>
      <c r="E20" s="2269"/>
      <c r="F20" s="2269"/>
      <c r="G20" s="2269"/>
      <c r="H20" s="2269"/>
      <c r="I20" s="2269"/>
      <c r="J20" s="2269"/>
      <c r="K20" s="2964"/>
      <c r="L20" s="2965" t="s">
        <v>3066</v>
      </c>
      <c r="M20" s="2965" t="s">
        <v>3067</v>
      </c>
      <c r="N20" s="2965" t="s">
        <v>3068</v>
      </c>
      <c r="O20" s="3108"/>
      <c r="P20" s="3108"/>
      <c r="Q20" s="1577"/>
      <c r="R20" s="1577"/>
      <c r="S20" s="1577"/>
      <c r="T20" s="1577"/>
      <c r="U20" s="1577">
        <v>2</v>
      </c>
      <c r="V20" s="1577">
        <v>0.5</v>
      </c>
      <c r="W20" s="1577">
        <f>V20*$W$19</f>
        <v>3</v>
      </c>
      <c r="X20" s="1577"/>
      <c r="Y20" s="1577"/>
      <c r="Z20" s="1577"/>
      <c r="AA20" s="1577"/>
      <c r="AB20" s="1577"/>
      <c r="AC20" s="1577"/>
      <c r="AD20" s="1577"/>
      <c r="AE20" s="1577"/>
      <c r="AF20" s="1577"/>
      <c r="AG20" s="1577"/>
      <c r="AH20" s="1577"/>
      <c r="AI20" s="1577"/>
      <c r="AJ20" s="1577"/>
      <c r="AK20" s="1577"/>
      <c r="AL20" s="1577"/>
      <c r="AM20" s="1577"/>
    </row>
    <row r="21" spans="1:67" ht="14.25">
      <c r="A21" s="2310" t="s">
        <v>2020</v>
      </c>
      <c r="B21" s="113">
        <v>2</v>
      </c>
      <c r="C21" s="2269"/>
      <c r="D21" s="2270"/>
      <c r="E21" s="2269"/>
      <c r="F21" s="2269"/>
      <c r="G21" s="2269"/>
      <c r="H21" s="2269"/>
      <c r="I21" s="2269"/>
      <c r="J21" s="2269"/>
      <c r="K21" s="2966" t="s">
        <v>3069</v>
      </c>
      <c r="L21" s="2966" t="s">
        <v>3070</v>
      </c>
      <c r="M21" s="2966" t="s">
        <v>3071</v>
      </c>
      <c r="N21" s="2966" t="s">
        <v>3072</v>
      </c>
      <c r="O21" s="3109"/>
      <c r="P21" s="3109"/>
      <c r="Q21" s="1577"/>
      <c r="R21" s="1577"/>
      <c r="S21" s="1577"/>
      <c r="T21" s="1577"/>
      <c r="U21" s="1577">
        <v>3</v>
      </c>
      <c r="V21" s="1577">
        <v>0.45</v>
      </c>
      <c r="W21" s="1577">
        <f t="shared" ref="W21:W23" si="12">V21*$W$19</f>
        <v>2.7</v>
      </c>
      <c r="X21" s="1577"/>
      <c r="Y21" s="1577"/>
      <c r="Z21" s="1577"/>
      <c r="AA21" s="1577"/>
      <c r="AB21" s="1577"/>
      <c r="AC21" s="1577"/>
      <c r="AD21" s="1577"/>
      <c r="AE21" s="1577"/>
      <c r="AF21" s="1577"/>
      <c r="AG21" s="1577"/>
      <c r="AH21" s="1577"/>
      <c r="AI21" s="1577"/>
      <c r="AJ21" s="1577"/>
      <c r="AK21" s="1577"/>
      <c r="AL21" s="1577"/>
      <c r="AM21" s="1577"/>
    </row>
    <row r="22" spans="1:67" ht="14.25">
      <c r="A22" s="2309" t="s">
        <v>2021</v>
      </c>
      <c r="B22" s="114">
        <f>B19+B20</f>
        <v>3.5</v>
      </c>
      <c r="C22" s="2269"/>
      <c r="D22" s="2270"/>
      <c r="E22" s="2269"/>
      <c r="F22" s="2269"/>
      <c r="G22" s="2269"/>
      <c r="H22" s="2269"/>
      <c r="I22" s="2269"/>
      <c r="J22" s="2269"/>
      <c r="K22" s="168"/>
      <c r="L22" s="168"/>
      <c r="M22" s="1577"/>
      <c r="N22" s="1577"/>
      <c r="O22" s="1577"/>
      <c r="P22" s="1577"/>
      <c r="Q22" s="1577"/>
      <c r="R22" s="1577"/>
      <c r="S22" s="1577"/>
      <c r="T22" s="1577"/>
      <c r="U22" s="1577">
        <v>4</v>
      </c>
      <c r="V22" s="1577">
        <v>0.4</v>
      </c>
      <c r="W22" s="1577">
        <f t="shared" si="12"/>
        <v>2.4000000000000004</v>
      </c>
      <c r="X22" s="1577"/>
      <c r="Y22" s="1577"/>
      <c r="Z22" s="1577"/>
      <c r="AA22" s="1577"/>
      <c r="AB22" s="1577"/>
      <c r="AC22" s="1577"/>
      <c r="AD22" s="1577"/>
      <c r="AE22" s="1577"/>
      <c r="AF22" s="1577"/>
      <c r="AG22" s="1577"/>
      <c r="AH22" s="1577"/>
      <c r="AI22" s="1577"/>
      <c r="AJ22" s="1577"/>
      <c r="AK22" s="1577"/>
      <c r="AL22" s="1577"/>
      <c r="AM22" s="1577"/>
    </row>
    <row r="23" spans="1:67" ht="14.25">
      <c r="A23" s="2310" t="s">
        <v>2022</v>
      </c>
      <c r="B23" s="114">
        <f>B19+B21</f>
        <v>2</v>
      </c>
      <c r="C23" s="2269"/>
      <c r="D23" s="2270"/>
      <c r="E23" s="2269"/>
      <c r="F23" s="2269"/>
      <c r="G23" s="2269"/>
      <c r="H23" s="2269"/>
      <c r="I23" s="2269"/>
      <c r="J23" s="2269"/>
      <c r="K23" s="168"/>
      <c r="L23" s="168"/>
      <c r="M23" s="1577"/>
      <c r="N23" s="1577"/>
      <c r="O23" s="1577"/>
      <c r="P23" s="1577"/>
      <c r="Q23" s="1577"/>
      <c r="R23" s="1577"/>
      <c r="S23" s="1577"/>
      <c r="T23" s="1577"/>
      <c r="U23" s="1577">
        <v>5</v>
      </c>
      <c r="V23" s="1577">
        <v>0.35</v>
      </c>
      <c r="W23" s="1577">
        <f t="shared" si="12"/>
        <v>2.0999999999999996</v>
      </c>
      <c r="X23" s="1577"/>
      <c r="Y23" s="1577"/>
      <c r="Z23" s="1577"/>
      <c r="AA23" s="1577"/>
      <c r="AB23" s="1577"/>
      <c r="AC23" s="1577"/>
      <c r="AD23" s="1577"/>
      <c r="AE23" s="1577"/>
      <c r="AF23" s="1577"/>
      <c r="AG23" s="1577"/>
      <c r="AH23" s="1577"/>
      <c r="AI23" s="1577"/>
      <c r="AJ23" s="1577"/>
      <c r="AK23" s="1577"/>
      <c r="AL23" s="1577"/>
      <c r="AM23" s="1577"/>
    </row>
    <row r="24" spans="1:67" ht="15" thickBot="1">
      <c r="A24" s="2311" t="s">
        <v>2023</v>
      </c>
      <c r="B24" s="115">
        <f>B20-B21</f>
        <v>1.5</v>
      </c>
      <c r="C24" s="2269"/>
      <c r="D24" s="2270"/>
      <c r="E24" s="2269"/>
      <c r="F24" s="2269"/>
      <c r="G24" s="2269"/>
      <c r="H24" s="2269"/>
      <c r="I24" s="2269"/>
      <c r="J24" s="2269"/>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2024</v>
      </c>
      <c r="B26" s="2312" t="s">
        <v>2025</v>
      </c>
      <c r="C26" s="2313" t="s">
        <v>2026</v>
      </c>
      <c r="D26" s="2270"/>
      <c r="E26" s="2269"/>
      <c r="F26" s="2269"/>
      <c r="G26" s="2269"/>
      <c r="H26" s="2269"/>
      <c r="I26" s="2269"/>
      <c r="J26" s="2269"/>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2027</v>
      </c>
      <c r="B27" s="116">
        <v>290</v>
      </c>
      <c r="C27" s="2967" t="s">
        <v>3073</v>
      </c>
      <c r="D27" s="2315"/>
      <c r="E27" s="1424"/>
      <c r="F27" s="1424"/>
      <c r="G27" s="2269"/>
      <c r="H27" s="2269"/>
      <c r="I27" s="2269"/>
      <c r="J27" s="2269"/>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2028</v>
      </c>
      <c r="B28" s="119">
        <v>290</v>
      </c>
      <c r="C28" s="2318"/>
      <c r="D28" s="2315"/>
      <c r="E28" s="1424"/>
      <c r="F28" s="1424"/>
      <c r="G28" s="2269"/>
      <c r="H28" s="2269"/>
      <c r="I28" s="2269"/>
      <c r="J28" s="2269"/>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2029</v>
      </c>
      <c r="B29" s="121">
        <v>8506</v>
      </c>
      <c r="C29" s="1760" t="s">
        <v>2030</v>
      </c>
      <c r="D29" s="2315"/>
      <c r="E29" s="1424"/>
      <c r="F29" s="1424"/>
      <c r="G29" s="2269"/>
      <c r="H29" s="2269"/>
      <c r="I29" s="2269"/>
      <c r="J29" s="2269"/>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2031</v>
      </c>
      <c r="B30" s="724">
        <v>200</v>
      </c>
      <c r="C30" s="2318"/>
      <c r="D30" s="2315"/>
      <c r="E30" s="1424"/>
      <c r="F30" s="1424"/>
      <c r="G30" s="2269"/>
      <c r="H30" s="2269"/>
      <c r="I30" s="2269"/>
      <c r="J30" s="2269"/>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2032</v>
      </c>
      <c r="B31" s="120">
        <f>B30-B32</f>
        <v>200</v>
      </c>
      <c r="C31" s="1760"/>
      <c r="D31" s="2315"/>
      <c r="E31" s="1424"/>
      <c r="F31" s="1424"/>
      <c r="G31" s="2269"/>
      <c r="H31" s="2269"/>
      <c r="I31" s="2269"/>
      <c r="J31" s="2269"/>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2033</v>
      </c>
      <c r="B32" s="725"/>
      <c r="C32" s="2318"/>
      <c r="D32" s="2270"/>
      <c r="E32" s="2269"/>
      <c r="F32" s="2269"/>
      <c r="G32" s="2269"/>
      <c r="H32" s="2269"/>
      <c r="I32" s="2269"/>
      <c r="J32" s="2269"/>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2034</v>
      </c>
      <c r="B33" s="726">
        <v>0.03</v>
      </c>
      <c r="C33" s="1759" t="s">
        <v>2035</v>
      </c>
      <c r="D33" s="2270"/>
      <c r="E33" s="2269"/>
      <c r="F33" s="2269"/>
      <c r="G33" s="2269"/>
      <c r="H33" s="2269"/>
      <c r="I33" s="2269"/>
      <c r="J33" s="2269"/>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2036</v>
      </c>
      <c r="B34" s="122">
        <v>0.03</v>
      </c>
      <c r="C34" s="1759" t="s">
        <v>2037</v>
      </c>
      <c r="D34" s="2270" t="s">
        <v>2038</v>
      </c>
      <c r="E34" s="732"/>
      <c r="F34" s="2269"/>
      <c r="G34" s="2269"/>
      <c r="H34" s="2269"/>
      <c r="I34" s="2269"/>
      <c r="J34" s="2269"/>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2039</v>
      </c>
      <c r="B35" s="119">
        <v>200</v>
      </c>
      <c r="C35" s="1759" t="s">
        <v>2040</v>
      </c>
      <c r="D35" s="2315"/>
      <c r="E35" s="1424"/>
      <c r="F35" s="1424"/>
      <c r="G35" s="2269"/>
      <c r="H35" s="2269"/>
      <c r="I35" s="2269"/>
      <c r="J35" s="2269"/>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2041</v>
      </c>
      <c r="B36" s="123">
        <v>1.4999999999999999E-2</v>
      </c>
      <c r="C36" s="1759" t="s">
        <v>2042</v>
      </c>
      <c r="D36" s="2270"/>
      <c r="E36" s="2269"/>
      <c r="F36" s="2269"/>
      <c r="G36" s="2269"/>
      <c r="H36" s="2269"/>
      <c r="I36" s="2269"/>
      <c r="J36" s="2269"/>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2043</v>
      </c>
      <c r="B37" s="124">
        <v>0.02</v>
      </c>
      <c r="C37" s="1759" t="s">
        <v>2044</v>
      </c>
      <c r="D37" s="2270"/>
      <c r="E37" s="2269"/>
      <c r="F37" s="2269"/>
      <c r="G37" s="2269"/>
      <c r="H37" s="2269"/>
      <c r="I37" s="2269"/>
      <c r="J37" s="2269"/>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2045</v>
      </c>
      <c r="B38" s="3354">
        <v>0.05</v>
      </c>
      <c r="C38" s="1759" t="s">
        <v>2044</v>
      </c>
      <c r="D38" s="2270"/>
      <c r="E38" s="2269"/>
      <c r="F38" s="2269"/>
      <c r="G38" s="2269"/>
      <c r="H38" s="2269"/>
      <c r="I38" s="2269"/>
      <c r="J38" s="2269"/>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2046</v>
      </c>
      <c r="B39" s="362">
        <f ca="1">存贷款利率!I1</f>
        <v>1.4999999999999999E-2</v>
      </c>
      <c r="C39" s="1759"/>
      <c r="D39" s="2270"/>
      <c r="E39" s="2269"/>
      <c r="F39" s="2269"/>
      <c r="G39" s="2269"/>
      <c r="H39" s="2269"/>
      <c r="I39" s="2269"/>
      <c r="J39" s="2269"/>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2047</v>
      </c>
      <c r="B40" s="1297">
        <f ca="1">存贷款利率!G1</f>
        <v>4.7500000000000001E-2</v>
      </c>
      <c r="C40" s="1759" t="s">
        <v>2048</v>
      </c>
      <c r="D40" s="1577"/>
      <c r="E40" s="2270"/>
      <c r="F40" s="2269"/>
      <c r="G40" s="2269"/>
      <c r="H40" s="2269"/>
      <c r="I40" s="2269"/>
      <c r="J40" s="2269"/>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2049</v>
      </c>
      <c r="B41" s="125">
        <f>B42+B43</f>
        <v>5.6000000000000001E-2</v>
      </c>
      <c r="C41" s="1760"/>
      <c r="D41" s="1577"/>
      <c r="E41" s="2270"/>
      <c r="F41" s="2269"/>
      <c r="G41" s="2269"/>
      <c r="H41" s="2269"/>
      <c r="I41" s="2269"/>
      <c r="J41" s="2269"/>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2050</v>
      </c>
      <c r="B42" s="126">
        <v>0.05</v>
      </c>
      <c r="C42" s="2323">
        <f>IF(B2&lt;DATE(2016,5,1),0,B42)</f>
        <v>0.05</v>
      </c>
      <c r="D42" s="2270"/>
      <c r="E42" s="2269"/>
      <c r="F42" s="2269"/>
      <c r="G42" s="2269"/>
      <c r="H42" s="2269"/>
      <c r="I42" s="2269"/>
      <c r="J42" s="2269"/>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2051</v>
      </c>
      <c r="B43" s="127">
        <f>B42*(B44+B45+B46)+B47</f>
        <v>6.000000000000001E-3</v>
      </c>
      <c r="C43" s="1760"/>
      <c r="D43" s="2270"/>
      <c r="E43" s="2269"/>
      <c r="F43" s="2269"/>
      <c r="G43" s="2269"/>
      <c r="H43" s="2269"/>
      <c r="I43" s="2269"/>
      <c r="J43" s="2269"/>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2052</v>
      </c>
      <c r="B44" s="128">
        <v>7.0000000000000007E-2</v>
      </c>
      <c r="C44" s="1759" t="s">
        <v>2053</v>
      </c>
      <c r="D44" s="2270"/>
      <c r="E44" s="2269"/>
      <c r="F44" s="2269"/>
      <c r="G44" s="2269"/>
      <c r="H44" s="2269"/>
      <c r="I44" s="2269"/>
      <c r="J44" s="2269"/>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2054</v>
      </c>
      <c r="B45" s="126">
        <v>0.03</v>
      </c>
      <c r="C45" s="1760" t="s">
        <v>2055</v>
      </c>
      <c r="D45" s="2270"/>
      <c r="E45" s="2269"/>
      <c r="F45" s="2269"/>
      <c r="G45" s="2269"/>
      <c r="H45" s="2269"/>
      <c r="I45" s="2269"/>
      <c r="J45" s="2269"/>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2056</v>
      </c>
      <c r="B46" s="126">
        <v>0.02</v>
      </c>
      <c r="C46" s="1760" t="s">
        <v>2057</v>
      </c>
      <c r="D46" s="2270"/>
      <c r="E46" s="2269"/>
      <c r="F46" s="2269"/>
      <c r="G46" s="2269"/>
      <c r="H46" s="2269"/>
      <c r="I46" s="2269"/>
      <c r="J46" s="2269"/>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2058</v>
      </c>
      <c r="B47" s="129">
        <v>0</v>
      </c>
      <c r="C47" s="1760" t="s">
        <v>2059</v>
      </c>
      <c r="D47" s="2270"/>
      <c r="E47" s="2269"/>
      <c r="F47" s="2269"/>
      <c r="G47" s="2269"/>
      <c r="H47" s="2269"/>
      <c r="I47" s="2269"/>
      <c r="J47" s="2269"/>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2060</v>
      </c>
      <c r="B48" s="130">
        <v>0.03</v>
      </c>
      <c r="C48" s="1767" t="s">
        <v>2061</v>
      </c>
      <c r="D48" s="2270"/>
      <c r="E48" s="2269"/>
      <c r="F48" s="2269"/>
      <c r="G48" s="2269"/>
      <c r="H48" s="2269"/>
      <c r="I48" s="2269"/>
      <c r="J48" s="2269"/>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2062</v>
      </c>
      <c r="B49" s="126">
        <v>5.0000000000000001E-4</v>
      </c>
      <c r="C49" s="1767" t="s">
        <v>2063</v>
      </c>
      <c r="D49" s="2270"/>
      <c r="E49" s="2269"/>
      <c r="F49" s="2269"/>
      <c r="G49" s="2269"/>
      <c r="H49" s="2269"/>
      <c r="I49" s="2269"/>
      <c r="J49" s="2269"/>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2064</v>
      </c>
      <c r="B50" s="131">
        <v>1.2E-2</v>
      </c>
      <c r="C50" s="1424"/>
      <c r="D50" s="2270"/>
      <c r="E50" s="2269"/>
      <c r="F50" s="2269"/>
      <c r="G50" s="2269"/>
      <c r="H50" s="2269"/>
      <c r="I50" s="2269"/>
      <c r="J50" s="2269"/>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2065</v>
      </c>
      <c r="B51" s="132">
        <v>0.12</v>
      </c>
      <c r="C51" s="1424"/>
      <c r="D51" s="2270"/>
      <c r="E51" s="2269"/>
      <c r="F51" s="2269"/>
      <c r="G51" s="2269"/>
      <c r="H51" s="2269"/>
      <c r="I51" s="2269"/>
      <c r="J51" s="2269"/>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2066</v>
      </c>
      <c r="B52" s="133">
        <f>SUMIF(A54:A63,B53,B54:B63)</f>
        <v>20</v>
      </c>
      <c r="C52" s="1424"/>
      <c r="D52" s="2270"/>
      <c r="E52" s="2269"/>
      <c r="F52" s="2269"/>
      <c r="G52" s="2269"/>
      <c r="H52" s="2269"/>
      <c r="I52" s="2269"/>
      <c r="J52" s="2269"/>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2067</v>
      </c>
      <c r="B53" s="2328" t="s">
        <v>212</v>
      </c>
      <c r="C53" s="1424" t="s">
        <v>2068</v>
      </c>
      <c r="D53" s="2329" t="s">
        <v>2069</v>
      </c>
      <c r="E53" s="2269"/>
      <c r="F53" s="2269"/>
      <c r="G53" s="2269"/>
      <c r="H53" s="2269"/>
      <c r="I53" s="2269"/>
      <c r="J53" s="2269"/>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2070</v>
      </c>
      <c r="B54" s="84">
        <v>20</v>
      </c>
      <c r="C54" s="1424">
        <v>30</v>
      </c>
      <c r="D54" s="2270"/>
      <c r="E54" s="2269"/>
      <c r="F54" s="2269"/>
      <c r="G54" s="2269"/>
      <c r="H54" s="2269"/>
      <c r="I54" s="2269"/>
      <c r="J54" s="2269"/>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2071</v>
      </c>
      <c r="B55" s="84"/>
      <c r="C55" s="1424">
        <v>24</v>
      </c>
      <c r="D55" s="2270"/>
      <c r="E55" s="2269"/>
      <c r="F55" s="2269"/>
      <c r="G55" s="2269"/>
      <c r="H55" s="2269"/>
      <c r="I55" s="2331"/>
      <c r="J55" s="2269"/>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2072</v>
      </c>
      <c r="B56" s="84"/>
      <c r="C56" s="1424">
        <v>18</v>
      </c>
      <c r="D56" s="2270"/>
      <c r="E56" s="2269"/>
      <c r="F56" s="2269"/>
      <c r="G56" s="2269"/>
      <c r="H56" s="2269"/>
      <c r="I56" s="2269"/>
      <c r="J56" s="2269"/>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2073</v>
      </c>
      <c r="B57" s="84"/>
      <c r="C57" s="1424">
        <v>12</v>
      </c>
      <c r="D57" s="2270"/>
      <c r="E57" s="2269"/>
      <c r="F57" s="2269"/>
      <c r="G57" s="2269"/>
      <c r="H57" s="2269"/>
      <c r="I57" s="2269"/>
      <c r="J57" s="2269"/>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2074</v>
      </c>
      <c r="B58" s="84"/>
      <c r="C58" s="1424">
        <v>3</v>
      </c>
      <c r="D58" s="2270"/>
      <c r="E58" s="2269"/>
      <c r="F58" s="2269"/>
      <c r="G58" s="2269"/>
      <c r="H58" s="2269"/>
      <c r="I58" s="2269"/>
      <c r="J58" s="2269"/>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2075</v>
      </c>
      <c r="B59" s="84"/>
      <c r="C59" s="1424">
        <v>1.5</v>
      </c>
      <c r="D59" s="2270"/>
      <c r="E59" s="2269"/>
      <c r="F59" s="2269"/>
      <c r="G59" s="2269"/>
      <c r="H59" s="2269"/>
      <c r="I59" s="2269"/>
      <c r="J59" s="2269"/>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2076</v>
      </c>
      <c r="B60" s="84"/>
      <c r="C60" s="2269"/>
      <c r="D60" s="2270"/>
      <c r="E60" s="2269"/>
      <c r="F60" s="2269"/>
      <c r="G60" s="2269"/>
      <c r="H60" s="2269"/>
      <c r="I60" s="2269"/>
      <c r="J60" s="2269"/>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2077</v>
      </c>
      <c r="B61" s="84"/>
      <c r="C61" s="2269"/>
      <c r="D61" s="2270"/>
      <c r="E61" s="2269"/>
      <c r="F61" s="2269"/>
      <c r="G61" s="2269"/>
      <c r="H61" s="2269"/>
      <c r="I61" s="2269"/>
      <c r="J61" s="2269"/>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2078</v>
      </c>
      <c r="B62" s="84"/>
      <c r="C62" s="2269"/>
      <c r="D62" s="2270"/>
      <c r="E62" s="2269"/>
      <c r="F62" s="2269"/>
      <c r="G62" s="2269"/>
      <c r="H62" s="2269"/>
      <c r="I62" s="2269"/>
      <c r="J62" s="2269"/>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2079</v>
      </c>
      <c r="B63" s="134"/>
      <c r="C63" s="2269"/>
      <c r="D63" s="2270"/>
      <c r="E63" s="2269"/>
      <c r="F63" s="2269"/>
      <c r="G63" s="2269"/>
      <c r="H63" s="2269"/>
      <c r="I63" s="2269"/>
      <c r="J63" s="2269"/>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3"/>
      <c r="D64" s="2334"/>
      <c r="K64" s="798"/>
      <c r="L64" s="798"/>
    </row>
    <row r="65" spans="1:12" s="961" customFormat="1">
      <c r="A65" s="2333"/>
      <c r="D65" s="2334"/>
      <c r="K65" s="798"/>
      <c r="L65" s="798"/>
    </row>
    <row r="66" spans="1:12" s="961" customFormat="1">
      <c r="A66" s="2333"/>
      <c r="D66" s="2334"/>
      <c r="K66" s="798"/>
      <c r="L66" s="798"/>
    </row>
    <row r="67" spans="1:12" s="961" customFormat="1">
      <c r="A67" s="2333"/>
      <c r="D67" s="2334"/>
      <c r="K67" s="798"/>
      <c r="L67" s="798"/>
    </row>
    <row r="68" spans="1:12" s="961" customFormat="1">
      <c r="A68" s="2333"/>
      <c r="D68" s="2334"/>
      <c r="K68" s="798"/>
      <c r="L68" s="798"/>
    </row>
    <row r="69" spans="1:12" s="961" customFormat="1">
      <c r="A69" s="2333"/>
      <c r="D69" s="2334"/>
      <c r="K69" s="798"/>
      <c r="L69" s="798"/>
    </row>
    <row r="70" spans="1:12" s="961" customFormat="1">
      <c r="A70" s="2333"/>
      <c r="D70" s="2334"/>
      <c r="K70" s="798"/>
      <c r="L70" s="798"/>
    </row>
    <row r="71" spans="1:12" s="961" customFormat="1">
      <c r="A71" s="2333"/>
      <c r="D71" s="2334"/>
      <c r="K71" s="798"/>
      <c r="L71" s="798"/>
    </row>
    <row r="72" spans="1:12" s="961" customFormat="1">
      <c r="A72" s="2333"/>
      <c r="D72" s="2334"/>
      <c r="K72" s="798"/>
      <c r="L72" s="798"/>
    </row>
    <row r="73" spans="1:12" s="961" customFormat="1">
      <c r="A73" s="2333"/>
      <c r="D73" s="2334"/>
      <c r="K73" s="798"/>
      <c r="L73" s="798"/>
    </row>
    <row r="74" spans="1:12" s="961" customFormat="1">
      <c r="A74" s="2333"/>
      <c r="D74" s="2334"/>
      <c r="K74" s="798"/>
      <c r="L74" s="798"/>
    </row>
    <row r="75" spans="1:12" s="961" customFormat="1">
      <c r="A75" s="2333"/>
      <c r="D75" s="2334"/>
      <c r="K75" s="798"/>
      <c r="L75" s="798"/>
    </row>
    <row r="76" spans="1:12" s="961" customFormat="1">
      <c r="A76" s="2333"/>
      <c r="D76" s="2334"/>
      <c r="K76" s="798"/>
      <c r="L76" s="798"/>
    </row>
    <row r="77" spans="1:12" s="961" customFormat="1">
      <c r="A77" s="2333"/>
      <c r="D77" s="2334"/>
      <c r="K77" s="798"/>
      <c r="L77" s="798"/>
    </row>
    <row r="78" spans="1:12" s="961" customFormat="1">
      <c r="A78" s="2333"/>
      <c r="D78" s="2334"/>
      <c r="K78" s="798"/>
      <c r="L78" s="798"/>
    </row>
    <row r="79" spans="1:12" s="961" customFormat="1">
      <c r="A79" s="2333"/>
      <c r="D79" s="2334"/>
      <c r="K79" s="798"/>
      <c r="L79" s="798"/>
    </row>
    <row r="80" spans="1:12" s="961" customFormat="1">
      <c r="A80" s="2333"/>
      <c r="D80" s="2334"/>
      <c r="K80" s="798"/>
      <c r="L80" s="798"/>
    </row>
    <row r="81" spans="1:12" s="961" customFormat="1">
      <c r="A81" s="2333"/>
      <c r="D81" s="2334"/>
      <c r="K81" s="798"/>
      <c r="L81" s="798"/>
    </row>
    <row r="82" spans="1:12" s="961" customFormat="1">
      <c r="A82" s="2333"/>
      <c r="D82" s="2334"/>
      <c r="K82" s="798"/>
      <c r="L82" s="798"/>
    </row>
    <row r="83" spans="1:12" s="961" customFormat="1">
      <c r="A83" s="2333"/>
      <c r="D83" s="2334"/>
      <c r="K83" s="798"/>
      <c r="L83" s="798"/>
    </row>
    <row r="84" spans="1:12" s="961" customFormat="1">
      <c r="A84" s="2333"/>
      <c r="D84" s="2334"/>
      <c r="K84" s="798"/>
      <c r="L84" s="798"/>
    </row>
    <row r="85" spans="1:12" s="961" customFormat="1">
      <c r="A85" s="2333"/>
      <c r="D85" s="2334"/>
      <c r="K85" s="798"/>
      <c r="L85" s="798"/>
    </row>
    <row r="86" spans="1:12" s="961" customFormat="1">
      <c r="A86" s="2333"/>
      <c r="D86" s="2334"/>
      <c r="K86" s="798"/>
      <c r="L86" s="798"/>
    </row>
    <row r="87" spans="1:12" s="961" customFormat="1">
      <c r="A87" s="2333"/>
      <c r="D87" s="2334"/>
      <c r="K87" s="798"/>
      <c r="L87" s="798"/>
    </row>
    <row r="88" spans="1:12" s="961" customFormat="1">
      <c r="A88" s="2333"/>
      <c r="D88" s="2334"/>
      <c r="K88" s="798"/>
      <c r="L88" s="798"/>
    </row>
    <row r="89" spans="1:12" s="961" customFormat="1">
      <c r="A89" s="2333"/>
      <c r="D89" s="2334"/>
      <c r="K89" s="798"/>
      <c r="L89" s="798"/>
    </row>
    <row r="90" spans="1:12" s="961" customFormat="1">
      <c r="A90" s="2333"/>
      <c r="D90" s="2334"/>
      <c r="K90" s="798"/>
      <c r="L90" s="798"/>
    </row>
    <row r="91" spans="1:12" s="961" customFormat="1">
      <c r="A91" s="2333"/>
      <c r="D91" s="2334"/>
      <c r="K91" s="798"/>
      <c r="L91" s="798"/>
    </row>
    <row r="92" spans="1:12" s="961" customFormat="1">
      <c r="A92" s="2333"/>
      <c r="D92" s="2334"/>
      <c r="K92" s="798"/>
      <c r="L92" s="798"/>
    </row>
    <row r="93" spans="1:12" s="961" customFormat="1">
      <c r="A93" s="2333"/>
      <c r="D93" s="2334"/>
      <c r="K93" s="798"/>
      <c r="L93" s="798"/>
    </row>
    <row r="94" spans="1:12" s="961" customFormat="1">
      <c r="A94" s="2333"/>
      <c r="D94" s="2334"/>
      <c r="K94" s="798"/>
      <c r="L94" s="798"/>
    </row>
    <row r="95" spans="1:12" s="961" customFormat="1">
      <c r="A95" s="2333"/>
      <c r="D95" s="2334"/>
      <c r="K95" s="798"/>
      <c r="L95" s="798"/>
    </row>
    <row r="96" spans="1:12" s="961" customFormat="1">
      <c r="A96" s="2333"/>
      <c r="D96" s="2334"/>
      <c r="K96" s="798"/>
      <c r="L96" s="798"/>
    </row>
    <row r="97" spans="1:12" s="961" customFormat="1">
      <c r="A97" s="2333"/>
      <c r="D97" s="2334"/>
      <c r="K97" s="798"/>
      <c r="L97" s="798"/>
    </row>
    <row r="98" spans="1:12" s="961" customFormat="1">
      <c r="A98" s="2333"/>
      <c r="D98" s="2334"/>
      <c r="K98" s="798"/>
      <c r="L98" s="798"/>
    </row>
    <row r="99" spans="1:12" s="961" customFormat="1">
      <c r="A99" s="2333"/>
      <c r="D99" s="2334"/>
      <c r="K99" s="798"/>
      <c r="L99" s="798"/>
    </row>
    <row r="100" spans="1:12" s="961" customFormat="1">
      <c r="A100" s="2333"/>
      <c r="D100" s="2334"/>
      <c r="K100" s="798"/>
      <c r="L100" s="798"/>
    </row>
    <row r="101" spans="1:12" s="961" customFormat="1">
      <c r="A101" s="2333"/>
      <c r="D101" s="2334"/>
      <c r="K101" s="798"/>
      <c r="L101" s="798"/>
    </row>
    <row r="102" spans="1:12" s="961" customFormat="1">
      <c r="A102" s="2333"/>
      <c r="D102" s="2334"/>
      <c r="K102" s="798"/>
      <c r="L102" s="798"/>
    </row>
    <row r="103" spans="1:12" s="961" customFormat="1">
      <c r="A103" s="2333"/>
      <c r="D103" s="2334"/>
      <c r="K103" s="798"/>
      <c r="L103" s="798"/>
    </row>
    <row r="104" spans="1:12" s="961" customFormat="1">
      <c r="A104" s="2333"/>
      <c r="D104" s="2334"/>
      <c r="K104" s="798"/>
      <c r="L104" s="798"/>
    </row>
    <row r="105" spans="1:12" s="961" customFormat="1">
      <c r="A105" s="2333"/>
      <c r="D105" s="2334"/>
      <c r="K105" s="798"/>
      <c r="L105" s="798"/>
    </row>
    <row r="106" spans="1:12" s="961" customFormat="1">
      <c r="A106" s="2333"/>
      <c r="D106" s="2334"/>
      <c r="K106" s="798"/>
      <c r="L106" s="798"/>
    </row>
    <row r="107" spans="1:12" s="961" customFormat="1">
      <c r="A107" s="2333"/>
      <c r="D107" s="2334"/>
      <c r="K107" s="798"/>
      <c r="L107" s="798"/>
    </row>
    <row r="108" spans="1:12" s="961" customFormat="1">
      <c r="A108" s="2333"/>
      <c r="D108" s="2334"/>
      <c r="K108" s="798"/>
      <c r="L108" s="798"/>
    </row>
    <row r="109" spans="1:12" s="961" customFormat="1">
      <c r="A109" s="2333"/>
      <c r="D109" s="2334"/>
      <c r="K109" s="798"/>
      <c r="L109" s="798"/>
    </row>
    <row r="110" spans="1:12" s="961" customFormat="1">
      <c r="A110" s="2333"/>
      <c r="D110" s="2334"/>
      <c r="K110" s="798"/>
      <c r="L110" s="798"/>
    </row>
    <row r="111" spans="1:12" s="961" customFormat="1">
      <c r="A111" s="2333"/>
      <c r="D111" s="2334"/>
      <c r="K111" s="798"/>
      <c r="L111" s="798"/>
    </row>
    <row r="112" spans="1:12" s="961" customFormat="1">
      <c r="A112" s="2333"/>
      <c r="D112" s="2334"/>
      <c r="K112" s="798"/>
      <c r="L112" s="798"/>
    </row>
    <row r="113" spans="1:12" s="961" customFormat="1">
      <c r="A113" s="2333"/>
      <c r="D113" s="2334"/>
      <c r="K113" s="798"/>
      <c r="L113" s="798"/>
    </row>
    <row r="114" spans="1:12" s="961" customFormat="1">
      <c r="A114" s="2333"/>
      <c r="D114" s="2334"/>
      <c r="K114" s="798"/>
      <c r="L114" s="798"/>
    </row>
    <row r="115" spans="1:12" s="961" customFormat="1">
      <c r="A115" s="2333"/>
      <c r="D115" s="2334"/>
      <c r="K115" s="798"/>
      <c r="L115" s="798"/>
    </row>
    <row r="116" spans="1:12" s="961" customFormat="1">
      <c r="A116" s="2333"/>
      <c r="D116" s="2334"/>
      <c r="K116" s="798"/>
      <c r="L116" s="798"/>
    </row>
    <row r="117" spans="1:12" s="961" customFormat="1">
      <c r="A117" s="2333"/>
      <c r="D117" s="2334"/>
      <c r="K117" s="798"/>
      <c r="L117" s="798"/>
    </row>
    <row r="118" spans="1:12" s="961" customFormat="1">
      <c r="A118" s="2333"/>
      <c r="D118" s="2334"/>
      <c r="K118" s="798"/>
      <c r="L118" s="798"/>
    </row>
    <row r="119" spans="1:12" s="961" customFormat="1">
      <c r="A119" s="2333"/>
      <c r="D119" s="2334"/>
      <c r="K119" s="798"/>
      <c r="L119" s="798"/>
    </row>
    <row r="120" spans="1:12" s="961" customFormat="1">
      <c r="A120" s="2333"/>
      <c r="D120" s="2334"/>
      <c r="K120" s="798"/>
      <c r="L120" s="798"/>
    </row>
    <row r="121" spans="1:12" s="961" customFormat="1">
      <c r="A121" s="2333"/>
      <c r="D121" s="2334"/>
      <c r="K121" s="798"/>
      <c r="L121" s="798"/>
    </row>
    <row r="122" spans="1:12" s="961" customFormat="1">
      <c r="A122" s="2333"/>
      <c r="D122" s="2334"/>
      <c r="K122" s="798"/>
      <c r="L122" s="798"/>
    </row>
    <row r="123" spans="1:12" s="961" customFormat="1">
      <c r="A123" s="2333"/>
      <c r="D123" s="2334"/>
      <c r="K123" s="798"/>
      <c r="L123" s="798"/>
    </row>
    <row r="124" spans="1:12" s="961" customFormat="1">
      <c r="A124" s="2333"/>
      <c r="D124" s="2334"/>
      <c r="K124" s="798"/>
      <c r="L124" s="798"/>
    </row>
    <row r="125" spans="1:12" s="961" customFormat="1">
      <c r="A125" s="2333"/>
      <c r="D125" s="2334"/>
      <c r="K125" s="798"/>
      <c r="L125" s="798"/>
    </row>
    <row r="126" spans="1:12" s="961" customFormat="1">
      <c r="A126" s="2333"/>
      <c r="D126" s="2334"/>
      <c r="K126" s="798"/>
      <c r="L126" s="798"/>
    </row>
    <row r="127" spans="1:12" s="961" customFormat="1">
      <c r="A127" s="2333"/>
      <c r="D127" s="2334"/>
      <c r="K127" s="798"/>
      <c r="L127" s="798"/>
    </row>
    <row r="128" spans="1:12" s="961" customFormat="1">
      <c r="A128" s="2333"/>
      <c r="D128" s="2334"/>
      <c r="K128" s="798"/>
      <c r="L128" s="798"/>
    </row>
    <row r="129" spans="1:12" s="961" customFormat="1">
      <c r="A129" s="2333"/>
      <c r="D129" s="2334"/>
      <c r="K129" s="798"/>
      <c r="L129" s="798"/>
    </row>
    <row r="130" spans="1:12" s="961" customFormat="1">
      <c r="A130" s="2333"/>
      <c r="D130" s="2334"/>
      <c r="K130" s="798"/>
      <c r="L130" s="798"/>
    </row>
    <row r="131" spans="1:12" s="961" customFormat="1">
      <c r="A131" s="2333"/>
      <c r="D131" s="2334"/>
      <c r="K131" s="798"/>
      <c r="L131" s="798"/>
    </row>
    <row r="132" spans="1:12" s="961" customFormat="1">
      <c r="A132" s="2333"/>
      <c r="D132" s="2334"/>
      <c r="K132" s="798"/>
      <c r="L132" s="798"/>
    </row>
    <row r="133" spans="1:12" s="961"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mergeCells count="4">
    <mergeCell ref="L19:N19"/>
    <mergeCell ref="O19:P19"/>
    <mergeCell ref="O20:P20"/>
    <mergeCell ref="O21:P21"/>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0',20);"/>
    <hyperlink ref="O21:P21" r:id="rId2" display="javascript:top.main.DataEdit('50',20);"/>
  </hyperlinks>
  <pageMargins left="0.7" right="0.7" top="0.75" bottom="0.75" header="0.3" footer="0.3"/>
  <pageSetup paperSize="9" scale="25" fitToHeight="0" orientation="portrait" r:id="rId3"/>
  <ignoredErrors>
    <ignoredError sqref="G16:H16" formulaRange="1"/>
  </ignoredErrors>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110" t="s">
        <v>2080</v>
      </c>
      <c r="B1" s="3111"/>
      <c r="C1" s="3111"/>
      <c r="D1" s="3111"/>
      <c r="E1" s="3111"/>
      <c r="F1" s="3111"/>
      <c r="G1" s="311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2081</v>
      </c>
      <c r="D2" s="2358"/>
      <c r="E2" s="2359"/>
      <c r="F2" s="2278"/>
      <c r="G2" s="2357" t="s">
        <v>2082</v>
      </c>
      <c r="H2" s="2360"/>
      <c r="I2" s="2360"/>
      <c r="J2" s="2360"/>
      <c r="K2" s="2360"/>
      <c r="L2" s="2360"/>
      <c r="M2" s="2360"/>
      <c r="N2" s="2360"/>
      <c r="O2" s="2360"/>
      <c r="P2" s="2360"/>
      <c r="Q2" s="2360"/>
      <c r="R2" s="2360"/>
    </row>
    <row r="3" spans="1:29" ht="27">
      <c r="A3" s="415" t="s">
        <v>2083</v>
      </c>
      <c r="B3" s="1265" t="s">
        <v>2084</v>
      </c>
      <c r="C3" s="2990" t="s">
        <v>3372</v>
      </c>
      <c r="D3" s="2362"/>
      <c r="E3" s="431" t="s">
        <v>2083</v>
      </c>
      <c r="F3" s="2363" t="s">
        <v>2085</v>
      </c>
      <c r="G3" s="2364"/>
      <c r="H3" s="2360"/>
      <c r="I3" s="2360"/>
      <c r="J3" s="2360"/>
      <c r="K3" s="2360"/>
      <c r="L3" s="2360"/>
      <c r="M3" s="2360"/>
      <c r="N3" s="2360"/>
      <c r="O3" s="2360"/>
      <c r="P3" s="2360"/>
      <c r="Q3" s="2360"/>
      <c r="R3" s="2360"/>
    </row>
    <row r="4" spans="1:29" ht="27.75">
      <c r="A4" s="431"/>
      <c r="B4" s="1791" t="s">
        <v>2086</v>
      </c>
      <c r="C4" s="2365" t="s">
        <v>3371</v>
      </c>
      <c r="D4" s="2362"/>
      <c r="E4" s="2366"/>
      <c r="F4" s="42" t="s">
        <v>2087</v>
      </c>
      <c r="G4" s="2367"/>
      <c r="H4" s="2360"/>
      <c r="I4" s="2360"/>
      <c r="J4" s="2360"/>
      <c r="K4" s="2360"/>
      <c r="L4" s="2360"/>
      <c r="M4" s="2360"/>
      <c r="N4" s="2360"/>
      <c r="O4" s="2360"/>
      <c r="P4" s="2360"/>
      <c r="Q4" s="2360"/>
      <c r="R4" s="2360"/>
    </row>
    <row r="5" spans="1:29" ht="27.75">
      <c r="A5" s="431"/>
      <c r="B5" s="1791" t="s">
        <v>2088</v>
      </c>
      <c r="C5" s="2365" t="s">
        <v>3370</v>
      </c>
      <c r="D5" s="2362"/>
      <c r="E5" s="2366"/>
      <c r="F5" s="1791" t="s">
        <v>2089</v>
      </c>
      <c r="G5" s="2367"/>
      <c r="H5" s="2360"/>
      <c r="I5" s="2360"/>
      <c r="J5" s="2360"/>
      <c r="K5" s="2360"/>
      <c r="L5" s="2360"/>
      <c r="M5" s="2360"/>
      <c r="N5" s="2360"/>
      <c r="O5" s="2360"/>
      <c r="P5" s="2360"/>
      <c r="Q5" s="2360"/>
      <c r="R5" s="2360"/>
    </row>
    <row r="6" spans="1:29" ht="40.5">
      <c r="A6" s="431"/>
      <c r="B6" s="1791" t="s">
        <v>2090</v>
      </c>
      <c r="C6" s="2989" t="s">
        <v>3373</v>
      </c>
      <c r="D6" s="2362"/>
      <c r="E6" s="2366"/>
      <c r="F6" s="1791" t="s">
        <v>2091</v>
      </c>
      <c r="G6" s="2367"/>
      <c r="H6" s="2360"/>
      <c r="I6" s="2360"/>
      <c r="J6" s="2360"/>
      <c r="K6" s="2360"/>
      <c r="L6" s="2360"/>
      <c r="M6" s="2360"/>
      <c r="N6" s="2360"/>
      <c r="O6" s="2360"/>
      <c r="P6" s="2360"/>
      <c r="Q6" s="2360"/>
      <c r="R6" s="2360"/>
    </row>
    <row r="7" spans="1:29" ht="15.75" thickBot="1">
      <c r="A7" s="431"/>
      <c r="B7" s="1791" t="s">
        <v>2089</v>
      </c>
      <c r="C7" s="2367"/>
      <c r="D7" s="2368"/>
      <c r="E7" s="2369"/>
      <c r="F7" s="2370" t="s">
        <v>2092</v>
      </c>
      <c r="G7" s="2371"/>
      <c r="H7" s="2360"/>
      <c r="I7" s="2360"/>
      <c r="J7" s="2360"/>
      <c r="K7" s="2360"/>
      <c r="L7" s="2360"/>
      <c r="M7" s="2360"/>
      <c r="N7" s="2360"/>
      <c r="O7" s="2360"/>
      <c r="P7" s="2360"/>
      <c r="Q7" s="2360"/>
      <c r="R7" s="2360"/>
    </row>
    <row r="8" spans="1:29" ht="15">
      <c r="A8" s="431"/>
      <c r="B8" s="1791" t="s">
        <v>2091</v>
      </c>
      <c r="C8" s="2367"/>
      <c r="D8" s="2368"/>
      <c r="E8" s="2368"/>
      <c r="F8" s="1130"/>
      <c r="G8" s="1130"/>
      <c r="H8" s="2360"/>
      <c r="I8" s="2360"/>
      <c r="J8" s="2360"/>
      <c r="K8" s="2360"/>
      <c r="L8" s="2360"/>
      <c r="M8" s="2360"/>
      <c r="N8" s="2360"/>
      <c r="O8" s="2360"/>
      <c r="P8" s="2360"/>
      <c r="Q8" s="2360"/>
      <c r="R8" s="2360"/>
    </row>
    <row r="9" spans="1:29" ht="15">
      <c r="A9" s="431"/>
      <c r="B9" s="1791" t="s">
        <v>2093</v>
      </c>
      <c r="C9" s="2365"/>
      <c r="D9" s="2362"/>
      <c r="E9" s="2368"/>
      <c r="F9" s="1130"/>
      <c r="G9" s="1130"/>
      <c r="H9" s="2360"/>
      <c r="I9" s="2360"/>
      <c r="J9" s="2360"/>
      <c r="K9" s="2360"/>
      <c r="L9" s="2360"/>
      <c r="M9" s="2360"/>
      <c r="N9" s="2360"/>
      <c r="O9" s="2360"/>
      <c r="P9" s="2360"/>
      <c r="Q9" s="2360"/>
      <c r="R9" s="2360"/>
    </row>
    <row r="10" spans="1:29" s="117" customFormat="1" ht="15.75" thickBot="1">
      <c r="A10" s="2372"/>
      <c r="B10" s="2373" t="s">
        <v>2094</v>
      </c>
      <c r="C10" s="2374"/>
      <c r="D10" s="2362"/>
      <c r="E10" s="2362"/>
      <c r="F10" s="1130"/>
      <c r="G10" s="1130"/>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2"/>
      <c r="D11" s="2362"/>
      <c r="E11" s="2362"/>
      <c r="F11" s="2368"/>
      <c r="G11" s="1148"/>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2"/>
      <c r="D12" s="2379"/>
      <c r="E12" s="2362"/>
      <c r="F12" s="2368"/>
      <c r="G12" s="1148"/>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2095</v>
      </c>
      <c r="B13" s="2379"/>
      <c r="C13" s="2379"/>
      <c r="D13" s="2386"/>
      <c r="E13" s="2379"/>
      <c r="F13" s="2379"/>
      <c r="G13" s="2379"/>
    </row>
    <row r="14" spans="1:29" ht="15.75" thickBot="1">
      <c r="A14" s="2390"/>
      <c r="B14" s="2391"/>
      <c r="C14" s="2392" t="s">
        <v>2096</v>
      </c>
      <c r="D14" s="2362"/>
      <c r="E14" s="2393"/>
      <c r="F14" s="2393"/>
      <c r="G14" s="2357" t="s">
        <v>2097</v>
      </c>
    </row>
    <row r="15" spans="1:29" ht="28.5">
      <c r="A15" s="68" t="s">
        <v>2098</v>
      </c>
      <c r="B15" s="1264" t="s">
        <v>2084</v>
      </c>
      <c r="C15" s="2394" t="str">
        <f>C3</f>
        <v>周边居住用地比例、居住小区规模和社区发展完善程度</v>
      </c>
      <c r="D15" s="2362"/>
      <c r="E15" s="2395" t="s">
        <v>2099</v>
      </c>
      <c r="F15" s="1264" t="s">
        <v>2100</v>
      </c>
      <c r="G15" s="135">
        <f>G3</f>
        <v>0</v>
      </c>
    </row>
    <row r="16" spans="1:29" ht="28.5">
      <c r="A16" s="645"/>
      <c r="B16" s="2396" t="s">
        <v>2086</v>
      </c>
      <c r="C16" s="2397" t="str">
        <f>C4</f>
        <v>XX商圈，周边商业氛围，人流量</v>
      </c>
      <c r="D16" s="2362"/>
      <c r="E16" s="2398"/>
      <c r="F16" s="2399" t="s">
        <v>2087</v>
      </c>
      <c r="G16" s="136">
        <f>G4</f>
        <v>0</v>
      </c>
    </row>
    <row r="17" spans="1:18" ht="28.5">
      <c r="A17" s="645"/>
      <c r="B17" s="2396" t="s">
        <v>2088</v>
      </c>
      <c r="C17" s="2397" t="str">
        <f>C5</f>
        <v>XX商圈，周边办公楼项目，入驻率</v>
      </c>
      <c r="D17" s="2368"/>
      <c r="E17" s="2398"/>
      <c r="F17" s="2399" t="s">
        <v>2101</v>
      </c>
      <c r="G17" s="1565"/>
    </row>
    <row r="18" spans="1:18" ht="42.75">
      <c r="A18" s="645"/>
      <c r="B18" s="2399" t="s">
        <v>2090</v>
      </c>
      <c r="C18" s="136" t="str">
        <f>C6</f>
        <v>周边道路状况、公共交通通达情况、停车便捷程度（地铁三号线观音桥</v>
      </c>
      <c r="D18" s="2368"/>
      <c r="E18" s="2398"/>
      <c r="F18" s="2399" t="s">
        <v>2092</v>
      </c>
      <c r="G18" s="136">
        <f>G7</f>
        <v>0</v>
      </c>
    </row>
    <row r="19" spans="1:18" ht="15">
      <c r="A19" s="645"/>
      <c r="B19" s="2399" t="s">
        <v>2102</v>
      </c>
      <c r="C19" s="1565"/>
      <c r="D19" s="2362"/>
      <c r="E19" s="2398"/>
      <c r="F19" s="1791" t="s">
        <v>2089</v>
      </c>
      <c r="G19" s="136">
        <f>G5</f>
        <v>0</v>
      </c>
    </row>
    <row r="20" spans="1:18" ht="15">
      <c r="A20" s="645"/>
      <c r="B20" s="2399" t="s">
        <v>2103</v>
      </c>
      <c r="C20" s="2397">
        <f>C9</f>
        <v>0</v>
      </c>
      <c r="D20" s="2368"/>
      <c r="E20" s="2398"/>
      <c r="F20" s="1791" t="s">
        <v>2104</v>
      </c>
      <c r="G20" s="136">
        <f>G6</f>
        <v>0</v>
      </c>
    </row>
    <row r="21" spans="1:18" ht="15">
      <c r="A21" s="645"/>
      <c r="B21" s="1791" t="s">
        <v>2089</v>
      </c>
      <c r="C21" s="136">
        <f>C7</f>
        <v>0</v>
      </c>
      <c r="D21" s="2362"/>
      <c r="E21" s="2398"/>
      <c r="F21" s="2399" t="s">
        <v>2105</v>
      </c>
      <c r="G21" s="2400"/>
    </row>
    <row r="22" spans="1:18" ht="13.5" customHeight="1">
      <c r="A22" s="645"/>
      <c r="B22" s="1791" t="s">
        <v>2091</v>
      </c>
      <c r="C22" s="136">
        <f>C8</f>
        <v>0</v>
      </c>
      <c r="D22" s="2362"/>
      <c r="E22" s="2398"/>
      <c r="F22" s="2399" t="s">
        <v>2094</v>
      </c>
      <c r="G22" s="1565"/>
    </row>
    <row r="23" spans="1:18" s="2360" customFormat="1" ht="15.75" thickBot="1">
      <c r="A23" s="645"/>
      <c r="B23" s="2399" t="s">
        <v>2105</v>
      </c>
      <c r="C23" s="2400"/>
      <c r="D23" s="2387"/>
      <c r="E23" s="2401"/>
      <c r="F23" s="2402" t="s">
        <v>2106</v>
      </c>
      <c r="G23" s="2403"/>
      <c r="H23" s="2387"/>
      <c r="I23" s="2388"/>
      <c r="J23" s="2387"/>
      <c r="K23" s="2387"/>
      <c r="L23" s="2388"/>
      <c r="M23" s="2387"/>
      <c r="N23" s="2387"/>
      <c r="O23" s="2388"/>
      <c r="P23" s="2387"/>
      <c r="Q23" s="2387"/>
      <c r="R23" s="2389"/>
    </row>
    <row r="24" spans="1:18" s="2360" customFormat="1" ht="15.75" thickBot="1">
      <c r="A24" s="2404"/>
      <c r="B24" s="2402" t="s">
        <v>2107</v>
      </c>
      <c r="C24" s="137">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5" t="str">
        <f>项目基本情况!B1</f>
        <v>重庆市江北区观音桥组团I分区I29-3-/02地块“隆鑫中心”项目出让国有建设用地使用权及在建建筑物房地产抵押价值预评估</v>
      </c>
      <c r="C37" s="3015"/>
      <c r="D37" s="3015"/>
      <c r="E37" s="3015"/>
      <c r="F37" s="3015"/>
      <c r="G37" s="3015"/>
      <c r="H37" s="3015"/>
      <c r="I37" s="3015"/>
    </row>
    <row r="38" spans="1:9">
      <c r="A38" s="1013"/>
      <c r="B38" s="1013"/>
    </row>
    <row r="39" spans="1:9">
      <c r="A39" s="1011" t="s">
        <v>818</v>
      </c>
      <c r="B39" s="1011" t="s">
        <v>820</v>
      </c>
    </row>
    <row r="40" spans="1:9">
      <c r="A40" s="1011"/>
      <c r="B40" s="1938" t="str">
        <f>项目基本情况!B5</f>
        <v>中国东方资产管理股份有限公司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378335.58999999997</v>
      </c>
      <c r="C1" s="1738"/>
      <c r="D1" s="1738"/>
      <c r="E1" s="1738"/>
      <c r="F1" s="1738"/>
      <c r="G1" s="1736"/>
    </row>
    <row r="2" spans="1:10" ht="16.5">
      <c r="A2" s="1739" t="s">
        <v>1353</v>
      </c>
      <c r="B2" s="1739">
        <f>SUM(C14:C23)</f>
        <v>25136</v>
      </c>
      <c r="C2" s="1738"/>
      <c r="D2" s="1738"/>
      <c r="E2" s="1738"/>
      <c r="F2" s="1738"/>
      <c r="G2" s="1736"/>
    </row>
    <row r="3" spans="1:10" ht="16.5">
      <c r="A3" s="1739" t="s">
        <v>1362</v>
      </c>
      <c r="B3" s="1740">
        <f>项目基本情况!D3</f>
        <v>43332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397033</v>
      </c>
      <c r="C5" s="1739">
        <f ca="1">ROUND(B5*10000/$B$1,0)</f>
        <v>10494</v>
      </c>
      <c r="D5" s="1739">
        <f ca="1">ROUND(B5*10000/$B$2,0)</f>
        <v>157954</v>
      </c>
      <c r="E5" s="1738"/>
      <c r="F5" s="1736"/>
      <c r="G5" s="1736"/>
    </row>
    <row r="6" spans="1:10" ht="16.5">
      <c r="A6" s="1739" t="s">
        <v>1356</v>
      </c>
      <c r="B6" s="1739">
        <f ca="1">SUM(G14:G23)</f>
        <v>392555</v>
      </c>
      <c r="C6" s="1739">
        <f ca="1">ROUND(B6*10000/$B$1,0)</f>
        <v>10376</v>
      </c>
      <c r="D6" s="1739">
        <f ca="1">ROUND(B6*10000/$B$2,0)</f>
        <v>156172</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378335.58999999997</v>
      </c>
      <c r="C14" s="1737">
        <f>结果表!C118</f>
        <v>25136</v>
      </c>
      <c r="D14" s="1737">
        <f ca="1">结果表!H118</f>
        <v>397033</v>
      </c>
      <c r="E14" s="1737">
        <f ca="1">ROUND(D14*10000/B14,0)</f>
        <v>10494</v>
      </c>
      <c r="F14" s="1737">
        <f ca="1">ROUND(D14*10000/C14,0)</f>
        <v>157954</v>
      </c>
      <c r="G14" s="1737">
        <f ca="1">结果表!D122</f>
        <v>392555</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J108" sqref="J10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2108</v>
      </c>
      <c r="B1" s="2410"/>
      <c r="C1" s="2411"/>
      <c r="D1" s="2410"/>
      <c r="E1" s="2410"/>
      <c r="F1" s="2412" t="s">
        <v>2109</v>
      </c>
      <c r="G1" s="2064" t="s">
        <v>2110</v>
      </c>
      <c r="H1" s="2413" t="str">
        <f>IF(G1="现房","——","估价对象范围")</f>
        <v>估价对象范围</v>
      </c>
      <c r="I1" s="2414" t="s">
        <v>3084</v>
      </c>
    </row>
    <row r="2" spans="1:12" ht="21.75" customHeight="1" thickBot="1">
      <c r="A2" s="3145" t="str">
        <f>项目基本情况!S2</f>
        <v>重庆市江北区观音桥组团I分区I29-3-/02地块“隆鑫中心”项目出让国有建设用地使用权及在建建筑物房地产</v>
      </c>
      <c r="B2" s="3146"/>
      <c r="C2" s="3146"/>
      <c r="D2" s="3146"/>
      <c r="E2" s="3146"/>
      <c r="F2" s="3146"/>
      <c r="G2" s="3146"/>
      <c r="H2" s="3146"/>
      <c r="I2" s="3147"/>
    </row>
    <row r="3" spans="1:12" ht="12.75">
      <c r="A3" s="3149" t="s">
        <v>2111</v>
      </c>
      <c r="B3" s="3150"/>
      <c r="C3" s="3150"/>
      <c r="D3" s="3150"/>
      <c r="E3" s="3150"/>
      <c r="F3" s="3150"/>
      <c r="G3" s="3150"/>
      <c r="H3" s="3150"/>
      <c r="I3" s="3150"/>
    </row>
    <row r="4" spans="1:12" ht="14.25">
      <c r="A4" s="2417" t="s">
        <v>2112</v>
      </c>
      <c r="B4" s="2418" t="s">
        <v>2113</v>
      </c>
      <c r="C4" s="2419" t="s">
        <v>3082</v>
      </c>
      <c r="D4" s="2419" t="s">
        <v>3083</v>
      </c>
      <c r="E4" s="3142" t="s">
        <v>2114</v>
      </c>
      <c r="F4" s="3143"/>
      <c r="G4" s="3143"/>
      <c r="H4" s="3143"/>
      <c r="I4" s="315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25" t="s">
        <v>2115</v>
      </c>
      <c r="B5" s="3059">
        <v>25</v>
      </c>
      <c r="C5" s="3128"/>
      <c r="D5" s="3148"/>
      <c r="E5" s="140" t="s">
        <v>2116</v>
      </c>
      <c r="F5" s="2421"/>
      <c r="G5" s="2421"/>
      <c r="H5" s="2421"/>
      <c r="I5" s="1827"/>
    </row>
    <row r="6" spans="1:12" ht="12.75">
      <c r="A6" s="3125"/>
      <c r="B6" s="3059"/>
      <c r="C6" s="3129"/>
      <c r="D6" s="3148"/>
      <c r="E6" s="140" t="s">
        <v>2117</v>
      </c>
      <c r="F6" s="2421"/>
      <c r="G6" s="2421"/>
      <c r="H6" s="2421"/>
      <c r="I6" s="1827"/>
    </row>
    <row r="7" spans="1:12" ht="12.75">
      <c r="A7" s="3125"/>
      <c r="B7" s="3059"/>
      <c r="C7" s="3130"/>
      <c r="D7" s="3148"/>
      <c r="E7" s="140" t="s">
        <v>2118</v>
      </c>
      <c r="F7" s="2421"/>
      <c r="G7" s="2421"/>
      <c r="H7" s="2421"/>
      <c r="I7" s="1827"/>
    </row>
    <row r="8" spans="1:12" ht="12.75">
      <c r="A8" s="3125" t="s">
        <v>2119</v>
      </c>
      <c r="B8" s="3059">
        <v>15</v>
      </c>
      <c r="C8" s="3128"/>
      <c r="D8" s="3148"/>
      <c r="E8" s="140" t="s">
        <v>2120</v>
      </c>
      <c r="F8" s="2421"/>
      <c r="G8" s="2421"/>
      <c r="H8" s="2421"/>
      <c r="I8" s="1827"/>
    </row>
    <row r="9" spans="1:12" ht="12.75">
      <c r="A9" s="3125"/>
      <c r="B9" s="3059"/>
      <c r="C9" s="3130"/>
      <c r="D9" s="3148"/>
      <c r="E9" s="140" t="s">
        <v>2121</v>
      </c>
      <c r="F9" s="2421"/>
      <c r="G9" s="2421"/>
      <c r="H9" s="2421"/>
      <c r="I9" s="1827"/>
    </row>
    <row r="10" spans="1:12" ht="12.75">
      <c r="A10" s="3125" t="s">
        <v>2122</v>
      </c>
      <c r="B10" s="3059">
        <v>15</v>
      </c>
      <c r="C10" s="3128"/>
      <c r="D10" s="3148"/>
      <c r="E10" s="140" t="s">
        <v>2123</v>
      </c>
      <c r="F10" s="2421"/>
      <c r="G10" s="2421"/>
      <c r="H10" s="2421"/>
      <c r="I10" s="1827"/>
    </row>
    <row r="11" spans="1:12" ht="12.75">
      <c r="A11" s="3125"/>
      <c r="B11" s="3059"/>
      <c r="C11" s="3130"/>
      <c r="D11" s="3148"/>
      <c r="E11" s="140" t="s">
        <v>2124</v>
      </c>
      <c r="F11" s="2421"/>
      <c r="G11" s="2421"/>
      <c r="H11" s="2421"/>
      <c r="I11" s="1827"/>
    </row>
    <row r="12" spans="1:12" ht="12.75">
      <c r="A12" s="3125" t="s">
        <v>2125</v>
      </c>
      <c r="B12" s="3059">
        <v>15</v>
      </c>
      <c r="C12" s="3128"/>
      <c r="D12" s="3148"/>
      <c r="E12" s="140" t="s">
        <v>2126</v>
      </c>
      <c r="F12" s="2421"/>
      <c r="G12" s="2421"/>
      <c r="H12" s="2421"/>
      <c r="I12" s="1827"/>
    </row>
    <row r="13" spans="1:12" ht="12.75">
      <c r="A13" s="3125"/>
      <c r="B13" s="3059"/>
      <c r="C13" s="3130"/>
      <c r="D13" s="3148"/>
      <c r="E13" s="140" t="s">
        <v>2127</v>
      </c>
      <c r="F13" s="2421"/>
      <c r="G13" s="2421"/>
      <c r="H13" s="2421"/>
      <c r="I13" s="1827"/>
    </row>
    <row r="14" spans="1:12" ht="12.75">
      <c r="A14" s="3125" t="s">
        <v>2128</v>
      </c>
      <c r="B14" s="3059">
        <v>30</v>
      </c>
      <c r="C14" s="3128">
        <v>5</v>
      </c>
      <c r="D14" s="3148">
        <v>5</v>
      </c>
      <c r="E14" s="140" t="s">
        <v>2129</v>
      </c>
      <c r="F14" s="2421"/>
      <c r="G14" s="2421"/>
      <c r="H14" s="2421"/>
      <c r="I14" s="1827"/>
    </row>
    <row r="15" spans="1:12" ht="12.75">
      <c r="A15" s="3125"/>
      <c r="B15" s="3059"/>
      <c r="C15" s="3129"/>
      <c r="D15" s="3148"/>
      <c r="E15" s="140" t="s">
        <v>2130</v>
      </c>
      <c r="F15" s="2421"/>
      <c r="G15" s="2421"/>
      <c r="H15" s="2421"/>
      <c r="I15" s="1827"/>
    </row>
    <row r="16" spans="1:12" ht="12.75">
      <c r="A16" s="3125"/>
      <c r="B16" s="3059"/>
      <c r="C16" s="3130"/>
      <c r="D16" s="3148"/>
      <c r="E16" s="140" t="s">
        <v>2131</v>
      </c>
      <c r="F16" s="2421"/>
      <c r="G16" s="2421"/>
      <c r="H16" s="2421"/>
      <c r="I16" s="1827"/>
    </row>
    <row r="17" spans="1:35" ht="15">
      <c r="A17" s="2422" t="s">
        <v>2132</v>
      </c>
      <c r="B17" s="64"/>
      <c r="C17" s="141">
        <f>SUM(C5:C16)</f>
        <v>5</v>
      </c>
      <c r="D17" s="141">
        <f>SUM(D5:D16)</f>
        <v>5</v>
      </c>
      <c r="E17" s="138"/>
      <c r="F17" s="138"/>
      <c r="G17" s="138"/>
      <c r="H17" s="138"/>
      <c r="I17" s="138"/>
      <c r="K17" s="2420"/>
      <c r="L17" s="2423" t="s">
        <v>2133</v>
      </c>
      <c r="M17" s="2423" t="s">
        <v>2134</v>
      </c>
    </row>
    <row r="18" spans="1:35" ht="15.75" thickBot="1">
      <c r="A18" s="2424" t="s">
        <v>2135</v>
      </c>
      <c r="B18" s="2425"/>
      <c r="C18" s="142">
        <f>ROUND(C17/SUM(C17:D17),2)</f>
        <v>0.5</v>
      </c>
      <c r="D18" s="142">
        <f>1-C18</f>
        <v>0.5</v>
      </c>
      <c r="E18" s="138"/>
      <c r="F18" s="138"/>
      <c r="G18" s="138"/>
      <c r="H18" s="138"/>
      <c r="I18" s="138"/>
      <c r="K18" s="2420" t="s">
        <v>2136</v>
      </c>
      <c r="L18" s="2420">
        <f>IF(C1="",'数据-汇总表'!E3,SUMIF(项目类型,C1,'数据-汇总表'!E17:E26)+SUMIF(项目类型,C1,'数据-汇总表'!I17:I26))</f>
        <v>378335.58999999997</v>
      </c>
      <c r="M18" s="2420">
        <f>IF(C1="",'数据-汇总表'!E3,SUMIF(项目类型,C1,'数据-汇总表'!E17:E26))</f>
        <v>378335.58999999997</v>
      </c>
    </row>
    <row r="19" spans="1:35" ht="15">
      <c r="A19" s="2426" t="s">
        <v>2137</v>
      </c>
      <c r="B19" s="2427" t="s">
        <v>2138</v>
      </c>
      <c r="C19" s="143">
        <f ca="1">SUMIF(INDIRECT("'"&amp;C4&amp;"'"&amp;"!A:A"),结果表!B19,INDIRECT("'"&amp;C4&amp;"'"&amp;"!B:B"))</f>
        <v>351470</v>
      </c>
      <c r="D19" s="144">
        <f ca="1">SUMIF(INDIRECT("'"&amp;D4&amp;"'"&amp;"!A:A"),结果表!B19,INDIRECT("'"&amp;D4&amp;"'"&amp;"!B:B"))</f>
        <v>442595</v>
      </c>
      <c r="E19" s="2426" t="s">
        <v>2139</v>
      </c>
      <c r="F19" s="2427" t="s">
        <v>2138</v>
      </c>
      <c r="G19" s="145">
        <f ca="1">ROUND(C19*$C$18+D19*$D$18,0)</f>
        <v>397033</v>
      </c>
      <c r="H19" s="2428" t="s">
        <v>2140</v>
      </c>
      <c r="I19" s="138"/>
      <c r="K19" s="2420" t="s">
        <v>2141</v>
      </c>
      <c r="L19" s="2420">
        <f>IF(C1="",'数据-汇总表'!D3,SUMIF(项目类型,C1,'数据-汇总表'!D17:D26)+SUMIF(项目类型,C1,'数据-汇总表'!H17:H27))</f>
        <v>25136</v>
      </c>
      <c r="M19" s="2420">
        <f>IF(C1="",'数据-汇总表'!D3,SUMIF(项目类型,C1,'数据-汇总表'!D17:D26))</f>
        <v>25136</v>
      </c>
    </row>
    <row r="20" spans="1:35" ht="15">
      <c r="A20" s="2429"/>
      <c r="B20" s="1244" t="s">
        <v>2142</v>
      </c>
      <c r="C20" s="146">
        <f ca="1">SUMIF(INDIRECT("'"&amp;C4&amp;"'"&amp;"!A:A"),结果表!B20,INDIRECT("'"&amp;C4&amp;"'"&amp;"!B:B"))</f>
        <v>9290</v>
      </c>
      <c r="D20" s="147">
        <f ca="1">SUMIF(INDIRECT("'"&amp;D4&amp;"'"&amp;"!A:A"),结果表!B20,INDIRECT("'"&amp;D4&amp;"'"&amp;"!B:B"))</f>
        <v>11698</v>
      </c>
      <c r="E20" s="2429"/>
      <c r="F20" s="1244" t="s">
        <v>2142</v>
      </c>
      <c r="G20" s="148">
        <f ca="1">ROUND(C20*$C$18+D20*$D$18,0)</f>
        <v>10494</v>
      </c>
      <c r="H20" s="977" t="s">
        <v>2143</v>
      </c>
      <c r="I20" s="138"/>
    </row>
    <row r="21" spans="1:35" ht="15" customHeight="1" thickBot="1">
      <c r="A21" s="997"/>
      <c r="B21" s="2430" t="s">
        <v>2144</v>
      </c>
      <c r="C21" s="789">
        <f ca="1">ROUND(C19*10000/L19,0)</f>
        <v>139827</v>
      </c>
      <c r="D21" s="790">
        <f ca="1">ROUND(D19*10000/L19,0)</f>
        <v>176080</v>
      </c>
      <c r="E21" s="997"/>
      <c r="F21" s="2430" t="s">
        <v>2144</v>
      </c>
      <c r="G21" s="149">
        <f ca="1">ROUND(G19*10000/L19,0)</f>
        <v>157954</v>
      </c>
      <c r="H21" s="2431" t="s">
        <v>2143</v>
      </c>
      <c r="I21" s="138"/>
    </row>
    <row r="22" spans="1:35" ht="15" thickBot="1">
      <c r="A22" s="2273" t="s">
        <v>2145</v>
      </c>
      <c r="B22" s="2432"/>
      <c r="C22" s="2433"/>
      <c r="D22" s="791">
        <f ca="1">IF(C19&lt;D19,D19/C19-1,C19/D19-1)</f>
        <v>0.25926821634847919</v>
      </c>
      <c r="E22" s="138"/>
      <c r="F22" s="138"/>
      <c r="G22" s="138"/>
      <c r="H22" s="138"/>
      <c r="I22" s="138"/>
    </row>
    <row r="23" spans="1:35" ht="13.5" thickBot="1">
      <c r="A23" s="2410"/>
      <c r="B23" s="2410"/>
      <c r="C23" s="2410"/>
      <c r="D23" s="2410"/>
      <c r="E23" s="138"/>
      <c r="F23" s="138"/>
      <c r="G23" s="138"/>
      <c r="H23" s="138"/>
      <c r="I23" s="138"/>
    </row>
    <row r="24" spans="1:35" ht="14.25">
      <c r="A24" s="3119" t="s">
        <v>2146</v>
      </c>
      <c r="B24" s="2427" t="s">
        <v>2138</v>
      </c>
      <c r="C24" s="145">
        <f>IF(B30=0,0,D30)</f>
        <v>0</v>
      </c>
      <c r="D24" s="2434"/>
      <c r="E24" s="138"/>
      <c r="F24" s="138"/>
      <c r="G24" s="138"/>
      <c r="H24" s="138"/>
      <c r="I24" s="138"/>
    </row>
    <row r="25" spans="1:35" ht="14.25">
      <c r="A25" s="3120"/>
      <c r="B25" s="1244" t="s">
        <v>2142</v>
      </c>
      <c r="C25" s="150">
        <f>IF(B30=0,0,C30)</f>
        <v>0</v>
      </c>
      <c r="D25" s="2435"/>
      <c r="E25" s="138"/>
      <c r="F25" s="138"/>
      <c r="G25" s="138"/>
      <c r="H25" s="138"/>
      <c r="I25" s="138"/>
    </row>
    <row r="26" spans="1:35" ht="13.5" customHeight="1">
      <c r="A26" s="2436" t="s">
        <v>2147</v>
      </c>
      <c r="B26" s="151" t="s">
        <v>2148</v>
      </c>
      <c r="C26" s="151" t="s">
        <v>2149</v>
      </c>
      <c r="D26" s="152" t="s">
        <v>2150</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2151</v>
      </c>
      <c r="B30" s="151"/>
      <c r="C30" s="151"/>
      <c r="D30" s="151"/>
      <c r="E30" s="2919" t="s">
        <v>3025</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2152</v>
      </c>
      <c r="B32" s="2440"/>
      <c r="C32" s="153">
        <f ca="1">IF(D32="总价",G19-C24,G20-C25)</f>
        <v>397033</v>
      </c>
      <c r="D32" s="2441" t="s">
        <v>2153</v>
      </c>
      <c r="E32" s="138"/>
      <c r="F32" s="138"/>
      <c r="G32" s="138"/>
      <c r="H32" s="138"/>
      <c r="I32" s="138"/>
    </row>
    <row r="33" spans="1:15" ht="15">
      <c r="A33" s="954" t="s">
        <v>2154</v>
      </c>
      <c r="B33" s="2442"/>
      <c r="C33" s="2443" t="s">
        <v>3081</v>
      </c>
      <c r="D33" s="2444" t="s">
        <v>3082</v>
      </c>
      <c r="E33" s="2445" t="s">
        <v>2155</v>
      </c>
      <c r="F33" s="2446" t="str">
        <f>IF(D32="楼面单价","取值（单价）","取值（总价）")</f>
        <v>取值（总价）</v>
      </c>
      <c r="G33" s="138"/>
      <c r="H33" s="138"/>
      <c r="I33" s="138"/>
    </row>
    <row r="34" spans="1:15" ht="15">
      <c r="A34" s="2447"/>
      <c r="B34" s="2448" t="s">
        <v>2156</v>
      </c>
      <c r="C34" s="157">
        <f ca="1">IF(C33="自定义",F34,C32-C35)</f>
        <v>270777</v>
      </c>
      <c r="D34" s="1052">
        <f ca="1">IF(C33="自定义",ROUND(C34/C32,3),IF(C33="收益比率",SUMIF(INDIRECT("'"&amp;D33&amp;"'"&amp;"!b:b"),"土地收益比率",INDIRECT("'"&amp;D33&amp;"'"&amp;"!c:c")),SUMIF(INDIRECT("'"&amp;D33&amp;"'"&amp;"!b:b"),"土地成本比率",INDIRECT("'"&amp;D33&amp;"'"&amp;"!c:c"))))</f>
        <v>0.68199999999999994</v>
      </c>
      <c r="E34" s="2449" t="s">
        <v>2157</v>
      </c>
      <c r="F34" s="1732"/>
      <c r="G34" s="138"/>
      <c r="H34" s="138"/>
      <c r="I34" s="138"/>
    </row>
    <row r="35" spans="1:15" ht="15.75" thickBot="1">
      <c r="A35" s="2450"/>
      <c r="B35" s="2451" t="s">
        <v>2158</v>
      </c>
      <c r="C35" s="1438">
        <f ca="1">IF(C33="自定义",F35,ROUND(C32*D35,0))</f>
        <v>126256</v>
      </c>
      <c r="D35" s="1439">
        <f ca="1">IF(C33="自定义",ROUND(C35/C32,3),IF(C33="收益比率",SUMIF(INDIRECT("'"&amp;D33&amp;"'"&amp;"!b:b"),"建筑物收益比率",INDIRECT("'"&amp;D33&amp;"'"&amp;"!c:c")),SUMIF(INDIRECT("'"&amp;D33&amp;"'"&amp;"!b:b"),"建筑物成本比率",INDIRECT("'"&amp;D33&amp;"'"&amp;"!c:c"))))</f>
        <v>0.318</v>
      </c>
      <c r="E35" s="2452" t="s">
        <v>2159</v>
      </c>
      <c r="F35" s="163"/>
      <c r="G35" s="138"/>
      <c r="H35" s="138"/>
      <c r="I35" s="138"/>
    </row>
    <row r="36" spans="1:15" ht="15.75" thickBot="1">
      <c r="A36" s="3137" t="s">
        <v>2160</v>
      </c>
      <c r="B36" s="2453" t="s">
        <v>2161</v>
      </c>
      <c r="C36" s="154"/>
      <c r="D36" s="2454"/>
      <c r="E36" s="2455"/>
      <c r="F36" s="2456"/>
      <c r="G36" s="138"/>
      <c r="H36" s="138"/>
      <c r="I36" s="138"/>
    </row>
    <row r="37" spans="1:15" ht="15.75" thickBot="1">
      <c r="A37" s="3138"/>
      <c r="B37" s="2259" t="s">
        <v>2162</v>
      </c>
      <c r="C37" s="156"/>
      <c r="D37" s="1389"/>
      <c r="E37" s="1389"/>
      <c r="F37" s="2456"/>
      <c r="G37" s="138"/>
      <c r="H37" s="138"/>
      <c r="I37" s="138"/>
    </row>
    <row r="38" spans="1:15" ht="15.75" thickBot="1">
      <c r="A38" s="3139"/>
      <c r="B38" s="2457" t="s">
        <v>2163</v>
      </c>
      <c r="C38" s="727">
        <f>E40+E41</f>
        <v>4478</v>
      </c>
      <c r="D38" s="2458" t="s">
        <v>2164</v>
      </c>
      <c r="E38" s="1389"/>
      <c r="F38" s="2456"/>
      <c r="G38" s="138"/>
      <c r="H38" s="138"/>
      <c r="I38" s="138"/>
    </row>
    <row r="39" spans="1:15" ht="15">
      <c r="A39" s="2429" t="s">
        <v>2165</v>
      </c>
      <c r="B39" s="2459" t="s">
        <v>2166</v>
      </c>
      <c r="C39" s="2460" t="s">
        <v>2167</v>
      </c>
      <c r="D39" s="2460" t="s">
        <v>2168</v>
      </c>
      <c r="E39" s="2461" t="s">
        <v>2169</v>
      </c>
      <c r="F39" s="2456"/>
      <c r="G39" s="138"/>
      <c r="H39" s="138"/>
      <c r="I39" s="138"/>
    </row>
    <row r="40" spans="1:15" ht="14.25">
      <c r="A40" s="2462" t="s">
        <v>2170</v>
      </c>
      <c r="B40" s="158">
        <f>'土地比较法-商业'!E57</f>
        <v>17319.87</v>
      </c>
      <c r="C40" s="159">
        <f>'土地比较法-商业'!B57</f>
        <v>4001</v>
      </c>
      <c r="D40" s="3364">
        <f>'数据-取费表'!B48+'数据-取费表'!B49</f>
        <v>3.0499999999999999E-2</v>
      </c>
      <c r="E40" s="160">
        <f>ROUND(B40*C40*0.4/10000*(1+D40),0)</f>
        <v>2856</v>
      </c>
      <c r="F40" s="2456"/>
      <c r="G40" s="138"/>
      <c r="H40" s="138"/>
      <c r="I40" s="138"/>
    </row>
    <row r="41" spans="1:15" ht="14.25">
      <c r="A41" s="2462" t="s">
        <v>2171</v>
      </c>
      <c r="B41" s="158">
        <f>'土地比较法-商业'!E58</f>
        <v>15298.45</v>
      </c>
      <c r="C41" s="159">
        <f>'土地比较法-商业'!B58</f>
        <v>2572</v>
      </c>
      <c r="D41" s="3364">
        <f>'数据-取费表'!B48+'数据-取费表'!B49</f>
        <v>3.0499999999999999E-2</v>
      </c>
      <c r="E41" s="160">
        <f>ROUND(B41*C41*0.4/10000*(1+D41),0)</f>
        <v>1622</v>
      </c>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2172</v>
      </c>
      <c r="B44" s="2467"/>
      <c r="C44" s="2467"/>
      <c r="D44" s="2468"/>
      <c r="E44" s="2468"/>
      <c r="F44" s="2469"/>
      <c r="G44" s="2469"/>
      <c r="H44" s="2469"/>
      <c r="I44" s="2469"/>
      <c r="J44" s="2470" t="s">
        <v>2173</v>
      </c>
      <c r="K44" s="2471"/>
      <c r="L44" s="2471"/>
      <c r="M44" s="2471"/>
      <c r="N44" s="2471"/>
      <c r="O44" s="2471"/>
    </row>
    <row r="45" spans="1:15" ht="14.25" customHeight="1" thickBot="1">
      <c r="A45" s="3116" t="s">
        <v>2174</v>
      </c>
      <c r="B45" s="3117"/>
      <c r="C45" s="3118"/>
      <c r="D45" s="164">
        <f ca="1">ROUND(H101*F45,0)</f>
        <v>397033</v>
      </c>
      <c r="E45" s="165" t="s">
        <v>2175</v>
      </c>
      <c r="F45" s="166">
        <v>1</v>
      </c>
      <c r="G45" s="167" t="s">
        <v>2176</v>
      </c>
      <c r="H45" s="138"/>
      <c r="I45" s="138"/>
      <c r="J45" s="3176" t="s">
        <v>2177</v>
      </c>
      <c r="K45" s="3176"/>
      <c r="L45" s="3176"/>
      <c r="M45" s="3176"/>
      <c r="N45" s="3176"/>
      <c r="O45" s="3176"/>
    </row>
    <row r="46" spans="1:15" ht="14.25" customHeight="1">
      <c r="A46" s="3113" t="s">
        <v>2178</v>
      </c>
      <c r="B46" s="3114"/>
      <c r="C46" s="3114"/>
      <c r="D46" s="3114"/>
      <c r="E46" s="3114"/>
      <c r="F46" s="3114"/>
      <c r="G46" s="3115"/>
      <c r="H46" s="2472"/>
      <c r="I46" s="168"/>
      <c r="J46" s="1805">
        <v>1</v>
      </c>
      <c r="K46" s="3176" t="s">
        <v>2179</v>
      </c>
      <c r="L46" s="3176"/>
      <c r="M46" s="3196"/>
      <c r="N46" s="3196"/>
      <c r="O46" s="3196"/>
    </row>
    <row r="47" spans="1:15" ht="12" customHeight="1">
      <c r="A47" s="169" t="s">
        <v>2180</v>
      </c>
      <c r="B47" s="170"/>
      <c r="C47" s="171"/>
      <c r="D47" s="172" t="s">
        <v>2181</v>
      </c>
      <c r="E47" s="24" t="s">
        <v>2182</v>
      </c>
      <c r="F47" s="173" t="s">
        <v>2183</v>
      </c>
      <c r="G47" s="174" t="s">
        <v>2184</v>
      </c>
      <c r="H47" s="2472"/>
      <c r="I47" s="168"/>
      <c r="J47" s="1805">
        <v>2</v>
      </c>
      <c r="K47" s="3176" t="s">
        <v>2185</v>
      </c>
      <c r="L47" s="3176"/>
      <c r="M47" s="3197">
        <f>'数据-取费表'!B2</f>
        <v>43332</v>
      </c>
      <c r="N47" s="3197"/>
      <c r="O47" s="3197"/>
    </row>
    <row r="48" spans="1:15" ht="25.5">
      <c r="A48" s="3144" t="s">
        <v>2186</v>
      </c>
      <c r="B48" s="3127"/>
      <c r="C48" s="3127"/>
      <c r="D48" s="140">
        <f>IF(H48="情况1",0,IF(H48="情况2",D52,IF(H48="情况3",D53,IF(H48="情况4",D54))))</f>
        <v>0</v>
      </c>
      <c r="E48" s="1794" t="str">
        <f>IF(H48="情况4","(销售额-原购置价)×税（费）率","销售额×税（费）率")</f>
        <v>销售额×税（费）率</v>
      </c>
      <c r="F48" s="175" t="str">
        <f>IF(H48="情况1","免征",'数据-取费表'!B41)</f>
        <v>免征</v>
      </c>
      <c r="G48" s="2473" t="s">
        <v>2187</v>
      </c>
      <c r="H48" s="2474" t="s">
        <v>2188</v>
      </c>
      <c r="I48" s="2472"/>
      <c r="J48" s="1805">
        <v>3</v>
      </c>
      <c r="K48" s="3176" t="s">
        <v>2189</v>
      </c>
      <c r="L48" s="3176"/>
      <c r="M48" s="3198">
        <f ca="1">H101</f>
        <v>397033</v>
      </c>
      <c r="N48" s="3198"/>
      <c r="O48" s="3198"/>
    </row>
    <row r="49" spans="1:35" ht="25.5" customHeight="1">
      <c r="A49" s="176" t="s">
        <v>2190</v>
      </c>
      <c r="B49" s="3112" t="s">
        <v>2191</v>
      </c>
      <c r="C49" s="3112"/>
      <c r="D49" s="177">
        <v>0</v>
      </c>
      <c r="E49" s="23" t="s">
        <v>2192</v>
      </c>
      <c r="F49" s="28" t="s">
        <v>34</v>
      </c>
      <c r="G49" s="3182"/>
      <c r="H49" s="138"/>
      <c r="I49" s="2475"/>
      <c r="J49" s="1805">
        <v>4</v>
      </c>
      <c r="K49" s="3176" t="str">
        <f>IF(项目基本情况!E8="房地产抵押价值","房地产抵押价值","抵押担保权已注销时的房地产抵押价值")</f>
        <v>房地产抵押价值</v>
      </c>
      <c r="L49" s="3176"/>
      <c r="M49" s="3198">
        <f ca="1">IF(项目基本情况!E8="房地产抵押价值",H107,H109)</f>
        <v>392555</v>
      </c>
      <c r="N49" s="3198"/>
      <c r="O49" s="3198"/>
    </row>
    <row r="50" spans="1:35" ht="25.5" customHeight="1">
      <c r="A50" s="178"/>
      <c r="B50" s="3112" t="s">
        <v>2193</v>
      </c>
      <c r="C50" s="3112"/>
      <c r="D50" s="179"/>
      <c r="E50" s="31"/>
      <c r="F50" s="180"/>
      <c r="G50" s="3183"/>
      <c r="H50" s="138"/>
      <c r="I50" s="2475"/>
      <c r="J50" s="3176" t="s">
        <v>2194</v>
      </c>
      <c r="K50" s="3176"/>
      <c r="L50" s="3176"/>
      <c r="M50" s="3176"/>
      <c r="N50" s="3176"/>
      <c r="O50" s="3176"/>
    </row>
    <row r="51" spans="1:35" ht="12" customHeight="1">
      <c r="A51" s="181"/>
      <c r="B51" s="3112" t="s">
        <v>2195</v>
      </c>
      <c r="C51" s="3112"/>
      <c r="D51" s="182"/>
      <c r="E51" s="30"/>
      <c r="F51" s="180"/>
      <c r="G51" s="3184"/>
      <c r="H51" s="138"/>
      <c r="I51" s="2475"/>
      <c r="J51" s="2476" t="s">
        <v>2196</v>
      </c>
      <c r="K51" s="3176" t="s">
        <v>2197</v>
      </c>
      <c r="L51" s="3176"/>
      <c r="M51" s="2476" t="s">
        <v>2198</v>
      </c>
      <c r="N51" s="2476" t="s">
        <v>2199</v>
      </c>
      <c r="O51" s="2476" t="s">
        <v>2200</v>
      </c>
    </row>
    <row r="52" spans="1:35" ht="24" customHeight="1">
      <c r="A52" s="183" t="s">
        <v>2201</v>
      </c>
      <c r="B52" s="3112" t="s">
        <v>2202</v>
      </c>
      <c r="C52" s="3112"/>
      <c r="D52" s="182">
        <f ca="1">ROUND(D45*'数据-取费表'!B41/(1+'数据-取费表'!C42),0)</f>
        <v>21175</v>
      </c>
      <c r="E52" s="11" t="s">
        <v>2203</v>
      </c>
      <c r="F52" s="184">
        <f>'数据-取费表'!B41</f>
        <v>5.6000000000000001E-2</v>
      </c>
      <c r="G52" s="2477"/>
      <c r="H52" s="138"/>
      <c r="I52" s="2475"/>
      <c r="J52" s="1805">
        <v>1</v>
      </c>
      <c r="K52" s="3177" t="s">
        <v>2204</v>
      </c>
      <c r="L52" s="3177"/>
      <c r="M52" s="1747">
        <f>D48</f>
        <v>0</v>
      </c>
      <c r="N52" s="1805" t="str">
        <f>E48</f>
        <v>销售额×税（费）率</v>
      </c>
      <c r="O52" s="1748" t="str">
        <f>F48</f>
        <v>免征</v>
      </c>
    </row>
    <row r="53" spans="1:35" ht="12" customHeight="1">
      <c r="A53" s="183" t="s">
        <v>2205</v>
      </c>
      <c r="B53" s="3135" t="s">
        <v>2206</v>
      </c>
      <c r="C53" s="3136"/>
      <c r="D53" s="182">
        <f ca="1">ROUND(D45*'数据-取费表'!B41/(1+'数据-取费表'!C42),0)</f>
        <v>21175</v>
      </c>
      <c r="E53" s="11" t="s">
        <v>2203</v>
      </c>
      <c r="F53" s="184">
        <f>'数据-取费表'!B41</f>
        <v>5.6000000000000001E-2</v>
      </c>
      <c r="G53" s="2477"/>
      <c r="H53" s="138"/>
      <c r="I53" s="2475"/>
      <c r="J53" s="1805">
        <v>2</v>
      </c>
      <c r="K53" s="3177" t="s">
        <v>2207</v>
      </c>
      <c r="L53" s="3177"/>
      <c r="M53" s="1747">
        <f t="shared" ref="M53:O54" ca="1" si="0">D55</f>
        <v>199</v>
      </c>
      <c r="N53" s="1805" t="str">
        <f t="shared" si="0"/>
        <v>销售额×税（费）率</v>
      </c>
      <c r="O53" s="1748">
        <f t="shared" si="0"/>
        <v>5.0000000000000001E-4</v>
      </c>
    </row>
    <row r="54" spans="1:35" ht="12" customHeight="1">
      <c r="A54" s="183" t="s">
        <v>2208</v>
      </c>
      <c r="B54" s="3135" t="s">
        <v>2209</v>
      </c>
      <c r="C54" s="3136"/>
      <c r="D54" s="182">
        <f ca="1">C68</f>
        <v>21175</v>
      </c>
      <c r="E54" s="30" t="s">
        <v>2210</v>
      </c>
      <c r="F54" s="184">
        <f>'数据-取费表'!B41</f>
        <v>5.6000000000000001E-2</v>
      </c>
      <c r="G54" s="2477"/>
      <c r="H54" s="2478"/>
      <c r="I54" s="2475"/>
      <c r="J54" s="1805">
        <v>3</v>
      </c>
      <c r="K54" s="3177" t="s">
        <v>2211</v>
      </c>
      <c r="L54" s="3177"/>
      <c r="M54" s="1747">
        <f t="shared" ca="1" si="0"/>
        <v>224721</v>
      </c>
      <c r="N54" s="1805" t="str">
        <f t="shared" si="0"/>
        <v>增值额×税（费）率</v>
      </c>
      <c r="O54" s="1749" t="str">
        <f t="shared" si="0"/>
        <v>——</v>
      </c>
    </row>
    <row r="55" spans="1:35" ht="24" customHeight="1">
      <c r="A55" s="3126" t="s">
        <v>2212</v>
      </c>
      <c r="B55" s="3127"/>
      <c r="C55" s="3127"/>
      <c r="D55" s="185">
        <f ca="1">IF(H55="个人住宅",0,ROUND(D45*I55,0))</f>
        <v>199</v>
      </c>
      <c r="E55" s="11" t="s">
        <v>2213</v>
      </c>
      <c r="F55" s="184">
        <f>IF(H55="正常",I55,"免征")</f>
        <v>5.0000000000000001E-4</v>
      </c>
      <c r="G55" s="2477"/>
      <c r="H55" s="2474" t="s">
        <v>2214</v>
      </c>
      <c r="I55" s="186">
        <f>'数据-取费表'!B49</f>
        <v>5.0000000000000001E-4</v>
      </c>
      <c r="J55" s="1805" t="str">
        <f>IF(H59="非个人房产","",4)</f>
        <v/>
      </c>
      <c r="K55" s="3177" t="str">
        <f>IF(H59="非个人房产","——","个人所得税")</f>
        <v>——</v>
      </c>
      <c r="L55" s="3177"/>
      <c r="M55" s="1750" t="str">
        <f>D59</f>
        <v>——</v>
      </c>
      <c r="N55" s="1803" t="str">
        <f>E59</f>
        <v>——</v>
      </c>
      <c r="O55" s="1751" t="str">
        <f>F59</f>
        <v>——</v>
      </c>
    </row>
    <row r="56" spans="1:35" ht="24.75">
      <c r="A56" s="3126" t="s">
        <v>2215</v>
      </c>
      <c r="B56" s="3127"/>
      <c r="C56" s="3127"/>
      <c r="D56" s="185">
        <f ca="1">IF(H56="个人住宅",D57,D58)</f>
        <v>224721</v>
      </c>
      <c r="E56" s="11" t="s">
        <v>2216</v>
      </c>
      <c r="F56" s="184" t="str">
        <f>IF(H56="正常",F58,"免征")</f>
        <v>——</v>
      </c>
      <c r="G56" s="2479" t="s">
        <v>2217</v>
      </c>
      <c r="H56" s="2480" t="s">
        <v>2214</v>
      </c>
      <c r="I56" s="2481"/>
      <c r="J56" s="1805" t="str">
        <f>IF(项目基本情况!K6="上海银行",IF(J55="",4,J55+1),"")</f>
        <v/>
      </c>
      <c r="K56" s="3200" t="str">
        <f>IF(项目基本情况!K6="上海银行","其他处置费用","")</f>
        <v/>
      </c>
      <c r="L56" s="3201"/>
      <c r="M56" s="1747" t="str">
        <f>IF(项目基本情况!K6="上海银行",M69,"")</f>
        <v/>
      </c>
      <c r="N56" s="3203" t="str">
        <f>IF(项目基本情况!K6="上海银行","包含处置中涉及的律师、诉讼、拍卖、评估等费用","")</f>
        <v/>
      </c>
      <c r="O56" s="3204"/>
    </row>
    <row r="57" spans="1:35" ht="12.75">
      <c r="A57" s="183" t="s">
        <v>2190</v>
      </c>
      <c r="B57" s="3142" t="s">
        <v>2218</v>
      </c>
      <c r="C57" s="3151"/>
      <c r="D57" s="187">
        <v>0</v>
      </c>
      <c r="E57" s="23" t="s">
        <v>2192</v>
      </c>
      <c r="F57" s="155"/>
      <c r="G57" s="2477"/>
      <c r="H57" s="2481"/>
      <c r="I57" s="2481"/>
      <c r="J57" s="3177">
        <f>IF(AND(J55="",J56=""),4,IF(项目基本情况!K6="上海银行",结果表!J56+1,结果表!J55+1))</f>
        <v>4</v>
      </c>
      <c r="K57" s="3177" t="s">
        <v>2219</v>
      </c>
      <c r="L57" s="2482" t="s">
        <v>2220</v>
      </c>
      <c r="M57" s="1752"/>
      <c r="N57" s="1753">
        <f ca="1">SUMIF(M52:M56,"&lt;9e307")</f>
        <v>224920</v>
      </c>
      <c r="O57" s="2483"/>
      <c r="P57" s="1746">
        <f ca="1">N57/M49</f>
        <v>0.57296429799645909</v>
      </c>
    </row>
    <row r="58" spans="1:35" ht="24.75">
      <c r="A58" s="183" t="s">
        <v>2201</v>
      </c>
      <c r="B58" s="3142" t="s">
        <v>2221</v>
      </c>
      <c r="C58" s="3143"/>
      <c r="D58" s="185">
        <f ca="1">IF(H58="转让取得",C81,C97)</f>
        <v>224721</v>
      </c>
      <c r="E58" s="11" t="s">
        <v>2216</v>
      </c>
      <c r="F58" s="24" t="s">
        <v>34</v>
      </c>
      <c r="G58" s="2477"/>
      <c r="H58" s="2480" t="s">
        <v>2222</v>
      </c>
      <c r="I58" s="2481"/>
      <c r="J58" s="3177"/>
      <c r="K58" s="3177"/>
      <c r="L58" s="2482" t="s">
        <v>2223</v>
      </c>
      <c r="M58" s="1754"/>
      <c r="N58" s="2484" t="str">
        <f ca="1">NUMBERSTRING(INT(N57*10000),2)&amp;"元整"</f>
        <v>贰拾贰亿肆仟玖佰贰拾万元整</v>
      </c>
      <c r="O58" s="2485"/>
    </row>
    <row r="59" spans="1:35" ht="24.75" thickBot="1">
      <c r="A59" s="3180" t="s">
        <v>2224</v>
      </c>
      <c r="B59" s="3181"/>
      <c r="C59" s="3181"/>
      <c r="D59" s="188" t="str">
        <f>IF(H59="非个人房产","——",IF(H59="个人住宅",0,ROUND(D45*I59,0)))</f>
        <v>——</v>
      </c>
      <c r="E59" s="189" t="str">
        <f>IF(H59="非个人房产","——","销售额×税（费）率")</f>
        <v>——</v>
      </c>
      <c r="F59" s="190" t="str">
        <f>IF(H59="非个人房产","——",IF(H59="个人住宅","免征",I59))</f>
        <v>——</v>
      </c>
      <c r="G59" s="2486" t="s">
        <v>2217</v>
      </c>
      <c r="H59" s="2480" t="s">
        <v>2225</v>
      </c>
      <c r="I59" s="191">
        <v>0.01</v>
      </c>
      <c r="J59" s="3178">
        <f>J57+1</f>
        <v>5</v>
      </c>
      <c r="K59" s="3177" t="s">
        <v>2226</v>
      </c>
      <c r="L59" s="1805" t="s">
        <v>2220</v>
      </c>
      <c r="M59" s="1755"/>
      <c r="N59" s="1756">
        <f ca="1">M49-N57</f>
        <v>167635</v>
      </c>
      <c r="O59" s="2487"/>
    </row>
    <row r="60" spans="1:35" ht="12" customHeight="1">
      <c r="A60" s="2488"/>
      <c r="B60" s="2410"/>
      <c r="C60" s="2410"/>
      <c r="D60" s="2410"/>
      <c r="E60" s="2159"/>
      <c r="F60" s="2481"/>
      <c r="G60" s="2481"/>
      <c r="H60" s="2489"/>
      <c r="I60" s="138"/>
      <c r="J60" s="3179"/>
      <c r="K60" s="3177"/>
      <c r="L60" s="2482" t="s">
        <v>2223</v>
      </c>
      <c r="M60" s="1754"/>
      <c r="N60" s="2484" t="str">
        <f ca="1">NUMBERSTRING(INT(N59*10000),2)&amp;"元整"</f>
        <v>壹拾陆亿柒仟陆佰叁拾伍万元整</v>
      </c>
      <c r="O60" s="2485"/>
    </row>
    <row r="61" spans="1:35" ht="13.5" thickBot="1">
      <c r="A61" s="3124" t="s">
        <v>2227</v>
      </c>
      <c r="B61" s="3124"/>
      <c r="C61" s="3124"/>
      <c r="D61" s="3124"/>
      <c r="E61" s="3124"/>
      <c r="F61" s="2481"/>
      <c r="G61" s="2481"/>
      <c r="H61" s="2489"/>
      <c r="I61" s="138"/>
      <c r="J61" s="1805">
        <f>J59+1</f>
        <v>6</v>
      </c>
      <c r="K61" s="3177" t="s">
        <v>2228</v>
      </c>
      <c r="L61" s="3177"/>
      <c r="M61" s="1757"/>
      <c r="N61" s="1758">
        <f ca="1">ROUND(N59*10000/'数据-汇总表'!E3,0)</f>
        <v>4431</v>
      </c>
      <c r="O61" s="2490"/>
    </row>
    <row r="62" spans="1:35" ht="12.75">
      <c r="A62" s="3140" t="s">
        <v>2229</v>
      </c>
      <c r="B62" s="3141"/>
      <c r="C62" s="1797"/>
      <c r="D62" s="1797" t="s">
        <v>2230</v>
      </c>
      <c r="E62" s="192" t="s">
        <v>2231</v>
      </c>
      <c r="F62" s="2481"/>
      <c r="G62" s="2481"/>
      <c r="H62" s="2489"/>
      <c r="I62" s="138"/>
    </row>
    <row r="63" spans="1:35" ht="12.75">
      <c r="A63" s="203" t="s">
        <v>775</v>
      </c>
      <c r="B63" s="193" t="s">
        <v>2232</v>
      </c>
      <c r="C63" s="194">
        <f ca="1">ROUND((C64+C65)/(1+'数据-取费表'!C42),0)</f>
        <v>378127</v>
      </c>
      <c r="D63" s="195"/>
      <c r="E63" s="196"/>
      <c r="F63" s="2481"/>
      <c r="G63" s="2481"/>
      <c r="H63" s="2489"/>
      <c r="I63" s="138"/>
      <c r="J63" s="3202" t="s">
        <v>2233</v>
      </c>
      <c r="K63" s="2491" t="s">
        <v>2234</v>
      </c>
      <c r="L63" s="1745">
        <f ca="1">IF(M49&gt;10000,M49*0.5%,IF(AND(M49&gt;1000,M49&lt;=10000),M49*1%,IF(AND(M49&gt;100,M49&lt;=1000),M49*3%,IF(AND(M49&gt;10,M49&lt;=100),M49*5%,M49*8%))))</f>
        <v>1962.7750000000001</v>
      </c>
      <c r="M63" s="24">
        <f ca="1">ROUND(L63,1)</f>
        <v>1962.8</v>
      </c>
      <c r="Z63" s="2415"/>
      <c r="AI63" s="2416"/>
    </row>
    <row r="64" spans="1:35" ht="14.25" customHeight="1">
      <c r="A64" s="197" t="s">
        <v>770</v>
      </c>
      <c r="B64" s="198" t="s">
        <v>2235</v>
      </c>
      <c r="C64" s="199">
        <f ca="1">D45</f>
        <v>397033</v>
      </c>
      <c r="D64" s="200" t="s">
        <v>32</v>
      </c>
      <c r="E64" s="201"/>
      <c r="F64" s="2481"/>
      <c r="G64" s="2481"/>
      <c r="H64" s="2489"/>
      <c r="I64" s="138"/>
      <c r="J64" s="3202"/>
      <c r="K64" s="2491" t="s">
        <v>2236</v>
      </c>
      <c r="L64" s="1745">
        <f ca="1">IF(M49&gt;2000,M49*0.5%,IF(AND(M49&gt;1000,M49&lt;=2000),M49*0.6%,IF(AND(M49&gt;500,M49&lt;=1000),M49*0.7%,IF(AND(M49&gt;200,M49&lt;=500),M49*0.8%,IF(AND(M49&gt;100,M49&lt;=200),M49*0.9%,IF(AND(M49&gt;50,M49&lt;=100),M49*1%,IF(AND(M49&gt;20,M49&lt;=50),M49*1.5%,IF(AND(M49&gt;10,M49&lt;=20),M49*2%,IF(AND(M49&gt;1,M49&lt;=10),M49*2.5%)))))))))</f>
        <v>1962.7750000000001</v>
      </c>
      <c r="M64" s="24">
        <f t="shared" ref="M64:M65" ca="1" si="1">ROUND(L64,1)</f>
        <v>1962.8</v>
      </c>
      <c r="N64" s="138" t="s">
        <v>2237</v>
      </c>
      <c r="Z64" s="2415"/>
      <c r="AI64" s="2416"/>
    </row>
    <row r="65" spans="1:35" ht="14.25" customHeight="1">
      <c r="A65" s="197" t="s">
        <v>771</v>
      </c>
      <c r="B65" s="198" t="s">
        <v>2238</v>
      </c>
      <c r="C65" s="202"/>
      <c r="D65" s="200"/>
      <c r="E65" s="201"/>
      <c r="F65" s="2481"/>
      <c r="G65" s="2481"/>
      <c r="H65" s="2489"/>
      <c r="I65" s="138"/>
      <c r="J65" s="3202"/>
      <c r="K65" s="2491" t="s">
        <v>2239</v>
      </c>
      <c r="L65" s="1745">
        <f ca="1">IF(M49&gt;1000,M49*0.1%,IF(AND(M49&gt;500,M49&lt;=1000),M49*0.5%,IF(AND(M49&gt;50,M49&lt;=500),M49*1%,IF(AND(M49&gt;1,M49&lt;=50),M49*1.5%))))</f>
        <v>392.55500000000001</v>
      </c>
      <c r="M65" s="24">
        <f t="shared" ca="1" si="1"/>
        <v>392.6</v>
      </c>
      <c r="N65" s="138" t="s">
        <v>2237</v>
      </c>
      <c r="Z65" s="2415"/>
      <c r="AI65" s="2416"/>
    </row>
    <row r="66" spans="1:35" ht="14.25" customHeight="1">
      <c r="A66" s="203" t="s">
        <v>772</v>
      </c>
      <c r="B66" s="204" t="s">
        <v>2240</v>
      </c>
      <c r="C66" s="205"/>
      <c r="D66" s="206" t="s">
        <v>32</v>
      </c>
      <c r="E66" s="1769" t="s">
        <v>1371</v>
      </c>
      <c r="F66" s="2481"/>
      <c r="G66" s="2481"/>
      <c r="H66" s="2489"/>
      <c r="I66" s="138"/>
      <c r="J66" s="3202"/>
      <c r="K66" s="2491" t="s">
        <v>2241</v>
      </c>
      <c r="L66" s="1745">
        <f ca="1">M49*0.5%</f>
        <v>1962.7750000000001</v>
      </c>
      <c r="M66" s="24">
        <f ca="1">IF(L66&gt;0.5,0.5,ROUND(L66,0))</f>
        <v>0.5</v>
      </c>
      <c r="N66" s="138" t="s">
        <v>2242</v>
      </c>
      <c r="Z66" s="2415"/>
      <c r="AI66" s="2416"/>
    </row>
    <row r="67" spans="1:35" ht="14.25" customHeight="1">
      <c r="A67" s="203" t="s">
        <v>773</v>
      </c>
      <c r="B67" s="204" t="s">
        <v>2243</v>
      </c>
      <c r="C67" s="207">
        <f ca="1">C63-C66</f>
        <v>378127</v>
      </c>
      <c r="D67" s="200" t="s">
        <v>32</v>
      </c>
      <c r="E67" s="201"/>
      <c r="F67" s="2481"/>
      <c r="G67" s="2481"/>
      <c r="H67" s="2489"/>
      <c r="I67" s="138"/>
      <c r="J67" s="3202"/>
      <c r="K67" s="2491" t="s">
        <v>2244</v>
      </c>
      <c r="L67" s="1745">
        <f ca="1">IF(M49&gt;=10000,(8.25+(M49-10000)*0.01%),IF(AND(M49&gt;=8000,M49&lt;10000),(7.85+(M49-8000)*0.02%),IF(AND(M49&gt;=5000,M49&lt;8000),(6.65+(M49-5000)*0.04%),IF(AND(M49&gt;=2000,M49&lt;5000),(4.25+(PM49-2000)*0.08%),IF(AND(M49&gt;=1000,M49&lt;2000),(2.75+(M49-1000)*0.15%),IF(AND(M49&gt;=100,M49&lt;1000),(0.5+(M49-100)*0.25%),IF(AND(M49&gt;0,M49&lt;100),M49*0.5%)))))))</f>
        <v>46.505500000000005</v>
      </c>
      <c r="M67" s="24">
        <f ca="1">ROUND(L67*0.9,1)</f>
        <v>41.9</v>
      </c>
      <c r="Z67" s="2415"/>
      <c r="AI67" s="2416"/>
    </row>
    <row r="68" spans="1:35" ht="14.25" customHeight="1" thickBot="1">
      <c r="A68" s="208" t="s">
        <v>774</v>
      </c>
      <c r="B68" s="209" t="s">
        <v>2245</v>
      </c>
      <c r="C68" s="210">
        <f ca="1">IF(C67&lt;=0,0,ROUND(C67*D68,0))</f>
        <v>21175</v>
      </c>
      <c r="D68" s="211">
        <f>'数据-取费表'!B41</f>
        <v>5.6000000000000001E-2</v>
      </c>
      <c r="E68" s="212"/>
      <c r="F68" s="2481"/>
      <c r="G68" s="2481"/>
      <c r="H68" s="2489"/>
      <c r="I68" s="138"/>
      <c r="J68" s="3202"/>
      <c r="K68" s="2491" t="s">
        <v>2246</v>
      </c>
      <c r="L68" s="1745">
        <f ca="1">IF(M49&gt;10000,M49*0.5%,IF(AND(M49&gt;5000,M49&lt;=10000),M49*1%,IF(AND(M49&gt;1000,M49&lt;=5000),M49*2%,IF(AND(M49&gt;200,M49&lt;=1000),M49*3%,M49*5%))))</f>
        <v>1962.7750000000001</v>
      </c>
      <c r="M68" s="24">
        <f ca="1">ROUND(L68,1)</f>
        <v>1962.8</v>
      </c>
      <c r="Z68" s="2415"/>
      <c r="AI68" s="2416"/>
    </row>
    <row r="69" spans="1:35" s="2438" customFormat="1" ht="16.5" customHeight="1">
      <c r="A69" s="2492"/>
      <c r="B69" s="2493"/>
      <c r="C69" s="2494"/>
      <c r="D69" s="2495"/>
      <c r="E69" s="2496"/>
      <c r="F69" s="2159"/>
      <c r="G69" s="2159"/>
      <c r="H69" s="2158"/>
      <c r="I69" s="2410"/>
      <c r="J69" s="3202"/>
      <c r="K69" s="2491" t="s">
        <v>2247</v>
      </c>
      <c r="L69" s="2497"/>
      <c r="M69" s="24">
        <f ca="1">ROUND(SUM(M63:M68),0)</f>
        <v>6323</v>
      </c>
      <c r="N69" s="1746">
        <f ca="1">M69/M49</f>
        <v>1.6107297066653082E-2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61" t="s">
        <v>2248</v>
      </c>
      <c r="B70" s="3162"/>
      <c r="C70" s="3162"/>
      <c r="D70" s="3162"/>
      <c r="E70" s="3162"/>
      <c r="F70" s="3162"/>
      <c r="G70" s="3162"/>
      <c r="H70" s="316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0" t="s">
        <v>2229</v>
      </c>
      <c r="B71" s="3141"/>
      <c r="C71" s="1797"/>
      <c r="D71" s="1797" t="s">
        <v>2230</v>
      </c>
      <c r="E71" s="213" t="s">
        <v>2231</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2249</v>
      </c>
      <c r="C72" s="207">
        <f ca="1">ROUND(D45/(1+'数据-取费表'!C42),0)</f>
        <v>378127</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2250</v>
      </c>
      <c r="C73" s="207">
        <f ca="1">C74+C78</f>
        <v>2269</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2251</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2252</v>
      </c>
      <c r="C75" s="218"/>
      <c r="D75" s="200" t="s">
        <v>32</v>
      </c>
      <c r="E75" s="219" t="s">
        <v>2253</v>
      </c>
      <c r="F75" s="2503" t="s">
        <v>2254</v>
      </c>
      <c r="G75" s="219" t="s">
        <v>2255</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2256</v>
      </c>
      <c r="C76" s="200">
        <f>IF(F75="购房发票",ROUND(C75*H75*D76,0),0)</f>
        <v>0</v>
      </c>
      <c r="D76" s="222">
        <v>0.05</v>
      </c>
      <c r="E76" s="3135" t="s">
        <v>2257</v>
      </c>
      <c r="F76" s="3112"/>
      <c r="G76" s="3112"/>
      <c r="H76" s="316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5" t="s">
        <v>2260</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2261</v>
      </c>
      <c r="C78" s="225">
        <f ca="1">ROUND(D45*D78/(1+'数据-取费表'!C42),0)</f>
        <v>2269</v>
      </c>
      <c r="D78" s="226">
        <f>'数据-取费表'!B43</f>
        <v>6.000000000000001E-3</v>
      </c>
      <c r="E78" s="3121" t="s">
        <v>2262</v>
      </c>
      <c r="F78" s="3122"/>
      <c r="G78" s="3122"/>
      <c r="H78" s="313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2263</v>
      </c>
      <c r="C79" s="207">
        <f ca="1">C72-C73</f>
        <v>375858</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2264</v>
      </c>
      <c r="C80" s="227">
        <f ca="1">IF(C79&lt;=0,0,C79/C73)</f>
        <v>165.64918466284706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2265</v>
      </c>
      <c r="C81" s="228">
        <f ca="1">ROUND(IF(C79&lt;=0,0,IF(C80&gt;=200%,C79*60%-C73*35%,IF(C80&gt;=100%,C79*50%-C73*15%,IF(C80&gt;=50%,C79*40%-C73*5%,IF(C80&lt;50%,C79*30%,0))))),0)</f>
        <v>224721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61" t="s">
        <v>2266</v>
      </c>
      <c r="B83" s="3162"/>
      <c r="C83" s="3162"/>
      <c r="D83" s="3162"/>
      <c r="E83" s="3162"/>
      <c r="F83" s="3162"/>
      <c r="G83" s="3162"/>
      <c r="H83" s="316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0" t="s">
        <v>2229</v>
      </c>
      <c r="B84" s="3141"/>
      <c r="C84" s="1797"/>
      <c r="D84" s="1797" t="s">
        <v>2230</v>
      </c>
      <c r="E84" s="213" t="s">
        <v>2231</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2249</v>
      </c>
      <c r="C85" s="207">
        <f ca="1">ROUND(D45/(1+'数据-取费表'!C42),0)</f>
        <v>378127</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2250</v>
      </c>
      <c r="C86" s="207">
        <f ca="1">IF(H88="仅含出让金",C87+C90+C91+C92+C93+C94,C87+C91+C92+C93+C94)</f>
        <v>2269</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2267</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2268</v>
      </c>
      <c r="C88" s="236"/>
      <c r="D88" s="226"/>
      <c r="E88" s="237" t="s">
        <v>2269</v>
      </c>
      <c r="F88" s="1793"/>
      <c r="G88" s="238" t="s">
        <v>2270</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2258</v>
      </c>
      <c r="C89" s="225">
        <f>ROUND(C88*D89,0)</f>
        <v>0</v>
      </c>
      <c r="D89" s="226">
        <f>'数据-取费表'!B48+'数据-取费表'!B49</f>
        <v>3.0499999999999999E-2</v>
      </c>
      <c r="E89" s="237" t="s">
        <v>2271</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2272</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2273</v>
      </c>
      <c r="B91" s="198" t="s">
        <v>2274</v>
      </c>
      <c r="C91" s="225">
        <f>IF(H91="——",成本法!C33,I91)</f>
        <v>0</v>
      </c>
      <c r="D91" s="226"/>
      <c r="E91" s="3121" t="s">
        <v>2275</v>
      </c>
      <c r="F91" s="3122"/>
      <c r="G91" s="3122"/>
      <c r="H91" s="2510" t="s">
        <v>2276</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2277</v>
      </c>
      <c r="B92" s="198" t="s">
        <v>2278</v>
      </c>
      <c r="C92" s="225">
        <f>ROUND((C87+C90+C91)*D92,0)</f>
        <v>0</v>
      </c>
      <c r="D92" s="226">
        <v>0.1</v>
      </c>
      <c r="E92" s="3121" t="s">
        <v>2279</v>
      </c>
      <c r="F92" s="3122"/>
      <c r="G92" s="3122"/>
      <c r="H92" s="313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2280</v>
      </c>
      <c r="B93" s="198" t="s">
        <v>2261</v>
      </c>
      <c r="C93" s="225">
        <f ca="1">ROUND(D45*D93/(1+'数据-取费表'!C42),0)</f>
        <v>2269</v>
      </c>
      <c r="D93" s="226">
        <f>'数据-取费表'!B43</f>
        <v>6.000000000000001E-3</v>
      </c>
      <c r="E93" s="3121" t="s">
        <v>2262</v>
      </c>
      <c r="F93" s="3122"/>
      <c r="G93" s="3122"/>
      <c r="H93" s="313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2281</v>
      </c>
      <c r="B94" s="198" t="s">
        <v>2282</v>
      </c>
      <c r="C94" s="236">
        <f>ROUND((C87+C90+C91)*D94,0)</f>
        <v>0</v>
      </c>
      <c r="D94" s="226">
        <v>0.2</v>
      </c>
      <c r="E94" s="3132" t="s">
        <v>2283</v>
      </c>
      <c r="F94" s="3133"/>
      <c r="G94" s="3133"/>
      <c r="H94" s="313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2263</v>
      </c>
      <c r="C95" s="207">
        <f ca="1">ROUND(C85-C86,0)</f>
        <v>375858</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2264</v>
      </c>
      <c r="C96" s="227">
        <f ca="1">IF(C95&lt;=0,0,C95/C86)</f>
        <v>165.64918466284706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2265</v>
      </c>
      <c r="C97" s="228">
        <f ca="1">ROUND(IF(C95&lt;=0,0,IF(C96&gt;=200%,C95*60%-C86*35%,IF(C96&gt;=100%,C95*50%-C86*15%,IF(C96&gt;=50%,C95*40%-C86*5%,IF(C96&lt;50%,C95*30%,0))))),0)</f>
        <v>224721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2284</v>
      </c>
      <c r="B99" s="2410"/>
      <c r="C99" s="2410"/>
      <c r="D99" s="2410"/>
      <c r="E99" s="2159"/>
      <c r="F99" s="2159"/>
      <c r="G99" s="2159"/>
      <c r="H99" s="2158"/>
      <c r="I99" s="138"/>
    </row>
    <row r="100" spans="1:35" ht="18.75" customHeight="1">
      <c r="A100" s="3102" t="s">
        <v>2285</v>
      </c>
      <c r="B100" s="3103"/>
      <c r="C100" s="3103"/>
      <c r="D100" s="3123"/>
      <c r="E100" s="3103" t="s">
        <v>2286</v>
      </c>
      <c r="F100" s="3103"/>
      <c r="G100" s="3103"/>
      <c r="H100" s="3123"/>
      <c r="I100" s="138"/>
    </row>
    <row r="101" spans="1:35" ht="18.75" customHeight="1">
      <c r="A101" s="3185" t="s">
        <v>2287</v>
      </c>
      <c r="B101" s="3186"/>
      <c r="C101" s="736" t="str">
        <f>C4</f>
        <v>成本法</v>
      </c>
      <c r="D101" s="737" t="str">
        <f>D4</f>
        <v>假设开发法</v>
      </c>
      <c r="E101" s="3199" t="s">
        <v>2288</v>
      </c>
      <c r="F101" s="3153"/>
      <c r="G101" s="2512" t="s">
        <v>2289</v>
      </c>
      <c r="H101" s="1042">
        <f ca="1">H118</f>
        <v>397033</v>
      </c>
      <c r="I101" s="138"/>
    </row>
    <row r="102" spans="1:35" ht="18.75" customHeight="1">
      <c r="A102" s="3155" t="s">
        <v>2290</v>
      </c>
      <c r="B102" s="2512" t="s">
        <v>2289</v>
      </c>
      <c r="C102" s="736">
        <f ca="1">C19</f>
        <v>351470</v>
      </c>
      <c r="D102" s="737">
        <f ca="1">D19</f>
        <v>442595</v>
      </c>
      <c r="E102" s="3199"/>
      <c r="F102" s="3153"/>
      <c r="G102" s="2512" t="s">
        <v>2291</v>
      </c>
      <c r="H102" s="371">
        <f ca="1">I118</f>
        <v>10494</v>
      </c>
      <c r="I102" s="138"/>
    </row>
    <row r="103" spans="1:35" ht="42.75" customHeight="1">
      <c r="A103" s="3155"/>
      <c r="B103" s="2512" t="s">
        <v>2291</v>
      </c>
      <c r="C103" s="738">
        <f ca="1">C20</f>
        <v>9290</v>
      </c>
      <c r="D103" s="739">
        <f ca="1">D20</f>
        <v>11698</v>
      </c>
      <c r="E103" s="3194" t="s">
        <v>2292</v>
      </c>
      <c r="F103" s="3195"/>
      <c r="G103" s="2513" t="s">
        <v>2293</v>
      </c>
      <c r="H103" s="1042">
        <f>IF(D36="正常操作",H104+H105+H106,H105+H106)</f>
        <v>4478</v>
      </c>
      <c r="I103" s="138"/>
    </row>
    <row r="104" spans="1:35" ht="18.75" customHeight="1">
      <c r="A104" s="3155" t="s">
        <v>2294</v>
      </c>
      <c r="B104" s="2514" t="s">
        <v>2289</v>
      </c>
      <c r="C104" s="740">
        <f ca="1">H118</f>
        <v>397033</v>
      </c>
      <c r="D104" s="741"/>
      <c r="E104" s="2259" t="s">
        <v>2295</v>
      </c>
      <c r="F104" s="2251"/>
      <c r="G104" s="2513" t="s">
        <v>2293</v>
      </c>
      <c r="H104" s="1043">
        <f>IF(D36="同一抵押权人同一抵押物续贷",C36&amp;"（未扣减，详见特别提示）",C36)</f>
        <v>0</v>
      </c>
      <c r="I104" s="138"/>
    </row>
    <row r="105" spans="1:35" ht="18.75" customHeight="1" thickBot="1">
      <c r="A105" s="3156"/>
      <c r="B105" s="2515" t="s">
        <v>2291</v>
      </c>
      <c r="C105" s="742">
        <f ca="1">I118</f>
        <v>10494</v>
      </c>
      <c r="D105" s="743"/>
      <c r="E105" s="2259" t="s">
        <v>2296</v>
      </c>
      <c r="F105" s="2251"/>
      <c r="G105" s="2513" t="s">
        <v>2293</v>
      </c>
      <c r="H105" s="1043">
        <f>C37</f>
        <v>0</v>
      </c>
      <c r="I105" s="138"/>
    </row>
    <row r="106" spans="1:35" ht="18.75" customHeight="1">
      <c r="A106" s="2410" t="s">
        <v>2297</v>
      </c>
      <c r="B106" s="2410"/>
      <c r="C106" s="2410"/>
      <c r="D106" s="2410"/>
      <c r="E106" s="2516" t="s">
        <v>2298</v>
      </c>
      <c r="F106" s="2251"/>
      <c r="G106" s="2513" t="s">
        <v>2293</v>
      </c>
      <c r="H106" s="1043">
        <f>C38</f>
        <v>4478</v>
      </c>
      <c r="I106" s="138"/>
    </row>
    <row r="107" spans="1:35" ht="18.75" customHeight="1">
      <c r="A107" s="138"/>
      <c r="B107" s="138"/>
      <c r="C107" s="138"/>
      <c r="D107" s="138"/>
      <c r="E107" s="3152" t="str">
        <f>IF(项目基本情况!E8="已注销","——","3.房地产抵押价值")</f>
        <v>3.房地产抵押价值</v>
      </c>
      <c r="F107" s="3153"/>
      <c r="G107" s="2512" t="s">
        <v>2289</v>
      </c>
      <c r="H107" s="1042">
        <f ca="1">IF(E107="——","——",H101-H103)</f>
        <v>392555</v>
      </c>
      <c r="I107" s="138"/>
    </row>
    <row r="108" spans="1:35" ht="18.75" customHeight="1">
      <c r="A108" s="138"/>
      <c r="B108" s="138"/>
      <c r="C108" s="138"/>
      <c r="D108" s="138"/>
      <c r="E108" s="3152"/>
      <c r="F108" s="3153"/>
      <c r="G108" s="2512" t="s">
        <v>2291</v>
      </c>
      <c r="H108" s="371">
        <f ca="1">ROUND(H107*10000/'数据-汇总表'!E3,0)</f>
        <v>10376</v>
      </c>
      <c r="I108" s="138"/>
    </row>
    <row r="109" spans="1:35" ht="18.75" customHeight="1">
      <c r="A109" s="138"/>
      <c r="B109" s="138"/>
      <c r="C109" s="138"/>
      <c r="D109" s="138"/>
      <c r="E109" s="3152" t="str">
        <f>IF(项目基本情况!E8="已注销及未注销","4.抵押担保权已注销时的房地产抵押价值",IF(项目基本情况!E8="已注销","3.抵押担保权已注销时的房地产抵押价值","——"))</f>
        <v>——</v>
      </c>
      <c r="F109" s="3153"/>
      <c r="G109" s="2512" t="s">
        <v>2289</v>
      </c>
      <c r="H109" s="348" t="str">
        <f>IF(E109="——","——",H101-H105-H106)</f>
        <v>——</v>
      </c>
      <c r="I109" s="138"/>
    </row>
    <row r="110" spans="1:35" ht="18.75" customHeight="1">
      <c r="A110" s="138"/>
      <c r="B110" s="138"/>
      <c r="C110" s="138"/>
      <c r="D110" s="138"/>
      <c r="E110" s="3152"/>
      <c r="F110" s="3153"/>
      <c r="G110" s="2512" t="s">
        <v>2291</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2" t="s">
        <v>2289</v>
      </c>
      <c r="H111" s="1042" t="str">
        <f>IF(E111="——","——",N59)</f>
        <v>——</v>
      </c>
      <c r="I111" s="138"/>
    </row>
    <row r="112" spans="1:35" ht="18.75" customHeight="1" thickBot="1">
      <c r="A112" s="138"/>
      <c r="B112" s="138"/>
      <c r="C112" s="138"/>
      <c r="D112" s="138"/>
      <c r="E112" s="3189"/>
      <c r="F112" s="3190"/>
      <c r="G112" s="2517" t="s">
        <v>2291</v>
      </c>
      <c r="H112" s="790" t="str">
        <f>IF(E111="——","——",N61)</f>
        <v>——</v>
      </c>
      <c r="I112" s="138"/>
    </row>
    <row r="113" spans="1:11" ht="18.75" customHeight="1">
      <c r="A113" s="138"/>
      <c r="B113" s="138"/>
      <c r="C113" s="138"/>
      <c r="D113" s="138"/>
      <c r="E113" s="3157" t="s">
        <v>2297</v>
      </c>
      <c r="F113" s="3157"/>
      <c r="G113" s="3157"/>
      <c r="H113" s="3157"/>
      <c r="I113" s="138"/>
    </row>
    <row r="114" spans="1:11" ht="3.75" customHeight="1">
      <c r="A114" s="2410"/>
      <c r="B114" s="2410"/>
      <c r="C114" s="2410"/>
      <c r="D114" s="2410"/>
      <c r="E114" s="2488"/>
      <c r="F114" s="2488"/>
      <c r="G114" s="2488"/>
      <c r="H114" s="2488"/>
      <c r="I114" s="2410"/>
    </row>
    <row r="115" spans="1:11" ht="18.75" customHeight="1">
      <c r="A115" s="3170" t="s">
        <v>2299</v>
      </c>
      <c r="B115" s="3171"/>
      <c r="C115" s="3171"/>
      <c r="D115" s="3171"/>
      <c r="E115" s="3171"/>
      <c r="F115" s="3171"/>
      <c r="G115" s="3171"/>
      <c r="H115" s="3171"/>
      <c r="I115" s="3172"/>
    </row>
    <row r="116" spans="1:11" ht="27" customHeight="1">
      <c r="A116" s="3059" t="s">
        <v>2300</v>
      </c>
      <c r="B116" s="3158" t="s">
        <v>2301</v>
      </c>
      <c r="C116" s="3158" t="s">
        <v>2302</v>
      </c>
      <c r="D116" s="3174" t="s">
        <v>2303</v>
      </c>
      <c r="E116" s="3175"/>
      <c r="F116" s="3166" t="s">
        <v>2304</v>
      </c>
      <c r="G116" s="3166"/>
      <c r="H116" s="3059" t="s">
        <v>2305</v>
      </c>
      <c r="I116" s="3059"/>
    </row>
    <row r="117" spans="1:11" ht="18.75" customHeight="1">
      <c r="A117" s="3059"/>
      <c r="B117" s="3159"/>
      <c r="C117" s="3159"/>
      <c r="D117" s="1791" t="s">
        <v>2306</v>
      </c>
      <c r="E117" s="1791" t="s">
        <v>2307</v>
      </c>
      <c r="F117" s="1791" t="s">
        <v>2306</v>
      </c>
      <c r="G117" s="1791" t="s">
        <v>2308</v>
      </c>
      <c r="H117" s="1791" t="s">
        <v>2306</v>
      </c>
      <c r="I117" s="1791" t="s">
        <v>2308</v>
      </c>
    </row>
    <row r="118" spans="1:11" ht="24.75" customHeight="1">
      <c r="A118" s="2518" t="str">
        <f>项目基本情况!S2</f>
        <v>重庆市江北区观音桥组团I分区I29-3-/02地块“隆鑫中心”项目出让国有建设用地使用权及在建建筑物房地产</v>
      </c>
      <c r="B118" s="1791">
        <f>M18</f>
        <v>378335.58999999997</v>
      </c>
      <c r="C118" s="1791">
        <f>M19</f>
        <v>25136</v>
      </c>
      <c r="D118" s="1791">
        <f ca="1">ROUND(IF(D32="总价",C34,E118*B118/10000),0)</f>
        <v>270777</v>
      </c>
      <c r="E118" s="1791">
        <f ca="1">ROUND(IF(C33="自定义",IF(D32="楼面单价",C34,D118*10000/B118),I118-G118),0)</f>
        <v>7157</v>
      </c>
      <c r="F118" s="1791">
        <f ca="1">ROUND(IF(D32="总价",C35,G118*B118/10000),0)</f>
        <v>126256</v>
      </c>
      <c r="G118" s="1791">
        <f ca="1">ROUND(IF(D32="楼面单价",C35,F118*10000/B118),0)</f>
        <v>3337</v>
      </c>
      <c r="H118" s="1791">
        <f ca="1">ROUND(IF(D32="总价",C32,I118*B118/10000),0)</f>
        <v>397033</v>
      </c>
      <c r="I118" s="1791">
        <f ca="1">ROUND(IF(D32="楼面单价",C32,H118*10000/B118),0)</f>
        <v>10494</v>
      </c>
    </row>
    <row r="119" spans="1:11" ht="18.75" customHeight="1">
      <c r="A119" s="3059" t="s">
        <v>2309</v>
      </c>
      <c r="B119" s="3059"/>
      <c r="C119" s="3059"/>
      <c r="D119" s="3163" t="str">
        <f ca="1">NUMBERSTRING(INT(D118*10000),2)&amp;"元整"</f>
        <v>贰拾柒亿零柒佰柒拾柒万元整</v>
      </c>
      <c r="E119" s="3165"/>
      <c r="F119" s="3163" t="str">
        <f ca="1">NUMBERSTRING(INT(F118*10000),2)&amp;"元整"</f>
        <v>壹拾贰亿陆仟贰佰伍拾陆万元整</v>
      </c>
      <c r="G119" s="3165"/>
      <c r="H119" s="3163" t="str">
        <f ca="1">NUMBERSTRING(INT(H118*10000),2)&amp;"元整"</f>
        <v>叁拾玖亿柒仟零叁拾叁万元整</v>
      </c>
      <c r="I119" s="3165"/>
    </row>
    <row r="120" spans="1:11" ht="18.75" customHeight="1">
      <c r="A120" s="3191" t="str">
        <f>IF(项目基本情况!B9="房地产市场价值","",MID(E103,3,LEN(E103)-2))</f>
        <v>估价师知悉的法定优先受偿款</v>
      </c>
      <c r="B120" s="3192"/>
      <c r="C120" s="3193"/>
      <c r="D120" s="3191">
        <f>H103</f>
        <v>4478</v>
      </c>
      <c r="E120" s="3192"/>
      <c r="F120" s="3192"/>
      <c r="G120" s="3192"/>
      <c r="H120" s="3192"/>
      <c r="I120" s="3193"/>
      <c r="K120" s="2415" t="str">
        <f>IF(D120=0,"故，本次评估不存在"&amp;A120,"故，本次评估"&amp;A120&amp;"为人民币"&amp;D120&amp;"万元整。")</f>
        <v>故，本次评估估价师知悉的法定优先受偿款为人民币4478万元整。</v>
      </c>
    </row>
    <row r="121" spans="1:11" ht="18.75" customHeight="1">
      <c r="A121" s="3167" t="s">
        <v>2309</v>
      </c>
      <c r="B121" s="3168"/>
      <c r="C121" s="3169"/>
      <c r="D121" s="3163" t="str">
        <f>IF(D120=0,"零元整",NUMBERSTRING(INT(D120*10000),2)&amp;"元整")</f>
        <v>肆仟肆佰柒拾捌万元整</v>
      </c>
      <c r="E121" s="3164"/>
      <c r="F121" s="3164"/>
      <c r="G121" s="3164"/>
      <c r="H121" s="3164"/>
      <c r="I121" s="3165"/>
    </row>
    <row r="122" spans="1:11" ht="18.75" customHeight="1">
      <c r="A122" s="3154" t="str">
        <f>IF(项目基本情况!B9="房地产市场价值","",MID(E107,3,LEN(E107)-2))</f>
        <v>房地产抵押价值</v>
      </c>
      <c r="B122" s="3154"/>
      <c r="C122" s="3154"/>
      <c r="D122" s="3191">
        <f ca="1">H107</f>
        <v>392555</v>
      </c>
      <c r="E122" s="3192"/>
      <c r="F122" s="3192"/>
      <c r="G122" s="3192"/>
      <c r="H122" s="3192"/>
      <c r="I122" s="3193"/>
    </row>
    <row r="123" spans="1:11" ht="18.75" customHeight="1">
      <c r="A123" s="3059" t="s">
        <v>2309</v>
      </c>
      <c r="B123" s="3059"/>
      <c r="C123" s="3059"/>
      <c r="D123" s="3163" t="str">
        <f ca="1">NUMBERSTRING(INT(D122*10000),2)&amp;"元整"</f>
        <v>叁拾玖亿贰仟伍佰伍拾伍万元整</v>
      </c>
      <c r="E123" s="3164"/>
      <c r="F123" s="3164"/>
      <c r="G123" s="3164"/>
      <c r="H123" s="3164"/>
      <c r="I123" s="3165"/>
    </row>
    <row r="124" spans="1:11" ht="18.75" customHeight="1">
      <c r="A124" s="3154" t="str">
        <f>IF(项目基本情况!B9="房地产市场价值","",MID(E109,3,LEN(E109)-2))</f>
        <v/>
      </c>
      <c r="B124" s="3154"/>
      <c r="C124" s="3154"/>
      <c r="D124" s="3191" t="str">
        <f>H109</f>
        <v>——</v>
      </c>
      <c r="E124" s="3192"/>
      <c r="F124" s="3192"/>
      <c r="G124" s="3192"/>
      <c r="H124" s="3192"/>
      <c r="I124" s="3193"/>
    </row>
    <row r="125" spans="1:11" ht="18.75" customHeight="1">
      <c r="A125" s="3059" t="s">
        <v>2309</v>
      </c>
      <c r="B125" s="3059"/>
      <c r="C125" s="3059"/>
      <c r="D125" s="3163" t="e">
        <f>NUMBERSTRING(INT(D124*10000),2)&amp;"元整"</f>
        <v>#VALUE!</v>
      </c>
      <c r="E125" s="3164"/>
      <c r="F125" s="3164"/>
      <c r="G125" s="3164"/>
      <c r="H125" s="3164"/>
      <c r="I125" s="3165"/>
    </row>
    <row r="126" spans="1:11" ht="18.75" customHeight="1">
      <c r="A126" s="3154" t="str">
        <f>IF(项目基本情况!B9="房地产市场价值","",MID(E111,3,LEN(E111)-2))</f>
        <v/>
      </c>
      <c r="B126" s="3154"/>
      <c r="C126" s="3154"/>
      <c r="D126" s="3191" t="str">
        <f>H111</f>
        <v>——</v>
      </c>
      <c r="E126" s="3192"/>
      <c r="F126" s="3192"/>
      <c r="G126" s="3192"/>
      <c r="H126" s="3192"/>
      <c r="I126" s="3193"/>
    </row>
    <row r="127" spans="1:11" ht="18.75" customHeight="1">
      <c r="A127" s="3059" t="s">
        <v>2309</v>
      </c>
      <c r="B127" s="3059"/>
      <c r="C127" s="3059"/>
      <c r="D127" s="3163" t="e">
        <f>NUMBERSTRING(INT(D126*10000),2)&amp;"元整"</f>
        <v>#VALUE!</v>
      </c>
      <c r="E127" s="3164"/>
      <c r="F127" s="3164"/>
      <c r="G127" s="3164"/>
      <c r="H127" s="3164"/>
      <c r="I127" s="3165"/>
    </row>
    <row r="128" spans="1:11" ht="21.75" customHeight="1">
      <c r="A128" s="3173" t="s">
        <v>2310</v>
      </c>
      <c r="B128" s="3173"/>
      <c r="C128" s="3173"/>
      <c r="D128" s="3173"/>
      <c r="E128" s="3173"/>
      <c r="F128" s="3173"/>
      <c r="G128" s="3173"/>
      <c r="H128" s="3173"/>
      <c r="I128" s="3173"/>
    </row>
    <row r="129" spans="1:35" ht="21.75" customHeight="1">
      <c r="A129" s="2519" t="s">
        <v>2311</v>
      </c>
      <c r="B129" s="2520"/>
      <c r="C129" s="2521" t="s">
        <v>2312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2313</v>
      </c>
      <c r="G135" s="2536"/>
      <c r="H135" s="2536"/>
      <c r="I135" s="2537" t="s">
        <v>2314</v>
      </c>
    </row>
    <row r="136" spans="1:35" ht="21.75" customHeight="1">
      <c r="A136" s="795"/>
      <c r="B136" s="2538"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2316</v>
      </c>
    </row>
    <row r="139" spans="1:35" ht="21.75" customHeight="1">
      <c r="A139" s="795"/>
      <c r="B139" s="2538" t="s">
        <v>2317</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2316</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c r="C1" s="242"/>
      <c r="D1" s="242"/>
      <c r="E1" s="242"/>
      <c r="F1" s="242"/>
      <c r="G1" s="1376">
        <f>MATCH(B1,'数据-取费表'!A6:A16,0)+5</f>
        <v>11</v>
      </c>
    </row>
    <row r="2" spans="1:9" s="244" customFormat="1" ht="18" customHeight="1">
      <c r="A2" s="245" t="s">
        <v>2319</v>
      </c>
      <c r="B2" s="246">
        <f ca="1">IF(D2="——",C52,C52-E2)</f>
        <v>351470</v>
      </c>
      <c r="C2" s="243" t="s">
        <v>2320</v>
      </c>
      <c r="D2" s="2541" t="s">
        <v>70</v>
      </c>
      <c r="E2" s="1437" t="e">
        <f ca="1">SUMIF(INDIRECT("'"&amp;G2&amp;"'"&amp;"!A:A"),"承租人权益价值",INDIRECT("'"&amp;G2&amp;"'"&amp;"!c:c"))</f>
        <v>#REF!</v>
      </c>
      <c r="F2" s="2542" t="s">
        <v>2320</v>
      </c>
      <c r="G2" s="2543"/>
    </row>
    <row r="3" spans="1:9" s="244" customFormat="1" ht="18" customHeight="1" thickBot="1">
      <c r="A3" s="247" t="s">
        <v>2321</v>
      </c>
      <c r="B3" s="248">
        <f ca="1">ROUND(B2*10000/(IF(B1="",'数据-汇总表'!E3,INDIRECT("'数据-取费表'!k"&amp;$G$1))),0)</f>
        <v>9290</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176977</v>
      </c>
      <c r="D5" s="255" t="s">
        <v>2326</v>
      </c>
      <c r="E5" s="256" t="s">
        <v>2327</v>
      </c>
      <c r="F5" s="256" t="s">
        <v>2328</v>
      </c>
      <c r="G5" s="257"/>
    </row>
    <row r="6" spans="1:9" s="258" customFormat="1" ht="13.5" customHeight="1">
      <c r="A6" s="946" t="s">
        <v>2329</v>
      </c>
      <c r="B6" s="259" t="s">
        <v>2330</v>
      </c>
      <c r="C6" s="260">
        <f>ROUND('土地比较法-住宅'!C48*'数据-汇总表'!F22/10000,0)+ROUND('土地比较法-商业'!C48*('数据-汇总表'!F19+'数据-汇总表'!F21)/10000,0)</f>
        <v>163485</v>
      </c>
      <c r="D6" s="261"/>
      <c r="E6" s="262"/>
      <c r="F6" s="262"/>
      <c r="G6" s="263"/>
    </row>
    <row r="7" spans="1:9" s="258" customFormat="1" ht="13.5" customHeight="1">
      <c r="A7" s="946" t="s">
        <v>2331</v>
      </c>
      <c r="B7" s="259" t="s">
        <v>2332</v>
      </c>
      <c r="C7" s="264">
        <f>ROUND(C6*F7,0)</f>
        <v>4986</v>
      </c>
      <c r="D7" s="264"/>
      <c r="E7" s="262"/>
      <c r="F7" s="265">
        <f>'数据-取费表'!B48+'数据-取费表'!B49</f>
        <v>3.0499999999999999E-2</v>
      </c>
      <c r="G7" s="263"/>
    </row>
    <row r="8" spans="1:9" s="267" customFormat="1">
      <c r="A8" s="946" t="s">
        <v>2333</v>
      </c>
      <c r="B8" s="259" t="s">
        <v>2334</v>
      </c>
      <c r="C8" s="264">
        <f>IF(G8="已包含在土地购买价格中","0",IF(B1="",'数据-取费表'!B29,IF(G9="全部缴纳",C9+C10,H9)))</f>
        <v>8506</v>
      </c>
      <c r="D8" s="266"/>
      <c r="E8" s="264"/>
      <c r="F8" s="265"/>
      <c r="G8" s="2544" t="s">
        <v>3045</v>
      </c>
    </row>
    <row r="9" spans="1:9" s="258" customFormat="1" ht="13.5" customHeight="1">
      <c r="A9" s="947" t="s">
        <v>800</v>
      </c>
      <c r="B9" s="268" t="s">
        <v>2335</v>
      </c>
      <c r="C9" s="269">
        <f ca="1">ROUND(D9*E9/10000,0)</f>
        <v>2510</v>
      </c>
      <c r="D9" s="1029">
        <f ca="1">IF(B1="",'数据-汇总表'!E5,IF(INDIRECT("'数据-取费表'!c"&amp;$G$1)="住宅",INDIRECT("'数据-取费表'!k"&amp;$G$1),0))</f>
        <v>86542.98</v>
      </c>
      <c r="E9" s="269">
        <f>'数据-取费表'!B27</f>
        <v>290</v>
      </c>
      <c r="F9" s="265"/>
      <c r="G9" s="2545" t="s">
        <v>4279</v>
      </c>
      <c r="H9" s="1387">
        <f>'数据-取费表'!B29</f>
        <v>8506</v>
      </c>
      <c r="I9" s="2546" t="s">
        <v>2336</v>
      </c>
    </row>
    <row r="10" spans="1:9" s="258" customFormat="1" ht="13.5" customHeight="1">
      <c r="A10" s="947" t="s">
        <v>801</v>
      </c>
      <c r="B10" s="268" t="s">
        <v>2337</v>
      </c>
      <c r="C10" s="269">
        <f ca="1">ROUND(D10*E10/10000,0)</f>
        <v>8462</v>
      </c>
      <c r="D10" s="1029">
        <f ca="1">IF(B1="",'数据-汇总表'!E6,IF(INDIRECT("'数据-取费表'!c"&amp;$G$1)="住宅",INDIRECT("'数据-取费表'!s"&amp;$G$1),INDIRECT("'数据-取费表'!k"&amp;$G$1)+INDIRECT("'数据-取费表'!s"&amp;$G$1)))</f>
        <v>291792.61</v>
      </c>
      <c r="E10" s="269">
        <f>'数据-取费表'!B28</f>
        <v>290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378335.58999999997</v>
      </c>
      <c r="E19" s="255">
        <f>'数据-取费表'!B31</f>
        <v>200</v>
      </c>
      <c r="F19" s="275"/>
      <c r="G19" s="2544" t="s">
        <v>3046</v>
      </c>
    </row>
    <row r="20" spans="1:7" s="258" customFormat="1" ht="13.5" customHeight="1">
      <c r="A20" s="299" t="s">
        <v>2350</v>
      </c>
      <c r="B20" s="254" t="s">
        <v>2351</v>
      </c>
      <c r="C20" s="276">
        <f>ROUND((C5+C19)*F20,0)</f>
        <v>3540</v>
      </c>
      <c r="D20" s="276"/>
      <c r="E20" s="276"/>
      <c r="F20" s="277">
        <f>'数据-取费表'!B37</f>
        <v>0.02</v>
      </c>
      <c r="G20" s="278" t="s">
        <v>2352</v>
      </c>
    </row>
    <row r="21" spans="1:7" s="258" customFormat="1" ht="13.5" customHeight="1">
      <c r="A21" s="299" t="s">
        <v>2353</v>
      </c>
      <c r="B21" s="254" t="s">
        <v>2354</v>
      </c>
      <c r="C21" s="279">
        <f>F21</f>
        <v>0.05</v>
      </c>
      <c r="D21" s="280" t="s">
        <v>2355</v>
      </c>
      <c r="E21" s="276"/>
      <c r="F21" s="277">
        <f>'数据-取费表'!B38</f>
        <v>0.05</v>
      </c>
      <c r="G21" s="278" t="s">
        <v>2356</v>
      </c>
    </row>
    <row r="22" spans="1:7" s="258" customFormat="1" ht="13.5" customHeight="1">
      <c r="A22" s="299" t="s">
        <v>2357</v>
      </c>
      <c r="B22" s="254" t="s">
        <v>2358</v>
      </c>
      <c r="C22" s="1351">
        <f ca="1">ROUND(SUM(C23:C25),0)</f>
        <v>17380</v>
      </c>
      <c r="D22" s="279">
        <f ca="1">C26</f>
        <v>2.3999999999999998E-3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52">
        <f ca="1">ROUND(IF('数据-取费表'!B22&lt;=1,C5*F22*'数据-取费表'!B23,C5*(POWER((1+F22),'数据-取费表'!B23)-1)),0)</f>
        <v>17212</v>
      </c>
      <c r="D23" s="282"/>
      <c r="E23" s="282"/>
      <c r="F23" s="283"/>
      <c r="G23" s="284" t="s">
        <v>2361</v>
      </c>
    </row>
    <row r="24" spans="1:7" s="258" customFormat="1" ht="13.5" customHeight="1">
      <c r="A24" s="948" t="s">
        <v>2362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2365</v>
      </c>
      <c r="B25" s="259" t="s">
        <v>2366</v>
      </c>
      <c r="C25" s="1352">
        <f ca="1">ROUND(IF('数据-取费表'!B22&lt;=1,C20*F22*'数据-取费表'!B23/2,C20*(POWER((1+F22),'数据-取费表'!B23/2)-1)),0)</f>
        <v>168</v>
      </c>
      <c r="D25" s="282"/>
      <c r="E25" s="285"/>
      <c r="F25" s="283"/>
      <c r="G25" s="286" t="s">
        <v>2367</v>
      </c>
    </row>
    <row r="26" spans="1:7" s="258" customFormat="1">
      <c r="A26" s="948" t="s">
        <v>795</v>
      </c>
      <c r="B26" s="259" t="s">
        <v>2368</v>
      </c>
      <c r="C26" s="282">
        <f ca="1">ROUND(IF('数据-取费表'!B22&lt;=1,F21*F22*'数据-取费表'!B23/2,F21*(POWER((1+F22),'数据-取费表'!B23/2)-1)),4)</f>
        <v>2.3999999999999998E-3</v>
      </c>
      <c r="D26" s="282"/>
      <c r="E26" s="285"/>
      <c r="F26" s="283"/>
      <c r="G26" s="287"/>
    </row>
    <row r="27" spans="1:7" s="258" customFormat="1" ht="24.75">
      <c r="A27" s="299" t="s">
        <v>2369</v>
      </c>
      <c r="B27" s="288" t="s">
        <v>2370</v>
      </c>
      <c r="C27" s="289">
        <f ca="1">C28</f>
        <v>15473</v>
      </c>
      <c r="D27" s="279">
        <f ca="1">C29</f>
        <v>4.3E-3</v>
      </c>
      <c r="E27" s="280" t="s">
        <v>2371</v>
      </c>
      <c r="F27" s="290">
        <f ca="1">IF(B1="",'数据-取费表'!Q16,INDIRECT("'数据-取费表'!q"&amp;$G$1))</f>
        <v>0.15</v>
      </c>
      <c r="G27" s="291" t="s">
        <v>2372</v>
      </c>
    </row>
    <row r="28" spans="1:7" s="258" customFormat="1" ht="13.5" customHeight="1">
      <c r="A28" s="948" t="s">
        <v>791</v>
      </c>
      <c r="B28" s="292" t="s">
        <v>2373</v>
      </c>
      <c r="C28" s="293">
        <f ca="1">ROUND((C5+C19+C20)*F27*'数据-取费表'!B21/'数据-取费表'!B20,0)</f>
        <v>15473</v>
      </c>
      <c r="D28" s="279"/>
      <c r="E28" s="280"/>
      <c r="F28" s="290"/>
      <c r="G28" s="291"/>
    </row>
    <row r="29" spans="1:7" s="258" customFormat="1" ht="13.5" customHeight="1">
      <c r="A29" s="948" t="s">
        <v>792</v>
      </c>
      <c r="B29" s="292" t="s">
        <v>2374</v>
      </c>
      <c r="C29" s="282">
        <f ca="1">ROUND(C21*F27*'数据-取费表'!B21/'数据-取费表'!B20,4)</f>
        <v>4.3E-3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239742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81117</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74047</v>
      </c>
      <c r="D34" s="261"/>
      <c r="E34" s="264"/>
      <c r="F34" s="301">
        <f ca="1">IF('数据-取费表'!B24=0,1,IF(B1="",'数据-取费表'!N16,INDIRECT("'数据-取费表'!n"&amp;$G$1)))</f>
        <v>0.49399999999999999</v>
      </c>
      <c r="G34" s="263" t="s">
        <v>2383</v>
      </c>
    </row>
    <row r="35" spans="1:7" ht="13.5" customHeight="1">
      <c r="A35" s="948" t="s">
        <v>796</v>
      </c>
      <c r="B35" s="259" t="s">
        <v>2384</v>
      </c>
      <c r="C35" s="264">
        <f ca="1">ROUND(C34*F35,0)</f>
        <v>2221</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2387</v>
      </c>
    </row>
    <row r="37" spans="1:7" s="302" customFormat="1" ht="13.5" customHeight="1">
      <c r="A37" s="948" t="s">
        <v>798</v>
      </c>
      <c r="B37" s="259" t="s">
        <v>2388</v>
      </c>
      <c r="C37" s="293">
        <f ca="1">ROUND(E37*D37*F34/10000,0)</f>
        <v>3738</v>
      </c>
      <c r="D37" s="261">
        <f ca="1">D19</f>
        <v>378335.58999999997</v>
      </c>
      <c r="E37" s="293">
        <f>'数据-取费表'!B35</f>
        <v>200</v>
      </c>
      <c r="F37" s="303"/>
      <c r="G37" s="305" t="s">
        <v>2389</v>
      </c>
    </row>
    <row r="38" spans="1:7" ht="13.5" customHeight="1">
      <c r="A38" s="948" t="s">
        <v>799</v>
      </c>
      <c r="B38" s="259" t="s">
        <v>2390</v>
      </c>
      <c r="C38" s="264">
        <f ca="1">ROUND(C34*F38,0)</f>
        <v>1111</v>
      </c>
      <c r="D38" s="264"/>
      <c r="E38" s="264"/>
      <c r="F38" s="303">
        <f>'数据-取费表'!B36</f>
        <v>1.4999999999999999E-2</v>
      </c>
      <c r="G38" s="263" t="s">
        <v>2385</v>
      </c>
    </row>
    <row r="39" spans="1:7" s="258" customFormat="1" ht="13.5" customHeight="1">
      <c r="A39" s="299" t="s">
        <v>2391</v>
      </c>
      <c r="B39" s="254" t="s">
        <v>2392</v>
      </c>
      <c r="C39" s="276">
        <f ca="1">ROUND(C33*F20,0)</f>
        <v>1622</v>
      </c>
      <c r="D39" s="276"/>
      <c r="E39" s="276"/>
      <c r="F39" s="277"/>
      <c r="G39" s="278" t="s">
        <v>2393</v>
      </c>
    </row>
    <row r="40" spans="1:7" s="258" customFormat="1" ht="13.5" customHeight="1">
      <c r="A40" s="299" t="s">
        <v>2394</v>
      </c>
      <c r="B40" s="254" t="s">
        <v>2395</v>
      </c>
      <c r="C40" s="1724">
        <f>F21</f>
        <v>0.05</v>
      </c>
      <c r="D40" s="280" t="s">
        <v>2396</v>
      </c>
      <c r="E40" s="276"/>
      <c r="F40" s="277"/>
      <c r="G40" s="278" t="s">
        <v>2397</v>
      </c>
    </row>
    <row r="41" spans="1:7" s="258" customFormat="1" ht="13.5" customHeight="1">
      <c r="A41" s="299" t="s">
        <v>2398</v>
      </c>
      <c r="B41" s="254" t="s">
        <v>2399</v>
      </c>
      <c r="C41" s="276">
        <f ca="1">ROUND(SUM(C42:C43),0)</f>
        <v>3930</v>
      </c>
      <c r="D41" s="279">
        <f ca="1">C44</f>
        <v>2.3999999999999998E-3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3853</v>
      </c>
      <c r="D42" s="282"/>
      <c r="E42" s="282"/>
      <c r="F42" s="283"/>
      <c r="G42" s="3205" t="s">
        <v>2401</v>
      </c>
    </row>
    <row r="43" spans="1:7" ht="13.5" customHeight="1">
      <c r="A43" s="948" t="s">
        <v>792</v>
      </c>
      <c r="B43" s="259" t="s">
        <v>2402</v>
      </c>
      <c r="C43" s="282">
        <f ca="1">ROUND(IF('数据-取费表'!B22&lt;=1,C39*F22*'数据-取费表'!B21/2,C39*(POWER((1+F22),'数据-取费表'!B21/2)-1)),0)</f>
        <v>77</v>
      </c>
      <c r="D43" s="282"/>
      <c r="E43" s="282"/>
      <c r="F43" s="283"/>
      <c r="G43" s="3206"/>
    </row>
    <row r="44" spans="1:7" ht="13.5" customHeight="1">
      <c r="A44" s="948" t="s">
        <v>793</v>
      </c>
      <c r="B44" s="259" t="s">
        <v>2403</v>
      </c>
      <c r="C44" s="282">
        <f ca="1">ROUND(IF('数据-取费表'!B22&lt;=1,C40*F22*'数据-取费表'!B21/2,C40*(POWER((1+F22),'数据-取费表'!B21/2)-1)),4)</f>
        <v>2.3999999999999998E-3</v>
      </c>
      <c r="D44" s="282"/>
      <c r="E44" s="282"/>
      <c r="F44" s="283"/>
      <c r="G44" s="3207"/>
    </row>
    <row r="45" spans="1:7" s="258" customFormat="1" ht="13.5" customHeight="1">
      <c r="A45" s="299" t="s">
        <v>2404</v>
      </c>
      <c r="B45" s="288" t="s">
        <v>2370</v>
      </c>
      <c r="C45" s="289">
        <f ca="1">C46</f>
        <v>12411</v>
      </c>
      <c r="D45" s="279">
        <f ca="1">C47</f>
        <v>7.4999999999999997E-3</v>
      </c>
      <c r="E45" s="280" t="s">
        <v>2396</v>
      </c>
      <c r="F45" s="290"/>
      <c r="G45" s="291" t="s">
        <v>2405</v>
      </c>
    </row>
    <row r="46" spans="1:7" s="258" customFormat="1" ht="13.5" customHeight="1">
      <c r="A46" s="948" t="s">
        <v>791</v>
      </c>
      <c r="B46" s="292" t="s">
        <v>2406</v>
      </c>
      <c r="C46" s="293">
        <f ca="1">ROUND((C33+C39)*F27,0)</f>
        <v>12411</v>
      </c>
      <c r="D46" s="307"/>
      <c r="E46" s="280"/>
      <c r="F46" s="290"/>
      <c r="G46" s="291"/>
    </row>
    <row r="47" spans="1:7" s="258" customFormat="1" ht="13.5" customHeight="1">
      <c r="A47" s="948" t="s">
        <v>792</v>
      </c>
      <c r="B47" s="292" t="s">
        <v>2407</v>
      </c>
      <c r="C47" s="282">
        <f ca="1">ROUND(C40*F27,4)</f>
        <v>7.4999999999999997E-3</v>
      </c>
      <c r="D47" s="307"/>
      <c r="E47" s="280"/>
      <c r="F47" s="290"/>
      <c r="G47" s="291"/>
    </row>
    <row r="48" spans="1:7" s="258" customFormat="1" ht="13.5" customHeight="1">
      <c r="A48" s="299" t="s">
        <v>2369</v>
      </c>
      <c r="B48" s="254" t="s">
        <v>2408</v>
      </c>
      <c r="C48" s="1724">
        <f>ROUND(F30/(1+'数据-取费表'!C42),4)</f>
        <v>5.33E-2</v>
      </c>
      <c r="D48" s="280" t="s">
        <v>2396</v>
      </c>
      <c r="E48" s="276"/>
      <c r="F48" s="281"/>
      <c r="G48" s="278" t="s">
        <v>2409</v>
      </c>
    </row>
    <row r="49" spans="1:7" ht="16.5" customHeight="1">
      <c r="A49" s="299" t="s">
        <v>2375</v>
      </c>
      <c r="B49" s="254" t="s">
        <v>2410</v>
      </c>
      <c r="C49" s="276">
        <f ca="1">ROUND((C33+C39+C41+C45)/(1-C40-D41-D45-C48),0)</f>
        <v>111728</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111728</v>
      </c>
      <c r="D51" s="276"/>
      <c r="E51" s="276"/>
      <c r="F51" s="308"/>
      <c r="G51" s="278" t="s">
        <v>2417</v>
      </c>
    </row>
    <row r="52" spans="1:7" s="252" customFormat="1" ht="16.5" thickBot="1">
      <c r="A52" s="309" t="s">
        <v>2418</v>
      </c>
      <c r="B52" s="310"/>
      <c r="C52" s="311">
        <f ca="1">C31+C51</f>
        <v>351470</v>
      </c>
      <c r="D52" s="310"/>
      <c r="E52" s="310"/>
      <c r="F52" s="310"/>
      <c r="G52" s="312"/>
    </row>
    <row r="55" spans="1:7" ht="15">
      <c r="B55" s="314" t="s">
        <v>2419</v>
      </c>
      <c r="C55" s="315"/>
    </row>
    <row r="56" spans="1:7">
      <c r="B56" s="317" t="s">
        <v>1513</v>
      </c>
      <c r="C56" s="319">
        <f ca="1">1-C57</f>
        <v>0.68199999999999994</v>
      </c>
    </row>
    <row r="57" spans="1:7">
      <c r="B57" s="317" t="s">
        <v>1514</v>
      </c>
      <c r="C57" s="318">
        <f ca="1">ROUND(C51/C52,3)</f>
        <v>0.318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3"/>
      <c r="C1" s="2547" t="s">
        <v>2420</v>
      </c>
      <c r="D1" s="242"/>
      <c r="E1" s="242"/>
      <c r="F1" s="242"/>
      <c r="G1" s="1376">
        <f>MATCH(B1,'数据-取费表'!A6:A16,0)+5</f>
        <v>11</v>
      </c>
      <c r="H1" s="1279" t="str">
        <f>IF(ISERROR(FIND("住宅",B1)),"非住宅","住宅")</f>
        <v>非住宅</v>
      </c>
    </row>
    <row r="2" spans="1:8" s="244" customFormat="1" ht="18" customHeight="1">
      <c r="A2" s="245" t="s">
        <v>2319</v>
      </c>
      <c r="B2" s="246">
        <f ca="1">ROUND(IF(D2="——",C52/10000,C52/10000-E2),0)</f>
        <v>263192</v>
      </c>
      <c r="C2" s="243" t="s">
        <v>2320</v>
      </c>
      <c r="D2" s="2541" t="s">
        <v>70</v>
      </c>
      <c r="E2" s="1437" t="e">
        <f ca="1">SUMIF(INDIRECT("'"&amp;G2&amp;"'"&amp;"!A:A"),"承租人权益价值",INDIRECT("'"&amp;G2&amp;"'"&amp;"!c:c"))</f>
        <v>#REF!</v>
      </c>
      <c r="F2" s="2542" t="s">
        <v>2320</v>
      </c>
      <c r="G2" s="2543"/>
    </row>
    <row r="3" spans="1:8" s="244" customFormat="1" ht="18" customHeight="1" thickBot="1">
      <c r="A3" s="247" t="s">
        <v>2321</v>
      </c>
      <c r="B3" s="248">
        <f ca="1">ROUND(B2*10000/(IF(B1="",'数据-汇总表'!E3,INDIRECT("'数据-取费表'!k"&amp;$G$1))),0)</f>
        <v>6957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109717321</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'数据-取费表'!B48+'数据-取费表'!B49</f>
        <v>3.0499999999999999E-2</v>
      </c>
      <c r="G7" s="263"/>
    </row>
    <row r="8" spans="1:8" s="267" customFormat="1">
      <c r="A8" s="946" t="s">
        <v>2333</v>
      </c>
      <c r="B8" s="259" t="s">
        <v>2334</v>
      </c>
      <c r="C8" s="264">
        <f ca="1">IF(G8="已包含在土地购买价格中",0,C9+C10)</f>
        <v>109717321</v>
      </c>
      <c r="D8" s="266"/>
      <c r="E8" s="264"/>
      <c r="F8" s="265"/>
      <c r="G8" s="2544"/>
    </row>
    <row r="9" spans="1:8" s="258" customFormat="1" ht="13.5" customHeight="1">
      <c r="A9" s="947" t="s">
        <v>800</v>
      </c>
      <c r="B9" s="268" t="s">
        <v>2335</v>
      </c>
      <c r="C9" s="269">
        <f ca="1">ROUND(D9*E9,0)</f>
        <v>25097464</v>
      </c>
      <c r="D9" s="1029">
        <f ca="1">IF(B1="",'数据-汇总表'!E5,IF(INDIRECT("'数据-取费表'!c"&amp;$G$1)="住宅",INDIRECT("'数据-取费表'!k"&amp;$G$1),0))</f>
        <v>86542.98</v>
      </c>
      <c r="E9" s="269">
        <f>'数据-取费表'!B27</f>
        <v>290</v>
      </c>
      <c r="F9" s="265"/>
      <c r="G9" s="270"/>
    </row>
    <row r="10" spans="1:8" s="258" customFormat="1" ht="13.5" customHeight="1">
      <c r="A10" s="947" t="s">
        <v>801</v>
      </c>
      <c r="B10" s="268" t="s">
        <v>2337</v>
      </c>
      <c r="C10" s="269">
        <f ca="1">ROUND(D10*E10,0)</f>
        <v>84619857</v>
      </c>
      <c r="D10" s="1029">
        <f ca="1">IF(B1="",'数据-汇总表'!E6,IF(INDIRECT("'数据-取费表'!c"&amp;$G$1)="住宅",INDIRECT("'数据-取费表'!s"&amp;$G$1),INDIRECT("'数据-取费表'!k"&amp;$G$1)+INDIRECT("'数据-取费表'!s"&amp;$G$1)))</f>
        <v>291792.61</v>
      </c>
      <c r="E10" s="269">
        <f>'数据-取费表'!B28</f>
        <v>290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75667118</v>
      </c>
      <c r="D19" s="1033">
        <f ca="1">D9+D10</f>
        <v>378335.58999999997</v>
      </c>
      <c r="E19" s="255">
        <f>'数据-取费表'!B31</f>
        <v>200</v>
      </c>
      <c r="F19" s="275"/>
      <c r="G19" s="2544"/>
    </row>
    <row r="20" spans="1:7" s="258" customFormat="1" ht="13.5" customHeight="1">
      <c r="A20" s="299" t="s">
        <v>2431</v>
      </c>
      <c r="B20" s="254" t="s">
        <v>2432</v>
      </c>
      <c r="C20" s="276">
        <f ca="1">ROUND((C5+C19)*F20,0)</f>
        <v>3707689</v>
      </c>
      <c r="D20" s="276"/>
      <c r="E20" s="276"/>
      <c r="F20" s="277">
        <f>'数据-取费表'!B37</f>
        <v>0.02</v>
      </c>
      <c r="G20" s="278" t="s">
        <v>2433</v>
      </c>
    </row>
    <row r="21" spans="1:7" s="258" customFormat="1" ht="13.5" customHeight="1">
      <c r="A21" s="299" t="s">
        <v>2434</v>
      </c>
      <c r="B21" s="254" t="s">
        <v>2435</v>
      </c>
      <c r="C21" s="279">
        <f>F21</f>
        <v>0.05</v>
      </c>
      <c r="D21" s="280" t="s">
        <v>2436</v>
      </c>
      <c r="E21" s="276"/>
      <c r="F21" s="277">
        <f>'数据-取费表'!B38</f>
        <v>0.05</v>
      </c>
      <c r="G21" s="278" t="s">
        <v>2437</v>
      </c>
    </row>
    <row r="22" spans="1:7" s="258" customFormat="1" ht="13.5" customHeight="1">
      <c r="A22" s="299" t="s">
        <v>2438</v>
      </c>
      <c r="B22" s="254" t="s">
        <v>2439</v>
      </c>
      <c r="C22" s="1377">
        <f ca="1">ROUND(SUM(C23:C25),0)</f>
        <v>33007499</v>
      </c>
      <c r="D22" s="279">
        <f ca="1">C26</f>
        <v>4.1999999999999997E-3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78">
        <f ca="1">ROUND(IF('数据-取费表'!B22&lt;=1,C5*F22*'数据-取费表'!B22,C5*(POWER((1+F22),'数据-取费表'!B22)-1)),0)</f>
        <v>19349409</v>
      </c>
      <c r="D23" s="282"/>
      <c r="E23" s="282"/>
      <c r="F23" s="283"/>
      <c r="G23" s="284" t="s">
        <v>2441</v>
      </c>
    </row>
    <row r="24" spans="1:7" s="258" customFormat="1" ht="13.5" customHeight="1">
      <c r="A24" s="948" t="s">
        <v>2331</v>
      </c>
      <c r="B24" s="259" t="s">
        <v>2442</v>
      </c>
      <c r="C24" s="1378">
        <f ca="1">ROUND(IF('数据-取费表'!B22&lt;=1,C19*F22*('数据-取费表'!B19/2+'数据-取费表'!B20),C19*(POWER((1+F22),('数据-取费表'!B19/2+'数据-取费表'!B20))-1)),0)</f>
        <v>13344420</v>
      </c>
      <c r="D24" s="282"/>
      <c r="E24" s="282"/>
      <c r="F24" s="283"/>
      <c r="G24" s="284" t="s">
        <v>2443</v>
      </c>
    </row>
    <row r="25" spans="1:7" s="258" customFormat="1" ht="24">
      <c r="A25" s="948" t="s">
        <v>2333</v>
      </c>
      <c r="B25" s="259" t="s">
        <v>2444</v>
      </c>
      <c r="C25" s="1378">
        <f ca="1">ROUND(IF('数据-取费表'!B22&lt;=1,C20*F22*'数据-取费表'!B22/2,C20*(POWER((1+F22),'数据-取费表'!B22/2)-1)),0)</f>
        <v>313670</v>
      </c>
      <c r="D25" s="282"/>
      <c r="E25" s="285"/>
      <c r="F25" s="283"/>
      <c r="G25" s="286" t="s">
        <v>2445</v>
      </c>
    </row>
    <row r="26" spans="1:7" s="258" customFormat="1">
      <c r="A26" s="948" t="s">
        <v>795</v>
      </c>
      <c r="B26" s="259" t="s">
        <v>2368</v>
      </c>
      <c r="C26" s="282">
        <f ca="1">ROUND(IF('数据-取费表'!B22&lt;=1,F21*F22*'数据-取费表'!B22/2,F21*(POWER((1+F22),'数据-取费表'!B22/2)-1)),4)</f>
        <v>4.1999999999999997E-3</v>
      </c>
      <c r="D26" s="282"/>
      <c r="E26" s="285"/>
      <c r="F26" s="283"/>
      <c r="G26" s="287"/>
    </row>
    <row r="27" spans="1:7" s="258" customFormat="1" ht="24.75">
      <c r="A27" s="299" t="s">
        <v>2369</v>
      </c>
      <c r="B27" s="288" t="s">
        <v>2370</v>
      </c>
      <c r="C27" s="289">
        <f ca="1">C28</f>
        <v>28363819</v>
      </c>
      <c r="D27" s="279">
        <f ca="1">C29</f>
        <v>7.4999999999999997E-3</v>
      </c>
      <c r="E27" s="280" t="s">
        <v>2371</v>
      </c>
      <c r="F27" s="290">
        <f ca="1">IF(B1="",'数据-取费表'!Q16,INDIRECT("'数据-取费表'!q"&amp;$G$1))</f>
        <v>0.15</v>
      </c>
      <c r="G27" s="291" t="s">
        <v>2372</v>
      </c>
    </row>
    <row r="28" spans="1:7" s="258" customFormat="1" ht="13.5" customHeight="1">
      <c r="A28" s="948" t="s">
        <v>791</v>
      </c>
      <c r="B28" s="292" t="s">
        <v>2373</v>
      </c>
      <c r="C28" s="293">
        <f ca="1">ROUND((C5+C19+C20)*F27,0)</f>
        <v>28363819</v>
      </c>
      <c r="D28" s="279"/>
      <c r="E28" s="280"/>
      <c r="F28" s="290"/>
      <c r="G28" s="291"/>
    </row>
    <row r="29" spans="1:7" s="258" customFormat="1" ht="13.5" customHeight="1">
      <c r="A29" s="948" t="s">
        <v>792</v>
      </c>
      <c r="B29" s="292" t="s">
        <v>2374</v>
      </c>
      <c r="C29" s="282">
        <f ca="1">ROUND(C21*F27,4)</f>
        <v>7.4999999999999997E-3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283009544</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1650758459</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1498568735</v>
      </c>
      <c r="D34" s="261"/>
      <c r="E34" s="264"/>
      <c r="F34" s="301"/>
      <c r="G34" s="263"/>
    </row>
    <row r="35" spans="1:7" ht="13.5" customHeight="1">
      <c r="A35" s="948" t="s">
        <v>796</v>
      </c>
      <c r="B35" s="259" t="s">
        <v>2384</v>
      </c>
      <c r="C35" s="264">
        <f ca="1">ROUND(C34*F35,0)</f>
        <v>44957062</v>
      </c>
      <c r="D35" s="264"/>
      <c r="E35" s="264"/>
      <c r="F35" s="303">
        <f>'数据-取费表'!B33</f>
        <v>0.03</v>
      </c>
      <c r="G35" s="263" t="s">
        <v>2385</v>
      </c>
    </row>
    <row r="36" spans="1:7" ht="24">
      <c r="A36" s="948" t="s">
        <v>797</v>
      </c>
      <c r="B36" s="259" t="s">
        <v>2386</v>
      </c>
      <c r="C36" s="264">
        <f ca="1">ROUND(IF(B1="",SUM('数据-取费表'!AP6:AP13)*F36,IF(INDIRECT("'数据-取费表'!c"&amp;$G$1)="住宅",INDIRECT("'数据-取费表'!k"&amp;$G$1)*INDIRECT("'数据-取费表'!l"&amp;$G$1)*F36,0)),0)</f>
        <v>9087013</v>
      </c>
      <c r="D36" s="264"/>
      <c r="E36" s="264"/>
      <c r="F36" s="303">
        <f>'数据-取费表'!B34</f>
        <v>0.03</v>
      </c>
      <c r="G36" s="304" t="s">
        <v>2387</v>
      </c>
    </row>
    <row r="37" spans="1:7" s="302" customFormat="1" ht="13.5" customHeight="1">
      <c r="A37" s="948" t="s">
        <v>798</v>
      </c>
      <c r="B37" s="259" t="s">
        <v>2388</v>
      </c>
      <c r="C37" s="293">
        <f ca="1">ROUND(E37*D37,0)</f>
        <v>75667118</v>
      </c>
      <c r="D37" s="261">
        <f ca="1">D19</f>
        <v>378335.58999999997</v>
      </c>
      <c r="E37" s="293">
        <f>'数据-取费表'!B35</f>
        <v>200</v>
      </c>
      <c r="F37" s="303"/>
      <c r="G37" s="305"/>
    </row>
    <row r="38" spans="1:7" ht="13.5" customHeight="1">
      <c r="A38" s="948" t="s">
        <v>799</v>
      </c>
      <c r="B38" s="259" t="s">
        <v>2390</v>
      </c>
      <c r="C38" s="264">
        <f ca="1">ROUND(C34*F38,0)</f>
        <v>22478531</v>
      </c>
      <c r="D38" s="264"/>
      <c r="E38" s="264"/>
      <c r="F38" s="303">
        <f>'数据-取费表'!B36</f>
        <v>1.4999999999999999E-2</v>
      </c>
      <c r="G38" s="263" t="s">
        <v>2385</v>
      </c>
    </row>
    <row r="39" spans="1:7" s="258" customFormat="1" ht="13.5" customHeight="1">
      <c r="A39" s="299" t="s">
        <v>2391</v>
      </c>
      <c r="B39" s="254" t="s">
        <v>2392</v>
      </c>
      <c r="C39" s="276">
        <f ca="1">ROUND(C33*F20,0)</f>
        <v>33015169</v>
      </c>
      <c r="D39" s="276"/>
      <c r="E39" s="276"/>
      <c r="F39" s="277"/>
      <c r="G39" s="278" t="s">
        <v>2393</v>
      </c>
    </row>
    <row r="40" spans="1:7" s="258" customFormat="1" ht="13.5" customHeight="1">
      <c r="A40" s="299" t="s">
        <v>2394</v>
      </c>
      <c r="B40" s="254" t="s">
        <v>2395</v>
      </c>
      <c r="C40" s="1724">
        <f>F21</f>
        <v>0.05</v>
      </c>
      <c r="D40" s="280" t="s">
        <v>2396</v>
      </c>
      <c r="E40" s="276"/>
      <c r="F40" s="277"/>
      <c r="G40" s="278" t="s">
        <v>2397</v>
      </c>
    </row>
    <row r="41" spans="1:7" s="258" customFormat="1" ht="13.5" customHeight="1">
      <c r="A41" s="299" t="s">
        <v>2398</v>
      </c>
      <c r="B41" s="254" t="s">
        <v>2399</v>
      </c>
      <c r="C41" s="276">
        <f ca="1">ROUND(SUM(C42:C43),0)</f>
        <v>142447061</v>
      </c>
      <c r="D41" s="279">
        <f ca="1">C44</f>
        <v>4.1999999999999997E-3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139653981</v>
      </c>
      <c r="D42" s="282"/>
      <c r="E42" s="282"/>
      <c r="F42" s="283"/>
      <c r="G42" s="3205" t="s">
        <v>2448</v>
      </c>
    </row>
    <row r="43" spans="1:7" ht="13.5" customHeight="1">
      <c r="A43" s="948" t="s">
        <v>792</v>
      </c>
      <c r="B43" s="259" t="s">
        <v>2402</v>
      </c>
      <c r="C43" s="282">
        <f ca="1">ROUND(IF('数据-取费表'!B22&lt;=1,C39*F22*'数据-取费表'!B20/2,C39*(POWER((1+F22),'数据-取费表'!B20/2)-1)),0)</f>
        <v>2793080</v>
      </c>
      <c r="D43" s="282"/>
      <c r="E43" s="282"/>
      <c r="F43" s="283"/>
      <c r="G43" s="3206"/>
    </row>
    <row r="44" spans="1:7" ht="13.5" customHeight="1">
      <c r="A44" s="948" t="s">
        <v>793</v>
      </c>
      <c r="B44" s="259" t="s">
        <v>2403</v>
      </c>
      <c r="C44" s="282">
        <f ca="1">ROUND(IF('数据-取费表'!B22&lt;=1,C40*F22*'数据-取费表'!B20/2,C40*(POWER((1+F22),'数据-取费表'!B20/2)-1)),4)</f>
        <v>4.1999999999999997E-3</v>
      </c>
      <c r="D44" s="282"/>
      <c r="E44" s="282"/>
      <c r="F44" s="283"/>
      <c r="G44" s="3207"/>
    </row>
    <row r="45" spans="1:7" s="258" customFormat="1" ht="13.5" customHeight="1">
      <c r="A45" s="299" t="s">
        <v>2404</v>
      </c>
      <c r="B45" s="288" t="s">
        <v>2370</v>
      </c>
      <c r="C45" s="289">
        <f ca="1">C46</f>
        <v>252566044</v>
      </c>
      <c r="D45" s="279">
        <f ca="1">C47</f>
        <v>7.4999999999999997E-3</v>
      </c>
      <c r="E45" s="280" t="s">
        <v>2396</v>
      </c>
      <c r="F45" s="290"/>
      <c r="G45" s="291" t="s">
        <v>2405</v>
      </c>
    </row>
    <row r="46" spans="1:7" s="258" customFormat="1" ht="13.5" customHeight="1">
      <c r="A46" s="948" t="s">
        <v>791</v>
      </c>
      <c r="B46" s="292" t="s">
        <v>2406</v>
      </c>
      <c r="C46" s="293">
        <f ca="1">ROUND((C33+C39)*F27,0)</f>
        <v>252566044</v>
      </c>
      <c r="D46" s="307"/>
      <c r="E46" s="280"/>
      <c r="F46" s="290"/>
      <c r="G46" s="291"/>
    </row>
    <row r="47" spans="1:7" s="258" customFormat="1" ht="13.5" customHeight="1">
      <c r="A47" s="948" t="s">
        <v>792</v>
      </c>
      <c r="B47" s="292" t="s">
        <v>2407</v>
      </c>
      <c r="C47" s="282">
        <f ca="1">ROUND(C40*F27,4)</f>
        <v>7.4999999999999997E-3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2348911563</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2348911563</v>
      </c>
      <c r="D51" s="276"/>
      <c r="E51" s="276"/>
      <c r="F51" s="308"/>
      <c r="G51" s="278" t="s">
        <v>2417</v>
      </c>
    </row>
    <row r="52" spans="1:7" s="252" customFormat="1" ht="16.5" thickBot="1">
      <c r="A52" s="309" t="s">
        <v>2418</v>
      </c>
      <c r="B52" s="310"/>
      <c r="C52" s="311">
        <f ca="1">C31+C51</f>
        <v>2631921107</v>
      </c>
      <c r="D52" s="310"/>
      <c r="E52" s="310"/>
      <c r="F52" s="310"/>
      <c r="G52" s="312"/>
    </row>
    <row r="55" spans="1:7" ht="15">
      <c r="B55" s="314" t="s">
        <v>2419</v>
      </c>
      <c r="C55" s="315"/>
    </row>
    <row r="56" spans="1:7">
      <c r="B56" s="317" t="s">
        <v>1513</v>
      </c>
      <c r="C56" s="319">
        <f ca="1">1-C57</f>
        <v>0.10799999999999998</v>
      </c>
    </row>
    <row r="57" spans="1:7">
      <c r="B57" s="317" t="s">
        <v>1514</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24" zoomScale="80" zoomScaleNormal="80" workbookViewId="0">
      <selection activeCell="D57" sqref="D5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224046</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5922</v>
      </c>
      <c r="C3" s="247" t="s">
        <v>2735</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2634</v>
      </c>
      <c r="B4" s="402"/>
      <c r="C4" s="3212" t="s">
        <v>2635</v>
      </c>
      <c r="D4" s="3225"/>
      <c r="E4" s="3226" t="s">
        <v>2636</v>
      </c>
      <c r="F4" s="3227"/>
      <c r="G4" s="3212" t="s">
        <v>2637</v>
      </c>
      <c r="H4" s="3225"/>
      <c r="I4" s="3212" t="s">
        <v>2638</v>
      </c>
      <c r="J4" s="3225"/>
      <c r="K4" s="610" t="s">
        <v>2639</v>
      </c>
      <c r="L4" s="1127"/>
      <c r="M4" s="1128"/>
      <c r="N4" s="1128"/>
      <c r="O4" s="1128"/>
      <c r="P4" s="3228" t="s">
        <v>2640</v>
      </c>
      <c r="Q4" s="3229"/>
      <c r="R4" s="3234" t="s">
        <v>2636</v>
      </c>
      <c r="S4" s="3235"/>
      <c r="T4" s="3234" t="s">
        <v>2637</v>
      </c>
      <c r="U4" s="3235"/>
      <c r="V4" s="3221" t="s">
        <v>2638</v>
      </c>
      <c r="W4" s="3221"/>
      <c r="X4" s="1809"/>
      <c r="Y4" s="3234" t="s">
        <v>2640</v>
      </c>
      <c r="Z4" s="3235"/>
      <c r="AA4" s="3222" t="s">
        <v>2636</v>
      </c>
      <c r="AB4" s="3223" t="s">
        <v>2637</v>
      </c>
      <c r="AC4" s="3222" t="s">
        <v>2638</v>
      </c>
    </row>
    <row r="5" spans="1:30" ht="45.75" customHeight="1">
      <c r="A5" s="404"/>
      <c r="B5" s="405"/>
      <c r="C5" s="3242" t="s">
        <v>2531</v>
      </c>
      <c r="D5" s="3243"/>
      <c r="E5" s="3249" t="str">
        <f>'土地案例（住宅）'!A32</f>
        <v>江北区大石坝组团E分区E14-2-1/03号宗地</v>
      </c>
      <c r="F5" s="3250"/>
      <c r="G5" s="3242" t="str">
        <f>'土地案例（住宅）'!A58</f>
        <v>九龙坡区大杨石组团G分区G14-5-1/04号宗地</v>
      </c>
      <c r="H5" s="3243"/>
      <c r="I5" s="3242" t="str">
        <f>'土地案例（住宅）'!A70</f>
        <v>江北区大石坝组团G分区G20-1-2/02号宗地</v>
      </c>
      <c r="J5" s="3243"/>
      <c r="K5" s="610"/>
      <c r="L5" s="1127"/>
      <c r="M5" s="1128"/>
      <c r="N5" s="1128"/>
      <c r="O5" s="1128"/>
      <c r="P5" s="3230"/>
      <c r="Q5" s="3231"/>
      <c r="R5" s="3236"/>
      <c r="S5" s="3237"/>
      <c r="T5" s="3236"/>
      <c r="U5" s="3237"/>
      <c r="V5" s="3221"/>
      <c r="W5" s="3221"/>
      <c r="X5" s="1809"/>
      <c r="Y5" s="3236"/>
      <c r="Z5" s="3237"/>
      <c r="AA5" s="3223"/>
      <c r="AB5" s="3223"/>
      <c r="AC5" s="3223"/>
    </row>
    <row r="6" spans="1:30" ht="15.75" thickBot="1">
      <c r="A6" s="406"/>
      <c r="B6" s="407"/>
      <c r="C6" s="3240" t="s">
        <v>2535</v>
      </c>
      <c r="D6" s="3241"/>
      <c r="E6" s="3247">
        <f>'土地案例（住宅）'!E32</f>
        <v>18010</v>
      </c>
      <c r="F6" s="3248"/>
      <c r="G6" s="3240">
        <f>'土地案例（住宅）'!E58</f>
        <v>17113</v>
      </c>
      <c r="H6" s="3241"/>
      <c r="I6" s="3240">
        <f>'土地案例（住宅）'!E70</f>
        <v>17105</v>
      </c>
      <c r="J6" s="3241"/>
      <c r="K6" s="610" t="s">
        <v>2536</v>
      </c>
      <c r="L6" s="1127"/>
      <c r="M6" s="1128"/>
      <c r="N6" s="1128"/>
      <c r="O6" s="1128"/>
      <c r="P6" s="3232"/>
      <c r="Q6" s="3233"/>
      <c r="R6" s="3236"/>
      <c r="S6" s="3237"/>
      <c r="T6" s="3238"/>
      <c r="U6" s="3239"/>
      <c r="V6" s="3221"/>
      <c r="W6" s="3221"/>
      <c r="X6" s="1809"/>
      <c r="Y6" s="3238"/>
      <c r="Z6" s="3239"/>
      <c r="AA6" s="3224"/>
      <c r="AB6" s="3224"/>
      <c r="AC6" s="3224"/>
    </row>
    <row r="7" spans="1:30" s="117" customFormat="1" ht="15.75" thickBot="1">
      <c r="A7" s="408" t="s">
        <v>2537</v>
      </c>
      <c r="B7" s="409"/>
      <c r="C7" s="410">
        <f>'数据-取费表'!B2</f>
        <v>43332</v>
      </c>
      <c r="D7" s="411">
        <v>100</v>
      </c>
      <c r="E7" s="412" t="str">
        <f>'土地案例（住宅）'!I32</f>
        <v>2018-02-13</v>
      </c>
      <c r="F7" s="413">
        <f>SUMIF(70:70,YEAR(E7)&amp;"-"&amp;INT((MONTH(E7)+2)/3),71:71)</f>
        <v>96</v>
      </c>
      <c r="G7" s="2690" t="str">
        <f>'土地案例（住宅）'!I58</f>
        <v>2017-08-31</v>
      </c>
      <c r="H7" s="411">
        <f>SUMIF(70:70,YEAR(G7)&amp;"-"&amp;INT((MONTH(G7)+2)/3),71:71)</f>
        <v>92</v>
      </c>
      <c r="I7" s="2690" t="str">
        <f>'土地案例（住宅）'!I70</f>
        <v>2017-08-22</v>
      </c>
      <c r="J7" s="411">
        <f>SUMIF(70:70,YEAR(I7)&amp;"-"&amp;INT((MONTH(I7)+2)/3),71:71)</f>
        <v>92</v>
      </c>
      <c r="K7" s="611"/>
      <c r="L7" s="1129"/>
      <c r="M7" s="1130"/>
      <c r="N7" s="1130"/>
      <c r="O7" s="1130"/>
      <c r="P7" s="3244" t="s">
        <v>2538</v>
      </c>
      <c r="Q7" s="3246"/>
      <c r="R7" s="770" t="s">
        <v>17</v>
      </c>
      <c r="S7" s="771">
        <f t="shared" ref="S7:S15" si="0">F7</f>
        <v>96</v>
      </c>
      <c r="T7" s="770" t="s">
        <v>17</v>
      </c>
      <c r="U7" s="771">
        <f t="shared" ref="U7:U15" si="1">H7</f>
        <v>92</v>
      </c>
      <c r="V7" s="770" t="s">
        <v>17</v>
      </c>
      <c r="W7" s="771">
        <f t="shared" ref="W7:W15" si="2">J7</f>
        <v>92</v>
      </c>
      <c r="X7" s="772"/>
      <c r="Y7" s="3244" t="s">
        <v>2538</v>
      </c>
      <c r="Z7" s="3245"/>
      <c r="AA7" s="773">
        <f>D7/F7</f>
        <v>1.0416666666666667</v>
      </c>
      <c r="AB7" s="773">
        <f>D7/H7</f>
        <v>1.0869565217391304</v>
      </c>
      <c r="AC7" s="773">
        <f>D7/J7</f>
        <v>1.0869565217391304</v>
      </c>
    </row>
    <row r="8" spans="1:30" s="117" customFormat="1" ht="15.75" thickBot="1">
      <c r="A8" s="408" t="s">
        <v>2539</v>
      </c>
      <c r="B8" s="409"/>
      <c r="C8" s="414" t="s">
        <v>2540</v>
      </c>
      <c r="D8" s="411">
        <v>100</v>
      </c>
      <c r="E8" s="414" t="s">
        <v>3191</v>
      </c>
      <c r="F8" s="413">
        <f>SUMIF(73:73,E8,74:74)-SUMIF(73:73,C8,74:74)+100</f>
        <v>100</v>
      </c>
      <c r="G8" s="414" t="s">
        <v>3191</v>
      </c>
      <c r="H8" s="411">
        <f>SUMIF(73:73,G8,74:74)-SUMIF(73:73,C8,74:74)+100</f>
        <v>100</v>
      </c>
      <c r="I8" s="414" t="s">
        <v>3191</v>
      </c>
      <c r="J8" s="411">
        <f>SUMIF(73:73,I8,74:74)-SUMIF(73:73,C8,74:74)+100</f>
        <v>100</v>
      </c>
      <c r="K8" s="611"/>
      <c r="L8" s="1129"/>
      <c r="M8" s="1130"/>
      <c r="N8" s="1130"/>
      <c r="O8" s="1130"/>
      <c r="P8" s="3244" t="s">
        <v>2541</v>
      </c>
      <c r="Q8" s="3245"/>
      <c r="R8" s="770" t="s">
        <v>17</v>
      </c>
      <c r="S8" s="771">
        <f t="shared" si="0"/>
        <v>100</v>
      </c>
      <c r="T8" s="770" t="s">
        <v>17</v>
      </c>
      <c r="U8" s="771">
        <f t="shared" si="1"/>
        <v>100</v>
      </c>
      <c r="V8" s="770" t="s">
        <v>17</v>
      </c>
      <c r="W8" s="771">
        <f t="shared" si="2"/>
        <v>100</v>
      </c>
      <c r="X8" s="772"/>
      <c r="Y8" s="3244" t="s">
        <v>2541</v>
      </c>
      <c r="Z8" s="3245"/>
      <c r="AA8" s="773">
        <f t="shared" ref="AA8:AA45" si="3">D8/F8</f>
        <v>1</v>
      </c>
      <c r="AB8" s="773">
        <f t="shared" ref="AB8:AB45" si="4">D8/H8</f>
        <v>1</v>
      </c>
      <c r="AC8" s="773">
        <f t="shared" ref="AC8:AC45" si="5">D8/J8</f>
        <v>1</v>
      </c>
    </row>
    <row r="9" spans="1:30" s="117" customFormat="1">
      <c r="A9" s="415" t="s">
        <v>2542</v>
      </c>
      <c r="B9" s="71" t="s">
        <v>2543</v>
      </c>
      <c r="C9" s="2693" t="s">
        <v>3047</v>
      </c>
      <c r="D9" s="135">
        <v>100</v>
      </c>
      <c r="E9" s="2693" t="s">
        <v>3114</v>
      </c>
      <c r="F9" s="135">
        <f>SUMIF(75:75,E9,76:76)-SUMIF(75:75,C9,76:76)+100</f>
        <v>100</v>
      </c>
      <c r="G9" s="2693" t="s">
        <v>3114</v>
      </c>
      <c r="H9" s="135">
        <f>SUMIF(75:75,G9,76:76)-SUMIF(75:75,C9,76:76)+100</f>
        <v>100</v>
      </c>
      <c r="I9" s="2693" t="s">
        <v>3114</v>
      </c>
      <c r="J9" s="135">
        <f>SUMIF(75:75,I9,76:76)-SUMIF(75:75,C9,76:76)+100</f>
        <v>100</v>
      </c>
      <c r="K9" s="611"/>
      <c r="L9" s="1129"/>
      <c r="M9" s="1130"/>
      <c r="N9" s="1130"/>
      <c r="O9" s="1131"/>
      <c r="P9" s="3215" t="s">
        <v>2544</v>
      </c>
      <c r="Q9" s="1791" t="str">
        <f t="shared" ref="Q9:Q15" si="6">B9</f>
        <v>用途</v>
      </c>
      <c r="R9" s="770" t="s">
        <v>17</v>
      </c>
      <c r="S9" s="771">
        <f t="shared" si="0"/>
        <v>100</v>
      </c>
      <c r="T9" s="770" t="s">
        <v>17</v>
      </c>
      <c r="U9" s="771">
        <f t="shared" si="1"/>
        <v>100</v>
      </c>
      <c r="V9" s="770" t="s">
        <v>17</v>
      </c>
      <c r="W9" s="771">
        <f t="shared" si="2"/>
        <v>100</v>
      </c>
      <c r="X9" s="772"/>
      <c r="Y9" s="3059" t="s">
        <v>2545</v>
      </c>
      <c r="Z9" s="55" t="str">
        <f t="shared" ref="Z9:Z15" si="7">Q9</f>
        <v>用途</v>
      </c>
      <c r="AA9" s="773">
        <f t="shared" si="3"/>
        <v>1</v>
      </c>
      <c r="AB9" s="773">
        <f t="shared" si="4"/>
        <v>1</v>
      </c>
      <c r="AC9" s="773">
        <f t="shared" si="5"/>
        <v>1</v>
      </c>
    </row>
    <row r="10" spans="1:30" s="427" customFormat="1" ht="27">
      <c r="A10" s="421"/>
      <c r="B10" s="422" t="s">
        <v>2546</v>
      </c>
      <c r="C10" s="432">
        <f>项目基本情况!F16</f>
        <v>0</v>
      </c>
      <c r="D10" s="136">
        <v>100</v>
      </c>
      <c r="E10" s="2988" t="s">
        <v>3195</v>
      </c>
      <c r="F10" s="136">
        <f>ROUND(100/'数据-取费表'!G16,0)</f>
        <v>108</v>
      </c>
      <c r="G10" s="2988" t="s">
        <v>3196</v>
      </c>
      <c r="H10" s="136">
        <f>ROUND(100/'数据-取费表'!G16,0)</f>
        <v>108</v>
      </c>
      <c r="I10" s="2988" t="s">
        <v>3196</v>
      </c>
      <c r="J10" s="136">
        <f>ROUND(100/'数据-取费表'!G16,0)</f>
        <v>108</v>
      </c>
      <c r="K10" s="672"/>
      <c r="L10" s="1132"/>
      <c r="M10" s="1133"/>
      <c r="N10" s="1133"/>
      <c r="O10" s="1134"/>
      <c r="P10" s="3215"/>
      <c r="Q10" s="1791" t="str">
        <f t="shared" si="6"/>
        <v>土地使用年限（年）</v>
      </c>
      <c r="R10" s="770" t="s">
        <v>17</v>
      </c>
      <c r="S10" s="771">
        <f t="shared" si="0"/>
        <v>108</v>
      </c>
      <c r="T10" s="770" t="s">
        <v>17</v>
      </c>
      <c r="U10" s="771">
        <f t="shared" si="1"/>
        <v>108</v>
      </c>
      <c r="V10" s="770" t="s">
        <v>17</v>
      </c>
      <c r="W10" s="771">
        <f t="shared" si="2"/>
        <v>108</v>
      </c>
      <c r="X10" s="772"/>
      <c r="Y10" s="3059"/>
      <c r="Z10" s="55" t="str">
        <f t="shared" si="7"/>
        <v>土地使用年限（年）</v>
      </c>
      <c r="AA10" s="773">
        <f t="shared" si="3"/>
        <v>0.92592592592592593</v>
      </c>
      <c r="AB10" s="773">
        <f t="shared" si="4"/>
        <v>0.92592592592592593</v>
      </c>
      <c r="AC10" s="773">
        <f t="shared" si="5"/>
        <v>0.92592592592592593</v>
      </c>
    </row>
    <row r="11" spans="1:30" ht="15.75" thickBot="1">
      <c r="A11" s="428"/>
      <c r="B11" s="422" t="s">
        <v>2547</v>
      </c>
      <c r="C11" s="429">
        <f>'数据-汇总表'!I6</f>
        <v>8.8699999999999992</v>
      </c>
      <c r="D11" s="136">
        <v>100</v>
      </c>
      <c r="E11" s="429">
        <v>3.5</v>
      </c>
      <c r="F11" s="136">
        <f>LOOKUP(E11,80:80,81:81)-LOOKUP(C11,80:80,81:81)+100</f>
        <v>106</v>
      </c>
      <c r="G11" s="430">
        <v>3.5</v>
      </c>
      <c r="H11" s="136">
        <f>LOOKUP(G11,80:80,81:81)-LOOKUP(C11,80:80,81:81)+100</f>
        <v>106</v>
      </c>
      <c r="I11" s="429">
        <v>5.5</v>
      </c>
      <c r="J11" s="136">
        <f>LOOKUP(I11,80:80,81:81)-LOOKUP(C11,80:80,81:81)+100</f>
        <v>104</v>
      </c>
      <c r="K11" s="673">
        <v>2</v>
      </c>
      <c r="L11" s="1135"/>
      <c r="M11" s="1128"/>
      <c r="N11" s="1128"/>
      <c r="O11" s="1136"/>
      <c r="P11" s="3215"/>
      <c r="Q11" s="1791" t="str">
        <f t="shared" si="6"/>
        <v>容积率</v>
      </c>
      <c r="R11" s="770" t="s">
        <v>17</v>
      </c>
      <c r="S11" s="771">
        <f t="shared" si="0"/>
        <v>106</v>
      </c>
      <c r="T11" s="770" t="s">
        <v>17</v>
      </c>
      <c r="U11" s="771">
        <f t="shared" si="1"/>
        <v>106</v>
      </c>
      <c r="V11" s="770" t="s">
        <v>17</v>
      </c>
      <c r="W11" s="771">
        <f t="shared" si="2"/>
        <v>104</v>
      </c>
      <c r="X11" s="772"/>
      <c r="Y11" s="3059"/>
      <c r="Z11" s="55" t="str">
        <f t="shared" si="7"/>
        <v>容积率</v>
      </c>
      <c r="AA11" s="773">
        <f t="shared" si="3"/>
        <v>0.94339622641509435</v>
      </c>
      <c r="AB11" s="773">
        <f t="shared" si="4"/>
        <v>0.94339622641509435</v>
      </c>
      <c r="AC11" s="773">
        <f t="shared" si="5"/>
        <v>0.96153846153846156</v>
      </c>
    </row>
    <row r="12" spans="1:30" s="117" customFormat="1" ht="15" hidden="1">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15"/>
      <c r="Q12" s="1791">
        <f t="shared" si="6"/>
        <v>0</v>
      </c>
      <c r="R12" s="770" t="s">
        <v>17</v>
      </c>
      <c r="S12" s="771">
        <f t="shared" si="0"/>
        <v>100</v>
      </c>
      <c r="T12" s="770" t="s">
        <v>17</v>
      </c>
      <c r="U12" s="771">
        <f t="shared" si="1"/>
        <v>100</v>
      </c>
      <c r="V12" s="770" t="s">
        <v>17</v>
      </c>
      <c r="W12" s="771">
        <f t="shared" si="2"/>
        <v>100</v>
      </c>
      <c r="X12" s="772"/>
      <c r="Y12" s="3059"/>
      <c r="Z12" s="55">
        <f t="shared" si="7"/>
        <v>0</v>
      </c>
      <c r="AA12" s="773">
        <f>D12/F12</f>
        <v>1</v>
      </c>
      <c r="AB12" s="773">
        <f>D12/H12</f>
        <v>1</v>
      </c>
      <c r="AC12" s="773">
        <f>D12/J12</f>
        <v>1</v>
      </c>
    </row>
    <row r="13" spans="1:30" ht="15" hidden="1">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15"/>
      <c r="Q13" s="1791">
        <f t="shared" si="6"/>
        <v>0</v>
      </c>
      <c r="R13" s="770" t="s">
        <v>17</v>
      </c>
      <c r="S13" s="771">
        <f t="shared" si="0"/>
        <v>100</v>
      </c>
      <c r="T13" s="770" t="s">
        <v>17</v>
      </c>
      <c r="U13" s="771">
        <f t="shared" si="1"/>
        <v>100</v>
      </c>
      <c r="V13" s="770" t="s">
        <v>17</v>
      </c>
      <c r="W13" s="771">
        <f t="shared" si="2"/>
        <v>100</v>
      </c>
      <c r="X13" s="772"/>
      <c r="Y13" s="3059"/>
      <c r="Z13" s="55">
        <f t="shared" si="7"/>
        <v>0</v>
      </c>
      <c r="AA13" s="773">
        <f>D13/F13</f>
        <v>1</v>
      </c>
      <c r="AB13" s="773">
        <f>D13/H13</f>
        <v>1</v>
      </c>
      <c r="AC13" s="773">
        <f>D13/J13</f>
        <v>1</v>
      </c>
    </row>
    <row r="14" spans="1:30" ht="15.75" hidden="1"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15"/>
      <c r="Q14" s="1791">
        <f t="shared" si="6"/>
        <v>0</v>
      </c>
      <c r="R14" s="770" t="s">
        <v>17</v>
      </c>
      <c r="S14" s="771">
        <f t="shared" si="0"/>
        <v>100</v>
      </c>
      <c r="T14" s="770" t="s">
        <v>17</v>
      </c>
      <c r="U14" s="771">
        <f t="shared" si="1"/>
        <v>100</v>
      </c>
      <c r="V14" s="770" t="s">
        <v>17</v>
      </c>
      <c r="W14" s="771">
        <f t="shared" si="2"/>
        <v>100</v>
      </c>
      <c r="X14" s="772"/>
      <c r="Y14" s="3059"/>
      <c r="Z14" s="55">
        <f t="shared" si="7"/>
        <v>0</v>
      </c>
      <c r="AA14" s="773">
        <f>D14/F14</f>
        <v>1</v>
      </c>
      <c r="AB14" s="773">
        <f>D14/H14</f>
        <v>1</v>
      </c>
      <c r="AC14" s="773">
        <f>D14/J14</f>
        <v>1</v>
      </c>
    </row>
    <row r="15" spans="1:30" ht="57">
      <c r="A15" s="440" t="s">
        <v>2548</v>
      </c>
      <c r="B15" s="69" t="s">
        <v>2084</v>
      </c>
      <c r="C15" s="2597" t="str">
        <f>估价对象房地状况!C15</f>
        <v>周边居住用地比例、居住小区规模和社区发展完善程度</v>
      </c>
      <c r="D15" s="441">
        <v>100</v>
      </c>
      <c r="E15" s="442"/>
      <c r="F15" s="441">
        <f>SUMIF(88:88,E16,89:89)-SUMIF(88:88,C16,89:89)+100</f>
        <v>95</v>
      </c>
      <c r="G15" s="442"/>
      <c r="H15" s="441">
        <f>SUMIF(88:88,G16,89:89)-SUMIF(88:88,C16,89:89)+100</f>
        <v>95</v>
      </c>
      <c r="I15" s="444"/>
      <c r="J15" s="441">
        <f>SUMIF(88:88,I16,89:89)-SUMIF(88:88,C16,89:89)+100</f>
        <v>95</v>
      </c>
      <c r="K15" s="673">
        <v>5</v>
      </c>
      <c r="L15" s="1137"/>
      <c r="M15" s="1128"/>
      <c r="N15" s="1128"/>
      <c r="O15" s="1136"/>
      <c r="P15" s="3217" t="s">
        <v>2549</v>
      </c>
      <c r="Q15" s="1806" t="str">
        <f t="shared" si="6"/>
        <v>居住社区成熟度</v>
      </c>
      <c r="R15" s="774" t="s">
        <v>17</v>
      </c>
      <c r="S15" s="775">
        <f t="shared" si="0"/>
        <v>95</v>
      </c>
      <c r="T15" s="774" t="s">
        <v>17</v>
      </c>
      <c r="U15" s="775">
        <f t="shared" si="1"/>
        <v>95</v>
      </c>
      <c r="V15" s="774" t="s">
        <v>17</v>
      </c>
      <c r="W15" s="775">
        <f t="shared" si="2"/>
        <v>95</v>
      </c>
      <c r="X15" s="1809"/>
      <c r="Y15" s="3217" t="s">
        <v>2549</v>
      </c>
      <c r="Z15" s="1810" t="str">
        <f t="shared" si="7"/>
        <v>居住社区成熟度</v>
      </c>
      <c r="AA15" s="1807">
        <f t="shared" si="3"/>
        <v>1.0526315789473684</v>
      </c>
      <c r="AB15" s="1807">
        <f t="shared" si="4"/>
        <v>1.0526315789473684</v>
      </c>
      <c r="AC15" s="1807">
        <f t="shared" si="5"/>
        <v>1.0526315789473684</v>
      </c>
    </row>
    <row r="16" spans="1:30" ht="15">
      <c r="A16" s="428"/>
      <c r="B16" s="446"/>
      <c r="C16" s="447" t="s">
        <v>3193</v>
      </c>
      <c r="D16" s="448"/>
      <c r="E16" s="2599" t="s">
        <v>3176</v>
      </c>
      <c r="F16" s="448"/>
      <c r="G16" s="2599" t="s">
        <v>3176</v>
      </c>
      <c r="H16" s="450"/>
      <c r="I16" s="2598" t="s">
        <v>3176</v>
      </c>
      <c r="J16" s="448"/>
      <c r="K16" s="672"/>
      <c r="L16" s="1137"/>
      <c r="M16" s="1128"/>
      <c r="N16" s="1128"/>
      <c r="O16" s="1136"/>
      <c r="P16" s="3218"/>
      <c r="Q16" s="1806"/>
      <c r="R16" s="774"/>
      <c r="S16" s="775"/>
      <c r="T16" s="774"/>
      <c r="U16" s="775"/>
      <c r="V16" s="774"/>
      <c r="W16" s="775"/>
      <c r="X16" s="1809"/>
      <c r="Y16" s="3218"/>
      <c r="Z16" s="1810"/>
      <c r="AA16" s="1807">
        <v>1</v>
      </c>
      <c r="AB16" s="1807">
        <v>1</v>
      </c>
      <c r="AC16" s="1807">
        <v>1</v>
      </c>
    </row>
    <row r="17" spans="1:29" ht="28.5" hidden="1">
      <c r="A17" s="428"/>
      <c r="B17" s="451" t="s">
        <v>2642</v>
      </c>
      <c r="C17" s="2658"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v>5</v>
      </c>
      <c r="L17" s="1137"/>
      <c r="M17" s="1128"/>
      <c r="N17" s="1128"/>
      <c r="O17" s="1136"/>
      <c r="P17" s="3218"/>
      <c r="Q17" s="1806" t="str">
        <f>B17</f>
        <v>商业繁华度</v>
      </c>
      <c r="R17" s="774" t="s">
        <v>17</v>
      </c>
      <c r="S17" s="775">
        <f>F17</f>
        <v>100</v>
      </c>
      <c r="T17" s="774" t="s">
        <v>17</v>
      </c>
      <c r="U17" s="775">
        <f>H17</f>
        <v>100</v>
      </c>
      <c r="V17" s="774" t="s">
        <v>17</v>
      </c>
      <c r="W17" s="775">
        <f>J17</f>
        <v>100</v>
      </c>
      <c r="X17" s="1809"/>
      <c r="Y17" s="3218"/>
      <c r="Z17" s="1810" t="str">
        <f>Q17</f>
        <v>商业繁华度</v>
      </c>
      <c r="AA17" s="1807">
        <f t="shared" si="3"/>
        <v>1</v>
      </c>
      <c r="AB17" s="1807">
        <f t="shared" si="4"/>
        <v>1</v>
      </c>
      <c r="AC17" s="1807">
        <f t="shared" si="5"/>
        <v>1</v>
      </c>
    </row>
    <row r="18" spans="1:29" ht="15" hidden="1">
      <c r="A18" s="428"/>
      <c r="B18" s="456"/>
      <c r="C18" s="2602"/>
      <c r="D18" s="450"/>
      <c r="E18" s="2604"/>
      <c r="F18" s="450"/>
      <c r="G18" s="2604"/>
      <c r="H18" s="448"/>
      <c r="I18" s="2603"/>
      <c r="J18" s="448"/>
      <c r="K18" s="672"/>
      <c r="L18" s="1137"/>
      <c r="M18" s="1128"/>
      <c r="N18" s="1128"/>
      <c r="O18" s="1136"/>
      <c r="P18" s="3218"/>
      <c r="Q18" s="1806"/>
      <c r="R18" s="774"/>
      <c r="S18" s="775"/>
      <c r="T18" s="774"/>
      <c r="U18" s="775"/>
      <c r="V18" s="774"/>
      <c r="W18" s="775"/>
      <c r="X18" s="1809"/>
      <c r="Y18" s="3218"/>
      <c r="Z18" s="1810"/>
      <c r="AA18" s="1807">
        <v>1</v>
      </c>
      <c r="AB18" s="1807">
        <v>1</v>
      </c>
      <c r="AC18" s="1807">
        <v>1</v>
      </c>
    </row>
    <row r="19" spans="1:29" ht="42.75" hidden="1">
      <c r="A19" s="428"/>
      <c r="B19" s="451" t="s">
        <v>2676</v>
      </c>
      <c r="C19" s="2658" t="str">
        <f>估价对象房地状况!C17</f>
        <v>XX商圈，周边办公楼项目，入驻率</v>
      </c>
      <c r="D19" s="455">
        <v>100</v>
      </c>
      <c r="E19" s="457"/>
      <c r="F19" s="455">
        <f>SUMIF(92:92,E20,93:93)-SUMIF(92:92,C20,93:93)+100</f>
        <v>100</v>
      </c>
      <c r="G19" s="457"/>
      <c r="H19" s="450">
        <f>SUMIF(92:92,G20,93:93)-SUMIF(92:92,C20,93:93)+100</f>
        <v>100</v>
      </c>
      <c r="I19" s="459"/>
      <c r="J19" s="450">
        <f>SUMIF(92:92,I20,93:93)-SUMIF(92:92,C20,93:93)+100</f>
        <v>100</v>
      </c>
      <c r="K19" s="673">
        <v>5</v>
      </c>
      <c r="L19" s="1137"/>
      <c r="M19" s="1128"/>
      <c r="N19" s="1128"/>
      <c r="O19" s="1136"/>
      <c r="P19" s="3218"/>
      <c r="Q19" s="1806" t="str">
        <f>B19</f>
        <v>办公集聚程度</v>
      </c>
      <c r="R19" s="774" t="s">
        <v>17</v>
      </c>
      <c r="S19" s="775">
        <f>F19</f>
        <v>100</v>
      </c>
      <c r="T19" s="774" t="s">
        <v>17</v>
      </c>
      <c r="U19" s="775">
        <f>H19</f>
        <v>100</v>
      </c>
      <c r="V19" s="774" t="s">
        <v>17</v>
      </c>
      <c r="W19" s="775">
        <f>J19</f>
        <v>100</v>
      </c>
      <c r="X19" s="1809"/>
      <c r="Y19" s="3218"/>
      <c r="Z19" s="1810" t="str">
        <f>Q19</f>
        <v>办公集聚程度</v>
      </c>
      <c r="AA19" s="1807">
        <f t="shared" si="3"/>
        <v>1</v>
      </c>
      <c r="AB19" s="1807">
        <f t="shared" si="4"/>
        <v>1</v>
      </c>
      <c r="AC19" s="1807">
        <f t="shared" si="5"/>
        <v>1</v>
      </c>
    </row>
    <row r="20" spans="1:29" ht="15" hidden="1">
      <c r="A20" s="428"/>
      <c r="B20" s="456"/>
      <c r="C20" s="447"/>
      <c r="D20" s="448"/>
      <c r="E20" s="2599"/>
      <c r="F20" s="448"/>
      <c r="G20" s="2599"/>
      <c r="H20" s="448"/>
      <c r="I20" s="2598"/>
      <c r="J20" s="448"/>
      <c r="K20" s="672"/>
      <c r="L20" s="1137"/>
      <c r="M20" s="1128"/>
      <c r="N20" s="1128"/>
      <c r="O20" s="1136"/>
      <c r="P20" s="3218"/>
      <c r="Q20" s="1806"/>
      <c r="R20" s="774"/>
      <c r="S20" s="775"/>
      <c r="T20" s="774"/>
      <c r="U20" s="775"/>
      <c r="V20" s="774"/>
      <c r="W20" s="775"/>
      <c r="X20" s="1809"/>
      <c r="Y20" s="3218"/>
      <c r="Z20" s="1810"/>
      <c r="AA20" s="1807">
        <v>1</v>
      </c>
      <c r="AB20" s="1807">
        <v>1</v>
      </c>
      <c r="AC20" s="1807">
        <v>1</v>
      </c>
    </row>
    <row r="21" spans="1:29" ht="71.25">
      <c r="A21" s="428"/>
      <c r="B21" s="451" t="s">
        <v>2698</v>
      </c>
      <c r="C21" s="2601" t="str">
        <f>估价对象房地状况!C18</f>
        <v>周边道路状况、公共交通通达情况、停车便捷程度（地铁三号线观音桥</v>
      </c>
      <c r="D21" s="450">
        <v>100</v>
      </c>
      <c r="E21" s="452" t="s">
        <v>4154</v>
      </c>
      <c r="F21" s="455">
        <f>SUMIF(94:94,E22,95:95)-SUMIF(94:94,C22,95:95)+100</f>
        <v>90</v>
      </c>
      <c r="G21" s="2992" t="s">
        <v>4155</v>
      </c>
      <c r="H21" s="450">
        <f>SUMIF(94:94,G22,95:95)-SUMIF(94:94,C22,95:95)+100</f>
        <v>90</v>
      </c>
      <c r="I21" s="2991"/>
      <c r="J21" s="450">
        <f>SUMIF(94:94,I22,95:95)-SUMIF(94:94,C22,95:95)+100</f>
        <v>90</v>
      </c>
      <c r="K21" s="673">
        <v>5</v>
      </c>
      <c r="L21" s="1137"/>
      <c r="M21" s="1128"/>
      <c r="N21" s="1128"/>
      <c r="O21" s="1136"/>
      <c r="P21" s="3218"/>
      <c r="Q21" s="1806" t="str">
        <f>B21</f>
        <v>交通便捷度</v>
      </c>
      <c r="R21" s="774" t="s">
        <v>17</v>
      </c>
      <c r="S21" s="775">
        <f>F21</f>
        <v>90</v>
      </c>
      <c r="T21" s="774" t="s">
        <v>17</v>
      </c>
      <c r="U21" s="775">
        <f>H21</f>
        <v>90</v>
      </c>
      <c r="V21" s="774" t="s">
        <v>17</v>
      </c>
      <c r="W21" s="775">
        <f>J21</f>
        <v>90</v>
      </c>
      <c r="X21" s="1809"/>
      <c r="Y21" s="3218"/>
      <c r="Z21" s="1810" t="str">
        <f>Q21</f>
        <v>交通便捷度</v>
      </c>
      <c r="AA21" s="1807">
        <f t="shared" si="3"/>
        <v>1.1111111111111112</v>
      </c>
      <c r="AB21" s="1807">
        <f t="shared" si="4"/>
        <v>1.1111111111111112</v>
      </c>
      <c r="AC21" s="1807">
        <f t="shared" si="5"/>
        <v>1.1111111111111112</v>
      </c>
    </row>
    <row r="22" spans="1:29" ht="15">
      <c r="A22" s="428"/>
      <c r="B22" s="1381"/>
      <c r="C22" s="447" t="s">
        <v>3193</v>
      </c>
      <c r="D22" s="450"/>
      <c r="E22" s="2599" t="s">
        <v>3192</v>
      </c>
      <c r="F22" s="448"/>
      <c r="G22" s="2599" t="s">
        <v>3192</v>
      </c>
      <c r="H22" s="448"/>
      <c r="I22" s="2598" t="s">
        <v>3192</v>
      </c>
      <c r="J22" s="448"/>
      <c r="K22" s="672"/>
      <c r="L22" s="1137"/>
      <c r="M22" s="1128"/>
      <c r="N22" s="1128"/>
      <c r="O22" s="1136"/>
      <c r="P22" s="3218"/>
      <c r="Q22" s="1806"/>
      <c r="R22" s="774"/>
      <c r="S22" s="775"/>
      <c r="T22" s="774"/>
      <c r="U22" s="775"/>
      <c r="V22" s="774"/>
      <c r="W22" s="775"/>
      <c r="X22" s="1809"/>
      <c r="Y22" s="3218"/>
      <c r="Z22" s="1810"/>
      <c r="AA22" s="1807">
        <v>1</v>
      </c>
      <c r="AB22" s="1807">
        <v>1</v>
      </c>
      <c r="AC22" s="1807">
        <v>1</v>
      </c>
    </row>
    <row r="23" spans="1:29" ht="15">
      <c r="A23" s="404"/>
      <c r="B23" s="451" t="s">
        <v>2736</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37"/>
      <c r="M23" s="1128"/>
      <c r="N23" s="1128"/>
      <c r="O23" s="1136"/>
      <c r="P23" s="3218"/>
      <c r="Q23" s="1806" t="str">
        <f t="shared" ref="Q23:Q37" si="8">B23</f>
        <v>区域土地利用方向</v>
      </c>
      <c r="R23" s="774" t="s">
        <v>17</v>
      </c>
      <c r="S23" s="775">
        <f>F23</f>
        <v>100</v>
      </c>
      <c r="T23" s="774" t="s">
        <v>17</v>
      </c>
      <c r="U23" s="775">
        <f>H23</f>
        <v>100</v>
      </c>
      <c r="V23" s="774" t="s">
        <v>17</v>
      </c>
      <c r="W23" s="775">
        <f>J23</f>
        <v>100</v>
      </c>
      <c r="X23" s="1809"/>
      <c r="Y23" s="3218"/>
      <c r="Z23" s="1810" t="str">
        <f>Q23</f>
        <v>区域土地利用方向</v>
      </c>
      <c r="AA23" s="1807">
        <f t="shared" si="3"/>
        <v>1</v>
      </c>
      <c r="AB23" s="1807">
        <f t="shared" si="4"/>
        <v>1</v>
      </c>
      <c r="AC23" s="1807">
        <f t="shared" si="5"/>
        <v>1</v>
      </c>
    </row>
    <row r="24" spans="1:29" ht="15">
      <c r="A24" s="404"/>
      <c r="B24" s="456"/>
      <c r="C24" s="616" t="s">
        <v>3176</v>
      </c>
      <c r="D24" s="448"/>
      <c r="E24" s="616" t="s">
        <v>3176</v>
      </c>
      <c r="F24" s="448"/>
      <c r="G24" s="616" t="s">
        <v>3176</v>
      </c>
      <c r="H24" s="448"/>
      <c r="I24" s="616" t="s">
        <v>3176</v>
      </c>
      <c r="J24" s="448"/>
      <c r="K24" s="806"/>
      <c r="L24" s="1137"/>
      <c r="M24" s="1128"/>
      <c r="N24" s="1128"/>
      <c r="O24" s="1136"/>
      <c r="P24" s="3218"/>
      <c r="Q24" s="1806"/>
      <c r="R24" s="774"/>
      <c r="S24" s="775"/>
      <c r="T24" s="774"/>
      <c r="U24" s="775"/>
      <c r="V24" s="774"/>
      <c r="W24" s="775"/>
      <c r="X24" s="1809"/>
      <c r="Y24" s="3218"/>
      <c r="Z24" s="1810"/>
      <c r="AA24" s="1807"/>
      <c r="AB24" s="1807"/>
      <c r="AC24" s="1807"/>
    </row>
    <row r="25" spans="1:29" ht="27">
      <c r="A25" s="404"/>
      <c r="B25" s="1381" t="s">
        <v>2737</v>
      </c>
      <c r="C25" s="2658">
        <f>估价对象房地状况!C20</f>
        <v>0</v>
      </c>
      <c r="D25" s="450">
        <v>100</v>
      </c>
      <c r="E25" s="452"/>
      <c r="F25" s="450">
        <f>SUMIF(98:98,E26,99:99)-SUMIF(98:98,C26,99:99)+100</f>
        <v>95</v>
      </c>
      <c r="G25" s="2992"/>
      <c r="H25" s="450">
        <f>SUMIF(98:98,G26,99:99)-SUMIF(98:98,C26,99:99)+100</f>
        <v>100</v>
      </c>
      <c r="I25" s="2991" t="s">
        <v>3376</v>
      </c>
      <c r="J25" s="450">
        <f>SUMIF(98:98,I26,99:99)-SUMIF(98:98,C26,99:99)+100</f>
        <v>105</v>
      </c>
      <c r="K25" s="673">
        <v>5</v>
      </c>
      <c r="L25" s="1137"/>
      <c r="M25" s="1128"/>
      <c r="N25" s="1128"/>
      <c r="O25" s="1136"/>
      <c r="P25" s="3218"/>
      <c r="Q25" s="1806" t="str">
        <f t="shared" si="8"/>
        <v>自然及人文环境状况</v>
      </c>
      <c r="R25" s="774" t="s">
        <v>17</v>
      </c>
      <c r="S25" s="775">
        <f>F25</f>
        <v>95</v>
      </c>
      <c r="T25" s="774" t="s">
        <v>17</v>
      </c>
      <c r="U25" s="775">
        <f>H25</f>
        <v>100</v>
      </c>
      <c r="V25" s="774" t="s">
        <v>17</v>
      </c>
      <c r="W25" s="775">
        <f>J25</f>
        <v>105</v>
      </c>
      <c r="X25" s="1809"/>
      <c r="Y25" s="3218"/>
      <c r="Z25" s="1810" t="str">
        <f>Q25</f>
        <v>自然及人文环境状况</v>
      </c>
      <c r="AA25" s="1807">
        <f t="shared" si="3"/>
        <v>1.0526315789473684</v>
      </c>
      <c r="AB25" s="1807">
        <f t="shared" si="4"/>
        <v>1</v>
      </c>
      <c r="AC25" s="1807">
        <f t="shared" si="5"/>
        <v>0.95238095238095233</v>
      </c>
    </row>
    <row r="26" spans="1:29" ht="15">
      <c r="A26" s="404"/>
      <c r="B26" s="456"/>
      <c r="C26" s="447" t="s">
        <v>3176</v>
      </c>
      <c r="D26" s="448"/>
      <c r="E26" s="3350" t="s">
        <v>3192</v>
      </c>
      <c r="F26" s="448"/>
      <c r="G26" s="2605" t="s">
        <v>3176</v>
      </c>
      <c r="H26" s="448"/>
      <c r="I26" s="447" t="s">
        <v>3193</v>
      </c>
      <c r="J26" s="448"/>
      <c r="K26" s="672"/>
      <c r="L26" s="1137"/>
      <c r="M26" s="1128"/>
      <c r="N26" s="1128"/>
      <c r="O26" s="1136"/>
      <c r="P26" s="3218"/>
      <c r="Q26" s="1806"/>
      <c r="R26" s="774"/>
      <c r="S26" s="775"/>
      <c r="T26" s="774"/>
      <c r="U26" s="775"/>
      <c r="V26" s="774"/>
      <c r="W26" s="775"/>
      <c r="X26" s="1809"/>
      <c r="Y26" s="3218"/>
      <c r="Z26" s="1810"/>
      <c r="AA26" s="1807">
        <v>1</v>
      </c>
      <c r="AB26" s="1807">
        <v>1</v>
      </c>
      <c r="AC26" s="1807">
        <v>1</v>
      </c>
    </row>
    <row r="27" spans="1:29" s="117" customFormat="1" ht="15">
      <c r="A27" s="649"/>
      <c r="B27" s="1381" t="s">
        <v>2643</v>
      </c>
      <c r="C27" s="2601">
        <f>估价对象房地状况!C21</f>
        <v>0</v>
      </c>
      <c r="D27" s="450">
        <v>100</v>
      </c>
      <c r="E27" s="452"/>
      <c r="F27" s="450">
        <f>SUMIF(100:100,E28,101:101)-SUMIF(100:100,C28,101:101)+100</f>
        <v>95</v>
      </c>
      <c r="G27" s="452"/>
      <c r="H27" s="450">
        <f>SUMIF(100:100,G28,101:101)-SUMIF(100:100,C28,101:101)+100</f>
        <v>95</v>
      </c>
      <c r="I27" s="454"/>
      <c r="J27" s="450">
        <f>SUMIF(100:100,I28,101:101)-SUMIF(100:100,C28,101:101)+100</f>
        <v>95</v>
      </c>
      <c r="K27" s="673">
        <v>5</v>
      </c>
      <c r="L27" s="1129"/>
      <c r="M27" s="1130"/>
      <c r="N27" s="1130"/>
      <c r="O27" s="1131"/>
      <c r="P27" s="3218"/>
      <c r="Q27" s="1791" t="str">
        <f t="shared" si="8"/>
        <v>公共配套设施</v>
      </c>
      <c r="R27" s="770" t="s">
        <v>17</v>
      </c>
      <c r="S27" s="771">
        <f>F27</f>
        <v>95</v>
      </c>
      <c r="T27" s="770" t="s">
        <v>17</v>
      </c>
      <c r="U27" s="771">
        <f>H27</f>
        <v>95</v>
      </c>
      <c r="V27" s="770" t="s">
        <v>17</v>
      </c>
      <c r="W27" s="771">
        <f>J27</f>
        <v>95</v>
      </c>
      <c r="X27" s="772"/>
      <c r="Y27" s="3218"/>
      <c r="Z27" s="55" t="str">
        <f>Q27</f>
        <v>公共配套设施</v>
      </c>
      <c r="AA27" s="1807">
        <f>D27/F27</f>
        <v>1.0526315789473684</v>
      </c>
      <c r="AB27" s="1807">
        <f>D27/H27</f>
        <v>1.0526315789473684</v>
      </c>
      <c r="AC27" s="1807">
        <f>D27/J27</f>
        <v>1.0526315789473684</v>
      </c>
    </row>
    <row r="28" spans="1:29" s="117" customFormat="1" ht="15">
      <c r="A28" s="649"/>
      <c r="B28" s="456"/>
      <c r="C28" s="2694" t="s">
        <v>3176</v>
      </c>
      <c r="D28" s="448"/>
      <c r="E28" s="2605" t="s">
        <v>3192</v>
      </c>
      <c r="F28" s="448"/>
      <c r="G28" s="2605" t="s">
        <v>3192</v>
      </c>
      <c r="H28" s="448"/>
      <c r="I28" s="447" t="s">
        <v>3192</v>
      </c>
      <c r="J28" s="448"/>
      <c r="K28" s="672"/>
      <c r="L28" s="1129"/>
      <c r="M28" s="1130"/>
      <c r="N28" s="1130"/>
      <c r="O28" s="1131"/>
      <c r="P28" s="3218"/>
      <c r="Q28" s="1791"/>
      <c r="R28" s="770"/>
      <c r="S28" s="771"/>
      <c r="T28" s="770"/>
      <c r="U28" s="771"/>
      <c r="V28" s="770"/>
      <c r="W28" s="771"/>
      <c r="X28" s="772"/>
      <c r="Y28" s="3218"/>
      <c r="Z28" s="55"/>
      <c r="AA28" s="1807">
        <v>1</v>
      </c>
      <c r="AB28" s="1807">
        <v>1</v>
      </c>
      <c r="AC28" s="1807">
        <v>1</v>
      </c>
    </row>
    <row r="29" spans="1:29" s="117" customFormat="1" ht="15">
      <c r="A29" s="649"/>
      <c r="B29" s="1381" t="s">
        <v>2644</v>
      </c>
      <c r="C29" s="260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29"/>
      <c r="M29" s="1130"/>
      <c r="N29" s="1130"/>
      <c r="O29" s="1131"/>
      <c r="P29" s="3218"/>
      <c r="Q29" s="1791" t="str">
        <f t="shared" ref="Q29" si="9">B29</f>
        <v>基础设施水平</v>
      </c>
      <c r="R29" s="770" t="s">
        <v>17</v>
      </c>
      <c r="S29" s="771">
        <f>F29</f>
        <v>100</v>
      </c>
      <c r="T29" s="770" t="s">
        <v>17</v>
      </c>
      <c r="U29" s="771">
        <f>H29</f>
        <v>100</v>
      </c>
      <c r="V29" s="770" t="s">
        <v>17</v>
      </c>
      <c r="W29" s="771">
        <f>J29</f>
        <v>100</v>
      </c>
      <c r="X29" s="772"/>
      <c r="Y29" s="3218"/>
      <c r="Z29" s="55" t="str">
        <f>Q29</f>
        <v>基础设施水平</v>
      </c>
      <c r="AA29" s="1807">
        <f>D29/F29</f>
        <v>1</v>
      </c>
      <c r="AB29" s="1807">
        <f>D29/H29</f>
        <v>1</v>
      </c>
      <c r="AC29" s="1807">
        <f>D29/J29</f>
        <v>1</v>
      </c>
    </row>
    <row r="30" spans="1:29" s="117" customFormat="1" ht="15">
      <c r="A30" s="649"/>
      <c r="B30" s="456"/>
      <c r="C30" s="2694" t="s">
        <v>3367</v>
      </c>
      <c r="D30" s="448"/>
      <c r="E30" s="2694" t="s">
        <v>3367</v>
      </c>
      <c r="F30" s="448"/>
      <c r="G30" s="2694" t="s">
        <v>3367</v>
      </c>
      <c r="H30" s="448"/>
      <c r="I30" s="2694" t="s">
        <v>3367</v>
      </c>
      <c r="J30" s="448"/>
      <c r="K30" s="672"/>
      <c r="L30" s="1129"/>
      <c r="M30" s="1130"/>
      <c r="N30" s="1130"/>
      <c r="O30" s="1131"/>
      <c r="P30" s="3218"/>
      <c r="Q30" s="1791"/>
      <c r="R30" s="770"/>
      <c r="S30" s="771"/>
      <c r="T30" s="770"/>
      <c r="U30" s="771"/>
      <c r="V30" s="770"/>
      <c r="W30" s="771"/>
      <c r="X30" s="772"/>
      <c r="Y30" s="3218"/>
      <c r="Z30" s="55"/>
      <c r="AA30" s="1807">
        <v>1</v>
      </c>
      <c r="AB30" s="1807">
        <v>1</v>
      </c>
      <c r="AC30" s="1807">
        <v>1</v>
      </c>
    </row>
    <row r="31" spans="1:29" ht="15" hidden="1">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8"/>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18"/>
      <c r="Z31" s="1810" t="str">
        <f t="shared" ref="Z31:Z45" si="13">Q31</f>
        <v>临街状况</v>
      </c>
      <c r="AA31" s="1807">
        <f t="shared" si="3"/>
        <v>1</v>
      </c>
      <c r="AB31" s="1807">
        <f t="shared" si="4"/>
        <v>1</v>
      </c>
      <c r="AC31" s="1807">
        <f t="shared" si="5"/>
        <v>1</v>
      </c>
    </row>
    <row r="32" spans="1:29" ht="27">
      <c r="A32" s="428"/>
      <c r="B32" s="1381" t="s">
        <v>2680</v>
      </c>
      <c r="C32" s="2991" t="s">
        <v>3374</v>
      </c>
      <c r="D32" s="450">
        <v>100</v>
      </c>
      <c r="E32" s="2992" t="s">
        <v>4148</v>
      </c>
      <c r="F32" s="450">
        <f>SUMIF(106:106,E33,107:107)-SUMIF(106:106,C33,107:107)+100</f>
        <v>100</v>
      </c>
      <c r="G32" s="2992" t="s">
        <v>4151</v>
      </c>
      <c r="H32" s="450">
        <f>SUMIF(106:106,G33,107:107)-SUMIF(106:106,C33,107:107)+100</f>
        <v>100</v>
      </c>
      <c r="I32" s="2991" t="s">
        <v>3375</v>
      </c>
      <c r="J32" s="450">
        <f>SUMIF(106:106,I33,107:107)-SUMIF(106:106,C33,107:107)+100</f>
        <v>100</v>
      </c>
      <c r="K32" s="673">
        <v>2</v>
      </c>
      <c r="L32" s="1137"/>
      <c r="M32" s="1128"/>
      <c r="N32" s="1128"/>
      <c r="O32" s="1136"/>
      <c r="P32" s="3218"/>
      <c r="Q32" s="1806" t="str">
        <f t="shared" si="8"/>
        <v>毗邻道路的类型与等级</v>
      </c>
      <c r="R32" s="774" t="s">
        <v>17</v>
      </c>
      <c r="S32" s="775">
        <f t="shared" si="10"/>
        <v>100</v>
      </c>
      <c r="T32" s="774" t="s">
        <v>17</v>
      </c>
      <c r="U32" s="775">
        <f t="shared" si="11"/>
        <v>100</v>
      </c>
      <c r="V32" s="774" t="s">
        <v>17</v>
      </c>
      <c r="W32" s="775">
        <f t="shared" si="12"/>
        <v>100</v>
      </c>
      <c r="X32" s="1809"/>
      <c r="Y32" s="3218"/>
      <c r="Z32" s="1810" t="str">
        <f t="shared" si="13"/>
        <v>毗邻道路的类型与等级</v>
      </c>
      <c r="AA32" s="1807">
        <f t="shared" si="3"/>
        <v>1</v>
      </c>
      <c r="AB32" s="1807">
        <f t="shared" si="4"/>
        <v>1</v>
      </c>
      <c r="AC32" s="1807">
        <f t="shared" si="5"/>
        <v>1</v>
      </c>
    </row>
    <row r="33" spans="1:29" ht="15.75" thickBot="1">
      <c r="A33" s="428"/>
      <c r="B33" s="456"/>
      <c r="C33" s="447" t="s">
        <v>3182</v>
      </c>
      <c r="D33" s="448"/>
      <c r="E33" s="2605" t="s">
        <v>3182</v>
      </c>
      <c r="F33" s="448"/>
      <c r="G33" s="2605" t="s">
        <v>3182</v>
      </c>
      <c r="H33" s="448"/>
      <c r="I33" s="447" t="s">
        <v>3182</v>
      </c>
      <c r="J33" s="448"/>
      <c r="K33" s="613"/>
      <c r="L33" s="1137"/>
      <c r="M33" s="1128"/>
      <c r="N33" s="1128"/>
      <c r="O33" s="1136"/>
      <c r="P33" s="3218"/>
      <c r="Q33" s="1806"/>
      <c r="R33" s="774"/>
      <c r="S33" s="775"/>
      <c r="T33" s="774"/>
      <c r="U33" s="775"/>
      <c r="V33" s="774"/>
      <c r="W33" s="775"/>
      <c r="X33" s="1809"/>
      <c r="Y33" s="3218"/>
      <c r="Z33" s="1810"/>
      <c r="AA33" s="1807">
        <v>1</v>
      </c>
      <c r="AB33" s="1807">
        <v>1</v>
      </c>
      <c r="AC33" s="1807">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8"/>
      <c r="Q34" s="1806" t="str">
        <f t="shared" si="8"/>
        <v>土地级别</v>
      </c>
      <c r="R34" s="774" t="s">
        <v>17</v>
      </c>
      <c r="S34" s="775">
        <f t="shared" si="10"/>
        <v>100</v>
      </c>
      <c r="T34" s="774" t="s">
        <v>17</v>
      </c>
      <c r="U34" s="775">
        <f t="shared" si="11"/>
        <v>100</v>
      </c>
      <c r="V34" s="774" t="s">
        <v>17</v>
      </c>
      <c r="W34" s="775">
        <f t="shared" si="12"/>
        <v>100</v>
      </c>
      <c r="X34" s="1809"/>
      <c r="Y34" s="3218"/>
      <c r="Z34" s="1810" t="str">
        <f t="shared" si="13"/>
        <v>土地级别</v>
      </c>
      <c r="AA34" s="1807">
        <f t="shared" si="3"/>
        <v>1</v>
      </c>
      <c r="AB34" s="1807">
        <f t="shared" si="4"/>
        <v>1</v>
      </c>
      <c r="AC34" s="1807">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8"/>
      <c r="Q35" s="1806">
        <f t="shared" si="8"/>
        <v>0</v>
      </c>
      <c r="R35" s="774" t="s">
        <v>17</v>
      </c>
      <c r="S35" s="775">
        <f t="shared" si="10"/>
        <v>100</v>
      </c>
      <c r="T35" s="774" t="s">
        <v>17</v>
      </c>
      <c r="U35" s="775">
        <f t="shared" si="11"/>
        <v>100</v>
      </c>
      <c r="V35" s="774" t="s">
        <v>17</v>
      </c>
      <c r="W35" s="775">
        <f t="shared" si="12"/>
        <v>100</v>
      </c>
      <c r="X35" s="1809"/>
      <c r="Y35" s="3218"/>
      <c r="Z35" s="1810">
        <f t="shared" si="13"/>
        <v>0</v>
      </c>
      <c r="AA35" s="1807">
        <f t="shared" si="3"/>
        <v>1</v>
      </c>
      <c r="AB35" s="1807">
        <f t="shared" si="4"/>
        <v>1</v>
      </c>
      <c r="AC35" s="1807">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19" t="s">
        <v>2554</v>
      </c>
      <c r="Q36" s="1806">
        <f t="shared" si="8"/>
        <v>0</v>
      </c>
      <c r="R36" s="774" t="s">
        <v>17</v>
      </c>
      <c r="S36" s="775">
        <f t="shared" si="10"/>
        <v>100</v>
      </c>
      <c r="T36" s="774" t="s">
        <v>17</v>
      </c>
      <c r="U36" s="775">
        <f t="shared" si="11"/>
        <v>100</v>
      </c>
      <c r="V36" s="774" t="s">
        <v>17</v>
      </c>
      <c r="W36" s="775">
        <f t="shared" si="12"/>
        <v>100</v>
      </c>
      <c r="X36" s="1809"/>
      <c r="Y36" s="3220" t="s">
        <v>2554</v>
      </c>
      <c r="Z36" s="1810">
        <f t="shared" si="13"/>
        <v>0</v>
      </c>
      <c r="AA36" s="1807">
        <f t="shared" si="3"/>
        <v>1</v>
      </c>
      <c r="AB36" s="1807">
        <f t="shared" si="4"/>
        <v>1</v>
      </c>
      <c r="AC36" s="1807">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20"/>
      <c r="Q37" s="1806">
        <f t="shared" si="8"/>
        <v>0</v>
      </c>
      <c r="R37" s="777" t="s">
        <v>17</v>
      </c>
      <c r="S37" s="778">
        <f t="shared" si="10"/>
        <v>100</v>
      </c>
      <c r="T37" s="777" t="s">
        <v>17</v>
      </c>
      <c r="U37" s="778">
        <f t="shared" si="11"/>
        <v>100</v>
      </c>
      <c r="V37" s="777" t="s">
        <v>17</v>
      </c>
      <c r="W37" s="778">
        <f t="shared" si="12"/>
        <v>100</v>
      </c>
      <c r="X37" s="779"/>
      <c r="Y37" s="3220"/>
      <c r="Z37" s="780">
        <f t="shared" si="13"/>
        <v>0</v>
      </c>
      <c r="AA37" s="1807">
        <f t="shared" si="3"/>
        <v>1</v>
      </c>
      <c r="AB37" s="1807">
        <f t="shared" si="4"/>
        <v>1</v>
      </c>
      <c r="AC37" s="1807">
        <f t="shared" si="5"/>
        <v>1</v>
      </c>
    </row>
    <row r="38" spans="1:29" ht="15">
      <c r="A38" s="472" t="s">
        <v>2552</v>
      </c>
      <c r="B38" s="456" t="s">
        <v>2739</v>
      </c>
      <c r="C38" s="679">
        <f>'数据-汇总表'!D3</f>
        <v>25136</v>
      </c>
      <c r="D38" s="467">
        <v>100</v>
      </c>
      <c r="E38" s="679">
        <f>'土地案例（住宅）'!G32</f>
        <v>4473.8</v>
      </c>
      <c r="F38" s="467">
        <f>LOOKUP(E38,117:117,118:118)-LOOKUP(C38,117:117,118:118)+100</f>
        <v>100</v>
      </c>
      <c r="G38" s="679">
        <f>'土地案例（住宅）'!G58</f>
        <v>14819</v>
      </c>
      <c r="H38" s="467">
        <f>LOOKUP(G38,117:117,118:118)-LOOKUP(C38,117:117,118:118)+100</f>
        <v>100</v>
      </c>
      <c r="I38" s="530">
        <f>'土地案例（住宅）'!G70</f>
        <v>23976</v>
      </c>
      <c r="J38" s="467">
        <f>LOOKUP(I38,117:117,118:118)-LOOKUP(C38,117:117,118:118)+100</f>
        <v>100</v>
      </c>
      <c r="K38" s="613"/>
      <c r="L38" s="1137"/>
      <c r="M38" s="1128"/>
      <c r="N38" s="1128"/>
      <c r="O38" s="1136"/>
      <c r="P38" s="3220"/>
      <c r="Q38" s="1806" t="str">
        <f>B38</f>
        <v>宗地面积</v>
      </c>
      <c r="R38" s="774" t="s">
        <v>17</v>
      </c>
      <c r="S38" s="775">
        <f t="shared" si="10"/>
        <v>100</v>
      </c>
      <c r="T38" s="774" t="s">
        <v>17</v>
      </c>
      <c r="U38" s="775">
        <f t="shared" si="11"/>
        <v>100</v>
      </c>
      <c r="V38" s="774" t="s">
        <v>17</v>
      </c>
      <c r="W38" s="775">
        <f t="shared" si="12"/>
        <v>100</v>
      </c>
      <c r="X38" s="1809"/>
      <c r="Y38" s="3220"/>
      <c r="Z38" s="1810" t="str">
        <f t="shared" si="13"/>
        <v>宗地面积</v>
      </c>
      <c r="AA38" s="1807">
        <f t="shared" si="3"/>
        <v>1</v>
      </c>
      <c r="AB38" s="1807">
        <f t="shared" si="4"/>
        <v>1</v>
      </c>
      <c r="AC38" s="1807">
        <f t="shared" si="5"/>
        <v>1</v>
      </c>
    </row>
    <row r="39" spans="1:29" ht="15">
      <c r="A39" s="472"/>
      <c r="B39" s="422" t="s">
        <v>2740</v>
      </c>
      <c r="C39" s="2607" t="s">
        <v>3171</v>
      </c>
      <c r="D39" s="435">
        <v>100</v>
      </c>
      <c r="E39" s="2607" t="s">
        <v>3171</v>
      </c>
      <c r="F39" s="435">
        <f>SUMIF(119:119,E39,120:120)-SUMIF(119:119,C39,120:120)+100</f>
        <v>100</v>
      </c>
      <c r="G39" s="2607" t="s">
        <v>3171</v>
      </c>
      <c r="H39" s="435">
        <f>SUMIF(119:119,G39,120:120)-SUMIF(119:119,C39,120:120)+100</f>
        <v>100</v>
      </c>
      <c r="I39" s="2607" t="s">
        <v>3171</v>
      </c>
      <c r="J39" s="435">
        <f>SUMIF(119:119,I39,120:120)-SUMIF(119:119,C39,120:120)+100</f>
        <v>100</v>
      </c>
      <c r="K39" s="612">
        <v>2</v>
      </c>
      <c r="L39" s="1137"/>
      <c r="M39" s="1128"/>
      <c r="N39" s="1128"/>
      <c r="O39" s="1136"/>
      <c r="P39" s="3220"/>
      <c r="Q39" s="1806" t="str">
        <f t="shared" ref="Q39:Q45" si="14">B39</f>
        <v>宗地形状</v>
      </c>
      <c r="R39" s="774" t="s">
        <v>17</v>
      </c>
      <c r="S39" s="775">
        <f t="shared" si="10"/>
        <v>100</v>
      </c>
      <c r="T39" s="774" t="s">
        <v>17</v>
      </c>
      <c r="U39" s="775">
        <f t="shared" si="11"/>
        <v>100</v>
      </c>
      <c r="V39" s="774" t="s">
        <v>17</v>
      </c>
      <c r="W39" s="775">
        <f t="shared" si="12"/>
        <v>100</v>
      </c>
      <c r="X39" s="1809"/>
      <c r="Y39" s="3220"/>
      <c r="Z39" s="1810" t="str">
        <f t="shared" si="13"/>
        <v>宗地形状</v>
      </c>
      <c r="AA39" s="1807">
        <f t="shared" si="3"/>
        <v>1</v>
      </c>
      <c r="AB39" s="1807">
        <f t="shared" si="4"/>
        <v>1</v>
      </c>
      <c r="AC39" s="1807">
        <f t="shared" si="5"/>
        <v>1</v>
      </c>
    </row>
    <row r="40" spans="1:29" ht="15" hidden="1">
      <c r="A40" s="472"/>
      <c r="B40" s="422" t="s">
        <v>2741</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7"/>
      <c r="M40" s="1128"/>
      <c r="N40" s="1128"/>
      <c r="O40" s="1136"/>
      <c r="P40" s="3220"/>
      <c r="Q40" s="1806" t="str">
        <f t="shared" si="14"/>
        <v>临街宽度及深度</v>
      </c>
      <c r="R40" s="774" t="s">
        <v>17</v>
      </c>
      <c r="S40" s="775">
        <f t="shared" si="10"/>
        <v>100</v>
      </c>
      <c r="T40" s="774" t="s">
        <v>17</v>
      </c>
      <c r="U40" s="775">
        <f t="shared" si="11"/>
        <v>100</v>
      </c>
      <c r="V40" s="774" t="s">
        <v>17</v>
      </c>
      <c r="W40" s="775">
        <f t="shared" si="12"/>
        <v>100</v>
      </c>
      <c r="X40" s="1809"/>
      <c r="Y40" s="3220"/>
      <c r="Z40" s="1810" t="str">
        <f t="shared" si="13"/>
        <v>临街宽度及深度</v>
      </c>
      <c r="AA40" s="1807">
        <f t="shared" si="3"/>
        <v>1</v>
      </c>
      <c r="AB40" s="1807">
        <f t="shared" si="4"/>
        <v>1</v>
      </c>
      <c r="AC40" s="1807">
        <f t="shared" si="5"/>
        <v>1</v>
      </c>
    </row>
    <row r="41" spans="1:29" s="117" customFormat="1" ht="15">
      <c r="A41" s="473"/>
      <c r="B41" s="422" t="s">
        <v>2742</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9"/>
      <c r="M41" s="1130"/>
      <c r="N41" s="1130"/>
      <c r="O41" s="1131"/>
      <c r="P41" s="3220"/>
      <c r="Q41" s="1806"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75" thickBot="1">
      <c r="A42" s="472"/>
      <c r="B42" s="422" t="s">
        <v>2743</v>
      </c>
      <c r="C42" s="2607" t="s">
        <v>3176</v>
      </c>
      <c r="D42" s="435">
        <v>100</v>
      </c>
      <c r="E42" s="2607" t="s">
        <v>3176</v>
      </c>
      <c r="F42" s="435">
        <f>SUMIF(125:125,E42,126:126)-SUMIF(125:125,C42,126:126)+100</f>
        <v>100</v>
      </c>
      <c r="G42" s="2607" t="s">
        <v>3176</v>
      </c>
      <c r="H42" s="435">
        <f>SUMIF(125:125,G42,126:126)-SUMIF(125:125,C42,126:126)+100</f>
        <v>100</v>
      </c>
      <c r="I42" s="2607" t="s">
        <v>3176</v>
      </c>
      <c r="J42" s="435">
        <f>SUMIF(125:125,I42,126:126)-SUMIF(125:125,C42,126:126)+100</f>
        <v>100</v>
      </c>
      <c r="K42" s="612">
        <v>2</v>
      </c>
      <c r="L42" s="1137"/>
      <c r="M42" s="1128"/>
      <c r="N42" s="1128"/>
      <c r="O42" s="1136"/>
      <c r="P42" s="3220" t="s">
        <v>2554</v>
      </c>
      <c r="Q42" s="1806" t="str">
        <f t="shared" si="14"/>
        <v>工程地质条件</v>
      </c>
      <c r="R42" s="774" t="s">
        <v>17</v>
      </c>
      <c r="S42" s="775">
        <f t="shared" si="10"/>
        <v>100</v>
      </c>
      <c r="T42" s="774" t="s">
        <v>17</v>
      </c>
      <c r="U42" s="775">
        <f t="shared" si="11"/>
        <v>100</v>
      </c>
      <c r="V42" s="774" t="s">
        <v>17</v>
      </c>
      <c r="W42" s="775">
        <f t="shared" si="12"/>
        <v>100</v>
      </c>
      <c r="X42" s="1809"/>
      <c r="Y42" s="3220" t="s">
        <v>2554</v>
      </c>
      <c r="Z42" s="1810" t="str">
        <f t="shared" si="13"/>
        <v>工程地质条件</v>
      </c>
      <c r="AA42" s="1807">
        <f t="shared" si="3"/>
        <v>1</v>
      </c>
      <c r="AB42" s="1807">
        <f t="shared" si="4"/>
        <v>1</v>
      </c>
      <c r="AC42" s="1807">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20"/>
      <c r="Q43" s="1806">
        <f t="shared" si="14"/>
        <v>0</v>
      </c>
      <c r="R43" s="774" t="s">
        <v>17</v>
      </c>
      <c r="S43" s="775">
        <f t="shared" si="10"/>
        <v>100</v>
      </c>
      <c r="T43" s="774" t="s">
        <v>17</v>
      </c>
      <c r="U43" s="775">
        <f t="shared" si="11"/>
        <v>100</v>
      </c>
      <c r="V43" s="774" t="s">
        <v>17</v>
      </c>
      <c r="W43" s="775">
        <f t="shared" si="12"/>
        <v>100</v>
      </c>
      <c r="X43" s="1809"/>
      <c r="Y43" s="3220"/>
      <c r="Z43" s="1810">
        <f t="shared" si="13"/>
        <v>0</v>
      </c>
      <c r="AA43" s="1807">
        <f t="shared" si="3"/>
        <v>1</v>
      </c>
      <c r="AB43" s="1807">
        <f t="shared" si="4"/>
        <v>1</v>
      </c>
      <c r="AC43" s="1807">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20"/>
      <c r="Q44" s="1806">
        <f t="shared" si="14"/>
        <v>0</v>
      </c>
      <c r="R44" s="774" t="s">
        <v>17</v>
      </c>
      <c r="S44" s="775">
        <f t="shared" si="10"/>
        <v>100</v>
      </c>
      <c r="T44" s="774" t="s">
        <v>17</v>
      </c>
      <c r="U44" s="775">
        <f t="shared" si="11"/>
        <v>100</v>
      </c>
      <c r="V44" s="774" t="s">
        <v>17</v>
      </c>
      <c r="W44" s="775">
        <f t="shared" si="12"/>
        <v>100</v>
      </c>
      <c r="X44" s="1809"/>
      <c r="Y44" s="3220"/>
      <c r="Z44" s="1810">
        <f t="shared" si="13"/>
        <v>0</v>
      </c>
      <c r="AA44" s="1807">
        <f t="shared" si="3"/>
        <v>1</v>
      </c>
      <c r="AB44" s="1807">
        <f t="shared" si="4"/>
        <v>1</v>
      </c>
      <c r="AC44" s="1807">
        <f t="shared" si="5"/>
        <v>1</v>
      </c>
    </row>
    <row r="45" spans="1:29" s="471" customFormat="1" ht="15.75" hidden="1" thickBot="1">
      <c r="A45" s="468"/>
      <c r="B45" s="1384"/>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20"/>
      <c r="Q45" s="1806">
        <f t="shared" si="14"/>
        <v>0</v>
      </c>
      <c r="R45" s="777" t="s">
        <v>17</v>
      </c>
      <c r="S45" s="778">
        <f t="shared" si="10"/>
        <v>100</v>
      </c>
      <c r="T45" s="777" t="s">
        <v>17</v>
      </c>
      <c r="U45" s="778">
        <f t="shared" si="11"/>
        <v>100</v>
      </c>
      <c r="V45" s="777" t="s">
        <v>17</v>
      </c>
      <c r="W45" s="778">
        <f t="shared" si="12"/>
        <v>100</v>
      </c>
      <c r="X45" s="779"/>
      <c r="Y45" s="3220"/>
      <c r="Z45" s="780">
        <f t="shared" si="13"/>
        <v>0</v>
      </c>
      <c r="AA45" s="1807">
        <f t="shared" si="3"/>
        <v>1</v>
      </c>
      <c r="AB45" s="1807">
        <f t="shared" si="4"/>
        <v>1</v>
      </c>
      <c r="AC45" s="1807">
        <f t="shared" si="5"/>
        <v>1</v>
      </c>
    </row>
    <row r="46" spans="1:29" ht="15">
      <c r="A46" s="479" t="s">
        <v>2709</v>
      </c>
      <c r="B46" s="2698" t="s">
        <v>2744</v>
      </c>
      <c r="C46" s="682" t="s">
        <v>1</v>
      </c>
      <c r="D46" s="481"/>
      <c r="E46" s="482">
        <f>'土地案例（住宅）'!N32</f>
        <v>8366.17</v>
      </c>
      <c r="F46" s="483"/>
      <c r="G46" s="484">
        <f>'土地案例（住宅）'!N58</f>
        <v>9601.56</v>
      </c>
      <c r="H46" s="485"/>
      <c r="I46" s="482">
        <f>'土地案例（住宅）'!N70</f>
        <v>9062.09</v>
      </c>
      <c r="J46" s="485"/>
      <c r="K46" s="783"/>
      <c r="L46" s="1140"/>
      <c r="M46" s="1141"/>
      <c r="N46" s="1128"/>
      <c r="O46" s="1141"/>
      <c r="P46" s="3215" t="str">
        <f>A46</f>
        <v>成交单价</v>
      </c>
      <c r="Q46" s="3215"/>
      <c r="R46" s="3221">
        <f>E46</f>
        <v>8366.17</v>
      </c>
      <c r="S46" s="3221"/>
      <c r="T46" s="3221">
        <f>G46</f>
        <v>9601.56</v>
      </c>
      <c r="U46" s="3221"/>
      <c r="V46" s="3221">
        <f>I46</f>
        <v>9062.09</v>
      </c>
      <c r="W46" s="3221"/>
      <c r="X46" s="759"/>
      <c r="Y46" s="781"/>
      <c r="Z46" s="759"/>
      <c r="AA46" s="759"/>
      <c r="AB46" s="759"/>
      <c r="AC46" s="759"/>
    </row>
    <row r="47" spans="1:29" ht="15.75" thickBot="1">
      <c r="A47" s="486" t="s">
        <v>2658</v>
      </c>
      <c r="B47" s="683"/>
      <c r="C47" s="490">
        <f>R48</f>
        <v>10457</v>
      </c>
      <c r="D47" s="489"/>
      <c r="E47" s="490">
        <f>R47</f>
        <v>9865</v>
      </c>
      <c r="F47" s="491"/>
      <c r="G47" s="488">
        <f>T47</f>
        <v>11224</v>
      </c>
      <c r="H47" s="489"/>
      <c r="I47" s="490">
        <f>V47</f>
        <v>10283</v>
      </c>
      <c r="J47" s="489"/>
      <c r="K47" s="784"/>
      <c r="L47" s="1140"/>
      <c r="M47" s="1141"/>
      <c r="N47" s="1141"/>
      <c r="O47" s="1141"/>
      <c r="P47" s="3215" t="str">
        <f>A47</f>
        <v>比较价值（元/平方米）</v>
      </c>
      <c r="Q47" s="3215"/>
      <c r="R47" s="3208">
        <f>ROUND(PRODUCT(R46,AA7:AA45),0)</f>
        <v>9865</v>
      </c>
      <c r="S47" s="3208"/>
      <c r="T47" s="3208">
        <f>ROUND(PRODUCT(T46,AB7:AB45),0)</f>
        <v>11224</v>
      </c>
      <c r="U47" s="3208"/>
      <c r="V47" s="3208">
        <f>ROUND(PRODUCT(V46,AC7:AC45),0)</f>
        <v>10283</v>
      </c>
      <c r="W47" s="3208"/>
      <c r="X47" s="759"/>
      <c r="Y47" s="759"/>
      <c r="Z47" s="759"/>
      <c r="AA47" s="759"/>
      <c r="AB47" s="759"/>
      <c r="AC47" s="759"/>
    </row>
    <row r="48" spans="1:29" ht="15.75" thickBot="1">
      <c r="A48" s="492" t="s">
        <v>2745</v>
      </c>
      <c r="B48" s="493"/>
      <c r="C48" s="494">
        <f>R48</f>
        <v>10457</v>
      </c>
      <c r="D48" s="494"/>
      <c r="E48" s="494"/>
      <c r="F48" s="494"/>
      <c r="G48" s="494"/>
      <c r="H48" s="494"/>
      <c r="I48" s="494"/>
      <c r="J48" s="494"/>
      <c r="K48" s="785"/>
      <c r="L48" s="1140"/>
      <c r="M48" s="1141"/>
      <c r="N48" s="1141"/>
      <c r="O48" s="1141"/>
      <c r="P48" s="3209" t="str">
        <f>A48</f>
        <v>估价对象XX用房的比较价值（楼面单价，元/平方米）</v>
      </c>
      <c r="Q48" s="3210"/>
      <c r="R48" s="3211">
        <f>ROUND(AVERAGE(R47:V47),0)</f>
        <v>10457</v>
      </c>
      <c r="S48" s="3211"/>
      <c r="T48" s="3211"/>
      <c r="U48" s="3211"/>
      <c r="V48" s="3211"/>
      <c r="W48" s="3211"/>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2660</v>
      </c>
      <c r="D51" s="498"/>
      <c r="E51" s="499">
        <f>IF(E46&lt;E47,E47/E46-1,E46/E47-1)</f>
        <v>0.17915366290668255</v>
      </c>
      <c r="F51" s="500" t="str">
        <f>IF(OR(E51&gt;=0.3,E51&lt;=-0.3),"超过30%","")</f>
        <v/>
      </c>
      <c r="G51" s="499">
        <f>IF(G46&lt;G47,G47/G46-1,G46/G47-1)</f>
        <v>0.16897670795162467</v>
      </c>
      <c r="H51" s="500" t="str">
        <f>IF(OR(G51&gt;=0.3,G51&lt;=-0.3),"超过30%","")</f>
        <v/>
      </c>
      <c r="I51" s="499">
        <f>IF(I46&lt;I47,I47/I46-1,I46/I47-1)</f>
        <v>0.13472719869257532</v>
      </c>
      <c r="J51" s="500" t="str">
        <f>IF(OR(I51&gt;=0.3,I51&lt;=-0.3),"超过30%","")</f>
        <v/>
      </c>
      <c r="K51" s="1102"/>
      <c r="L51" s="1103"/>
      <c r="M51" s="1141"/>
      <c r="N51" s="1141"/>
      <c r="O51" s="1141"/>
    </row>
    <row r="52" spans="1:15" ht="13.5" customHeight="1">
      <c r="A52" s="1141"/>
      <c r="B52" s="1141"/>
      <c r="C52" s="497" t="s">
        <v>2661</v>
      </c>
      <c r="D52" s="501"/>
      <c r="E52" s="499">
        <f>IF(E47&lt;G47,G47/E47-1,E47/G47-1)</f>
        <v>0.13775975671566143</v>
      </c>
      <c r="F52" s="500" t="str">
        <f>IF(OR(E52&gt;=0.2,E52&lt;=-0.2),"超过20%","")</f>
        <v/>
      </c>
      <c r="G52" s="499">
        <f>IF(G47&lt;I47,I47/G47-1,G47/I47-1)</f>
        <v>9.1510259651852666E-2</v>
      </c>
      <c r="H52" s="500" t="str">
        <f>IF(OR(G52&gt;=0.2,G52&lt;=-0.2),"超过20%","")</f>
        <v/>
      </c>
      <c r="I52" s="499">
        <f>IF(I47&lt;E47,E47/I47-1,I47/E47-1)</f>
        <v>4.2372022301064405E-2</v>
      </c>
      <c r="J52" s="500" t="str">
        <f>IF(OR(I52&gt;=0.2,I52&lt;=-0.2),"超过20%","")</f>
        <v/>
      </c>
      <c r="K52" s="1102"/>
      <c r="L52" s="1103"/>
      <c r="M52" s="1141"/>
      <c r="N52" s="1141"/>
      <c r="O52" s="1141"/>
    </row>
    <row r="53" spans="1:15" s="502" customFormat="1" ht="13.5" customHeight="1">
      <c r="A53" s="1142"/>
      <c r="B53" s="1142"/>
      <c r="C53" s="497" t="s">
        <v>2662</v>
      </c>
      <c r="D53" s="501"/>
      <c r="E53" s="499">
        <f>IF(E46&lt;G46,G46/E46-1,E46/G46-1)</f>
        <v>0.14766494106622252</v>
      </c>
      <c r="F53" s="500" t="str">
        <f>IF(OR(E53&gt;=0.3,E53&lt;=-0.3),"超过30%","")</f>
        <v/>
      </c>
      <c r="G53" s="499">
        <f>IF(G46&lt;I46,I46/G46-1,G46/I46-1)</f>
        <v>5.9530417376123967E-2</v>
      </c>
      <c r="H53" s="500" t="str">
        <f>IF(OR(G53&gt;=0.3,G53&lt;=-0.3),"超过30%","")</f>
        <v/>
      </c>
      <c r="I53" s="499">
        <f>IF(I46&lt;E46,E46/I46-1,I46/E46-1)</f>
        <v>8.3182627175876211E-2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2746</v>
      </c>
      <c r="B55" s="685" t="s">
        <v>2747</v>
      </c>
      <c r="C55" s="2699" t="s">
        <v>2748</v>
      </c>
      <c r="D55" s="2700" t="s">
        <v>2749</v>
      </c>
      <c r="E55" s="686" t="s">
        <v>2750</v>
      </c>
      <c r="F55" s="1104" t="s">
        <v>2751</v>
      </c>
      <c r="G55" s="3212" t="s">
        <v>2752</v>
      </c>
      <c r="H55" s="3213"/>
      <c r="I55" s="144" t="s">
        <v>2753</v>
      </c>
      <c r="J55" s="2701" t="str">
        <f>项目基本情况!F35</f>
        <v>重庆市</v>
      </c>
      <c r="K55" s="2702" t="s">
        <v>2754</v>
      </c>
      <c r="L55" s="1103"/>
      <c r="M55" s="1141"/>
      <c r="N55" s="1141"/>
      <c r="O55" s="1141"/>
    </row>
    <row r="56" spans="1:15" s="692" customFormat="1">
      <c r="A56" s="688" t="s">
        <v>2755</v>
      </c>
      <c r="B56" s="689">
        <f>C48</f>
        <v>10457</v>
      </c>
      <c r="C56" s="690">
        <v>1</v>
      </c>
      <c r="D56" s="1160">
        <v>1</v>
      </c>
      <c r="E56" s="690">
        <f>'数据-汇总表'!E8+'数据-汇总表'!E9</f>
        <v>214254.55</v>
      </c>
      <c r="F56" s="1100">
        <f t="shared" ref="F56:F65" si="15">ROUND(B56*E56/10000,0)</f>
        <v>224046</v>
      </c>
      <c r="G56" s="3214"/>
      <c r="H56" s="3215"/>
      <c r="I56" s="1105">
        <v>1</v>
      </c>
      <c r="J56" s="1108">
        <v>1</v>
      </c>
      <c r="K56" s="1142"/>
      <c r="L56" s="938"/>
      <c r="M56" s="938"/>
      <c r="N56" s="938"/>
      <c r="O56" s="938"/>
    </row>
    <row r="57" spans="1:15" s="692" customFormat="1">
      <c r="A57" s="693" t="s">
        <v>2756</v>
      </c>
      <c r="B57" s="262">
        <f>ROUND($C$48*C57*D57,0)</f>
        <v>0</v>
      </c>
      <c r="C57" s="200">
        <f t="shared" ref="C57:C65" si="16">IF($C$55="北京市系数",I57,J57)</f>
        <v>0</v>
      </c>
      <c r="D57" s="1161">
        <v>0.25</v>
      </c>
      <c r="E57" s="694"/>
      <c r="F57" s="1100">
        <f t="shared" si="15"/>
        <v>0</v>
      </c>
      <c r="G57" s="3216" t="s">
        <v>2757</v>
      </c>
      <c r="H57" s="1101">
        <f>项目基本情况!B37</f>
        <v>0</v>
      </c>
      <c r="I57" s="1105">
        <f>SUMIF(修正!A45:A56,H57,修正!B45:B56)</f>
        <v>0</v>
      </c>
      <c r="J57" s="1109"/>
      <c r="K57" s="1141"/>
      <c r="L57" s="938"/>
      <c r="M57" s="938"/>
      <c r="N57" s="938"/>
      <c r="O57" s="938"/>
    </row>
    <row r="58" spans="1:15" s="692" customFormat="1">
      <c r="A58" s="693" t="s">
        <v>2758</v>
      </c>
      <c r="B58" s="262">
        <f t="shared" ref="B58:B65" si="17">ROUND($C$48*C58*D58,0)</f>
        <v>0</v>
      </c>
      <c r="C58" s="200">
        <f t="shared" si="16"/>
        <v>0</v>
      </c>
      <c r="D58" s="1161">
        <v>0.25</v>
      </c>
      <c r="E58" s="694"/>
      <c r="F58" s="1100">
        <f t="shared" si="15"/>
        <v>0</v>
      </c>
      <c r="G58" s="3216"/>
      <c r="H58" s="1101">
        <f>项目基本情况!B37</f>
        <v>0</v>
      </c>
      <c r="I58" s="1105">
        <f>SUMIF(修正!A45:A56,H58,修正!C45:C56)</f>
        <v>0</v>
      </c>
      <c r="J58" s="1109"/>
      <c r="K58" s="1142"/>
      <c r="L58" s="938"/>
      <c r="M58" s="938"/>
      <c r="N58" s="938"/>
      <c r="O58" s="938"/>
    </row>
    <row r="59" spans="1:15" s="692" customFormat="1">
      <c r="A59" s="693" t="s">
        <v>2759</v>
      </c>
      <c r="B59" s="262">
        <f t="shared" si="17"/>
        <v>0</v>
      </c>
      <c r="C59" s="200">
        <f t="shared" si="16"/>
        <v>0</v>
      </c>
      <c r="D59" s="1161">
        <v>0.25</v>
      </c>
      <c r="E59" s="694"/>
      <c r="F59" s="1100">
        <f t="shared" si="15"/>
        <v>0</v>
      </c>
      <c r="G59" s="3216"/>
      <c r="H59" s="1101">
        <f>项目基本情况!B37</f>
        <v>0</v>
      </c>
      <c r="I59" s="1105">
        <f>SUMIF(修正!A45:A56,H59,修正!D45:D56)</f>
        <v>0</v>
      </c>
      <c r="J59" s="1109"/>
      <c r="K59" s="1141"/>
      <c r="L59" s="938"/>
      <c r="M59" s="938"/>
      <c r="N59" s="938"/>
      <c r="O59" s="938"/>
    </row>
    <row r="60" spans="1:15" s="692" customFormat="1">
      <c r="A60" s="693" t="s">
        <v>2760</v>
      </c>
      <c r="B60" s="262">
        <f t="shared" si="17"/>
        <v>0</v>
      </c>
      <c r="C60" s="200">
        <f t="shared" si="16"/>
        <v>0</v>
      </c>
      <c r="D60" s="1161">
        <v>0.25</v>
      </c>
      <c r="E60" s="694"/>
      <c r="F60" s="1100">
        <f t="shared" si="15"/>
        <v>0</v>
      </c>
      <c r="G60" s="3216"/>
      <c r="H60" s="1101">
        <f>项目基本情况!B37</f>
        <v>0</v>
      </c>
      <c r="I60" s="1105">
        <f>SUMIF(修正!A45:A56,H60,修正!E45:E56)</f>
        <v>0</v>
      </c>
      <c r="J60" s="1109"/>
      <c r="K60" s="1142"/>
      <c r="L60" s="938"/>
      <c r="M60" s="938"/>
      <c r="N60" s="938"/>
      <c r="O60" s="938"/>
    </row>
    <row r="61" spans="1:15" s="692" customFormat="1">
      <c r="A61" s="693" t="s">
        <v>2761</v>
      </c>
      <c r="B61" s="262">
        <f t="shared" si="17"/>
        <v>0</v>
      </c>
      <c r="C61" s="200">
        <f t="shared" si="16"/>
        <v>0</v>
      </c>
      <c r="D61" s="1161">
        <v>0.25</v>
      </c>
      <c r="E61" s="261">
        <f>'数据-汇总表'!E11</f>
        <v>0</v>
      </c>
      <c r="F61" s="1100">
        <f t="shared" si="15"/>
        <v>0</v>
      </c>
      <c r="G61" s="2703" t="s">
        <v>2762</v>
      </c>
      <c r="H61" s="1101">
        <f>项目基本情况!C37</f>
        <v>0</v>
      </c>
      <c r="I61" s="1105">
        <f>SUMIF(修正!A45:A56,H61,修正!F45:F56)</f>
        <v>0</v>
      </c>
      <c r="J61" s="1109"/>
      <c r="K61" s="1141"/>
      <c r="L61" s="938"/>
      <c r="M61" s="938"/>
      <c r="N61" s="938"/>
      <c r="O61" s="938"/>
    </row>
    <row r="62" spans="1:15" s="692" customFormat="1">
      <c r="A62" s="693" t="s">
        <v>2763</v>
      </c>
      <c r="B62" s="262">
        <f t="shared" si="17"/>
        <v>0</v>
      </c>
      <c r="C62" s="200">
        <f t="shared" si="16"/>
        <v>0</v>
      </c>
      <c r="D62" s="1161">
        <v>0.25</v>
      </c>
      <c r="E62" s="261">
        <f>'数据-汇总表'!E12</f>
        <v>0</v>
      </c>
      <c r="F62" s="1100">
        <f t="shared" si="15"/>
        <v>0</v>
      </c>
      <c r="G62" s="1106" t="s">
        <v>2764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2765</v>
      </c>
      <c r="B63" s="262">
        <f t="shared" si="17"/>
        <v>0</v>
      </c>
      <c r="C63" s="200">
        <f t="shared" si="16"/>
        <v>0</v>
      </c>
      <c r="D63" s="1161">
        <v>0.25</v>
      </c>
      <c r="E63" s="261">
        <f>'数据-汇总表'!E13</f>
        <v>0</v>
      </c>
      <c r="F63" s="1100">
        <f t="shared" si="15"/>
        <v>0</v>
      </c>
      <c r="G63" s="1106" t="s">
        <v>2766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2767</v>
      </c>
      <c r="B64" s="262">
        <f t="shared" si="17"/>
        <v>0</v>
      </c>
      <c r="C64" s="200">
        <f t="shared" si="16"/>
        <v>0</v>
      </c>
      <c r="D64" s="1161">
        <v>0.25</v>
      </c>
      <c r="E64" s="261">
        <f>'数据-汇总表'!E14</f>
        <v>115386.06</v>
      </c>
      <c r="F64" s="1100">
        <f t="shared" si="15"/>
        <v>0</v>
      </c>
      <c r="G64" s="2703" t="s">
        <v>2757</v>
      </c>
      <c r="H64" s="1101">
        <f>项目基本情况!B37</f>
        <v>0</v>
      </c>
      <c r="I64" s="1105">
        <f>SUMIF(修正!A45:A56,H64,修正!H45:H56)</f>
        <v>0</v>
      </c>
      <c r="J64" s="1109"/>
      <c r="K64" s="1142"/>
      <c r="L64" s="938"/>
      <c r="M64" s="938"/>
      <c r="N64" s="938"/>
      <c r="O64" s="938"/>
    </row>
    <row r="65" spans="1:17" s="692" customFormat="1" ht="15" thickBot="1">
      <c r="A65" s="693" t="s">
        <v>2768</v>
      </c>
      <c r="B65" s="262">
        <f t="shared" si="17"/>
        <v>0</v>
      </c>
      <c r="C65" s="200">
        <f t="shared" si="16"/>
        <v>0</v>
      </c>
      <c r="D65" s="1161">
        <v>0.25</v>
      </c>
      <c r="E65" s="261">
        <f>'数据-汇总表'!E15</f>
        <v>0</v>
      </c>
      <c r="F65" s="1100">
        <f t="shared" si="15"/>
        <v>0</v>
      </c>
      <c r="G65" s="2704" t="s">
        <v>2762</v>
      </c>
      <c r="H65" s="1111">
        <f>项目基本情况!C37</f>
        <v>0</v>
      </c>
      <c r="I65" s="1107">
        <f>SUMIF(修正!A45:A56,H65,修正!H45:H56)</f>
        <v>0</v>
      </c>
      <c r="J65" s="1110"/>
      <c r="K65" s="1141"/>
      <c r="L65" s="938"/>
      <c r="M65" s="938"/>
      <c r="N65" s="938"/>
      <c r="O65" s="938"/>
    </row>
    <row r="66" spans="1:17" s="692" customFormat="1" ht="13.5" thickBot="1">
      <c r="A66" s="695" t="s">
        <v>2769</v>
      </c>
      <c r="B66" s="696" t="s">
        <v>28</v>
      </c>
      <c r="C66" s="696" t="s">
        <v>29</v>
      </c>
      <c r="D66" s="696" t="s">
        <v>1029</v>
      </c>
      <c r="E66" s="696">
        <f>IF(B46="楼面地价",SUM(E56:E65),'数据-汇总表'!D3)</f>
        <v>329640.61</v>
      </c>
      <c r="F66" s="697">
        <f>IF(B46="楼面地价",SUM(F56:F65),ROUND(C48*E66/10000,0))</f>
        <v>224046</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2663</v>
      </c>
      <c r="B69" s="759"/>
      <c r="C69" s="764"/>
      <c r="D69" s="764"/>
      <c r="E69" s="764"/>
      <c r="F69" s="765"/>
      <c r="G69" s="765"/>
      <c r="H69" s="764"/>
      <c r="I69" s="764"/>
      <c r="J69" s="1156"/>
      <c r="K69" s="1157"/>
      <c r="L69" s="1158"/>
      <c r="M69" s="1156"/>
      <c r="N69" s="1156"/>
      <c r="O69" s="1156"/>
      <c r="P69" s="503"/>
      <c r="Q69" s="504"/>
    </row>
    <row r="70" spans="1:17" s="508" customFormat="1" ht="15">
      <c r="A70" s="2705" t="s">
        <v>2770</v>
      </c>
      <c r="B70" s="1356"/>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6" t="s">
        <v>3047</v>
      </c>
      <c r="B71" s="332" t="str">
        <f>"北京市平均增长率"&amp;TEXT(SUMIF(基准地价修正!N21:N25,A71,基准地价修正!P21:P25),"0.00%")</f>
        <v>北京市平均增长率2.45%</v>
      </c>
      <c r="C71" s="603">
        <v>100</v>
      </c>
      <c r="D71" s="595">
        <f>C71-$C$72</f>
        <v>98</v>
      </c>
      <c r="E71" s="595">
        <f t="shared" ref="E71:O71" si="20">D71-$C$72</f>
        <v>96</v>
      </c>
      <c r="F71" s="595">
        <f t="shared" si="20"/>
        <v>94</v>
      </c>
      <c r="G71" s="595">
        <f t="shared" si="20"/>
        <v>92</v>
      </c>
      <c r="H71" s="595">
        <f t="shared" si="20"/>
        <v>90</v>
      </c>
      <c r="I71" s="595">
        <f t="shared" si="20"/>
        <v>88</v>
      </c>
      <c r="J71" s="595">
        <f t="shared" si="20"/>
        <v>86</v>
      </c>
      <c r="K71" s="595">
        <f t="shared" si="20"/>
        <v>84</v>
      </c>
      <c r="L71" s="595">
        <f t="shared" si="20"/>
        <v>82</v>
      </c>
      <c r="M71" s="595">
        <f t="shared" si="20"/>
        <v>80</v>
      </c>
      <c r="N71" s="595">
        <f t="shared" si="20"/>
        <v>78</v>
      </c>
      <c r="O71" s="595">
        <f t="shared" si="20"/>
        <v>76</v>
      </c>
      <c r="P71" s="504"/>
    </row>
    <row r="72" spans="1:17" s="117" customFormat="1" ht="15.75" thickBot="1">
      <c r="A72" s="515" t="s">
        <v>2574</v>
      </c>
      <c r="B72" s="516"/>
      <c r="C72" s="517">
        <v>2</v>
      </c>
      <c r="D72" s="518"/>
      <c r="E72" s="518"/>
      <c r="F72" s="518"/>
      <c r="G72" s="518"/>
      <c r="H72" s="518"/>
      <c r="I72" s="518"/>
      <c r="J72" s="518"/>
      <c r="K72" s="518"/>
      <c r="L72" s="518"/>
      <c r="M72" s="519"/>
      <c r="N72" s="518"/>
      <c r="O72" s="1159"/>
      <c r="P72" s="504"/>
      <c r="Q72" s="504"/>
    </row>
    <row r="73" spans="1:17" s="117" customFormat="1" ht="15">
      <c r="A73" s="521" t="s">
        <v>2539</v>
      </c>
      <c r="B73" s="510"/>
      <c r="C73" s="522" t="s">
        <v>2641</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2577</v>
      </c>
      <c r="B75" s="528" t="s">
        <v>2543</v>
      </c>
      <c r="C75" s="2986" t="s">
        <v>3194</v>
      </c>
      <c r="D75" s="530" t="str">
        <f>'土地案例（住宅）'!F32</f>
        <v>二类居住用地</v>
      </c>
      <c r="E75" s="530"/>
      <c r="F75" s="530"/>
      <c r="G75" s="530"/>
      <c r="H75" s="530"/>
      <c r="I75" s="530"/>
      <c r="J75" s="530"/>
      <c r="K75" s="531"/>
      <c r="L75" s="532"/>
      <c r="M75" s="533"/>
      <c r="N75" s="1149"/>
      <c r="O75" s="1149"/>
      <c r="P75" s="45"/>
      <c r="Q75" s="504"/>
    </row>
    <row r="76" spans="1:17" ht="15.75" thickBot="1">
      <c r="A76" s="534"/>
      <c r="B76" s="535"/>
      <c r="C76" s="536">
        <v>100</v>
      </c>
      <c r="D76" s="536">
        <v>100</v>
      </c>
      <c r="E76" s="536"/>
      <c r="F76" s="536"/>
      <c r="G76" s="536"/>
      <c r="H76" s="536"/>
      <c r="I76" s="536"/>
      <c r="J76" s="536"/>
      <c r="K76" s="536"/>
      <c r="L76" s="536"/>
      <c r="M76" s="537"/>
      <c r="N76" s="1150"/>
      <c r="O76" s="1150"/>
      <c r="P76" s="45"/>
      <c r="Q76" s="504"/>
    </row>
    <row r="77" spans="1:17" ht="27.75" thickTop="1">
      <c r="A77" s="534"/>
      <c r="B77" s="538" t="s">
        <v>2546</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2547</v>
      </c>
      <c r="C79" s="547" t="str">
        <f>C80&amp;"（含）"&amp;"-"&amp;D80</f>
        <v>0（含）-2</v>
      </c>
      <c r="D79" s="547" t="str">
        <f t="shared" ref="D79:L79" si="21">D80&amp;"（含）"&amp;"-"&amp;E80</f>
        <v>2（含）-4</v>
      </c>
      <c r="E79" s="547" t="str">
        <f t="shared" si="21"/>
        <v>4（含）-6</v>
      </c>
      <c r="F79" s="547" t="str">
        <f t="shared" si="21"/>
        <v>6（含）-8</v>
      </c>
      <c r="G79" s="547" t="str">
        <f t="shared" si="21"/>
        <v>8（含）-10</v>
      </c>
      <c r="H79" s="547" t="str">
        <f t="shared" si="21"/>
        <v>10（含）-12</v>
      </c>
      <c r="I79" s="547" t="str">
        <f t="shared" si="21"/>
        <v>12（含）-14</v>
      </c>
      <c r="J79" s="547" t="str">
        <f t="shared" si="21"/>
        <v>14（含）-16</v>
      </c>
      <c r="K79" s="547" t="str">
        <f t="shared" si="21"/>
        <v>16（含）-18</v>
      </c>
      <c r="L79" s="547" t="str">
        <f t="shared" si="21"/>
        <v>18（含）-20</v>
      </c>
      <c r="M79" s="448" t="str">
        <f>M80&amp;"（含）"&amp;"-"&amp;P80</f>
        <v>20（含）-</v>
      </c>
      <c r="N79" s="1150"/>
      <c r="O79" s="1150"/>
      <c r="P79" s="45"/>
      <c r="Q79" s="504"/>
    </row>
    <row r="80" spans="1:17" ht="15">
      <c r="A80" s="534"/>
      <c r="B80" s="548"/>
      <c r="C80" s="549">
        <v>0</v>
      </c>
      <c r="D80" s="549">
        <f>C80+2</f>
        <v>2</v>
      </c>
      <c r="E80" s="549">
        <f t="shared" ref="E80:M80" si="22">D80+2</f>
        <v>4</v>
      </c>
      <c r="F80" s="549">
        <f t="shared" si="22"/>
        <v>6</v>
      </c>
      <c r="G80" s="549">
        <f t="shared" si="22"/>
        <v>8</v>
      </c>
      <c r="H80" s="549">
        <f t="shared" si="22"/>
        <v>10</v>
      </c>
      <c r="I80" s="549">
        <f t="shared" si="22"/>
        <v>12</v>
      </c>
      <c r="J80" s="549">
        <f t="shared" si="22"/>
        <v>14</v>
      </c>
      <c r="K80" s="549">
        <f t="shared" si="22"/>
        <v>16</v>
      </c>
      <c r="L80" s="549">
        <f>K80+2</f>
        <v>18</v>
      </c>
      <c r="M80" s="549">
        <f t="shared" si="22"/>
        <v>20</v>
      </c>
      <c r="N80" s="1149"/>
      <c r="O80" s="1149"/>
      <c r="P80" s="45"/>
      <c r="Q80" s="504"/>
    </row>
    <row r="81" spans="1:17" ht="15.75" thickBot="1">
      <c r="A81" s="534"/>
      <c r="B81" s="535"/>
      <c r="C81" s="544">
        <v>100</v>
      </c>
      <c r="D81" s="544">
        <f t="shared" ref="D81:M81" si="23">IF($B$46="单位面积地价",C81+$K11,C81-$K11)</f>
        <v>98</v>
      </c>
      <c r="E81" s="544">
        <f t="shared" si="23"/>
        <v>96</v>
      </c>
      <c r="F81" s="544">
        <f t="shared" si="23"/>
        <v>94</v>
      </c>
      <c r="G81" s="544">
        <f t="shared" si="23"/>
        <v>92</v>
      </c>
      <c r="H81" s="544">
        <f t="shared" si="23"/>
        <v>90</v>
      </c>
      <c r="I81" s="544">
        <f t="shared" si="23"/>
        <v>88</v>
      </c>
      <c r="J81" s="544">
        <f t="shared" si="23"/>
        <v>86</v>
      </c>
      <c r="K81" s="544">
        <f t="shared" si="23"/>
        <v>84</v>
      </c>
      <c r="L81" s="544">
        <f t="shared" si="23"/>
        <v>82</v>
      </c>
      <c r="M81" s="544">
        <f t="shared" si="23"/>
        <v>80</v>
      </c>
      <c r="N81" s="1150"/>
      <c r="O81" s="1150"/>
      <c r="P81" s="45"/>
      <c r="Q81" s="504"/>
    </row>
    <row r="82" spans="1:17" s="471" customFormat="1" ht="15.75" hidden="1" thickTop="1">
      <c r="A82" s="553"/>
      <c r="B82" s="538">
        <f>B12</f>
        <v>0</v>
      </c>
      <c r="C82" s="554"/>
      <c r="D82" s="554"/>
      <c r="E82" s="554"/>
      <c r="F82" s="554"/>
      <c r="G82" s="554"/>
      <c r="H82" s="555"/>
      <c r="I82" s="555"/>
      <c r="J82" s="555"/>
      <c r="K82" s="555"/>
      <c r="L82" s="556"/>
      <c r="M82" s="557"/>
      <c r="N82" s="1151"/>
      <c r="O82" s="1151"/>
      <c r="P82" s="558"/>
      <c r="Q82" s="559"/>
    </row>
    <row r="83" spans="1:17" s="471" customFormat="1" ht="15.75" hidden="1" thickBot="1">
      <c r="A83" s="553"/>
      <c r="B83" s="543"/>
      <c r="C83" s="560"/>
      <c r="D83" s="536"/>
      <c r="E83" s="536"/>
      <c r="F83" s="536"/>
      <c r="G83" s="536"/>
      <c r="H83" s="536"/>
      <c r="I83" s="536"/>
      <c r="J83" s="536"/>
      <c r="K83" s="536"/>
      <c r="L83" s="536"/>
      <c r="M83" s="537"/>
      <c r="N83" s="1150"/>
      <c r="O83" s="1150"/>
      <c r="P83" s="558"/>
      <c r="Q83" s="559"/>
    </row>
    <row r="84" spans="1:17" s="471" customFormat="1" ht="15.75" hidden="1" thickTop="1">
      <c r="A84" s="553"/>
      <c r="B84" s="538">
        <f>B13</f>
        <v>0</v>
      </c>
      <c r="C84" s="554"/>
      <c r="D84" s="554"/>
      <c r="E84" s="554"/>
      <c r="F84" s="554"/>
      <c r="G84" s="554"/>
      <c r="H84" s="555"/>
      <c r="I84" s="555"/>
      <c r="J84" s="555"/>
      <c r="K84" s="555"/>
      <c r="L84" s="556"/>
      <c r="M84" s="557"/>
      <c r="N84" s="1151"/>
      <c r="O84" s="1151"/>
      <c r="P84" s="470"/>
      <c r="Q84" s="561"/>
    </row>
    <row r="85" spans="1:17" s="471" customFormat="1" ht="15.75" hidden="1" thickBot="1">
      <c r="A85" s="553"/>
      <c r="B85" s="543"/>
      <c r="C85" s="560"/>
      <c r="D85" s="560"/>
      <c r="E85" s="560"/>
      <c r="F85" s="560"/>
      <c r="G85" s="560"/>
      <c r="H85" s="562"/>
      <c r="I85" s="562"/>
      <c r="J85" s="562"/>
      <c r="K85" s="562"/>
      <c r="L85" s="562"/>
      <c r="M85" s="563"/>
      <c r="N85" s="1151"/>
      <c r="O85" s="1151"/>
      <c r="P85" s="558"/>
      <c r="Q85" s="559"/>
    </row>
    <row r="86" spans="1:17" s="471" customFormat="1" ht="15.75" hidden="1" thickTop="1">
      <c r="A86" s="553"/>
      <c r="B86" s="546">
        <f>B14</f>
        <v>0</v>
      </c>
      <c r="C86" s="523"/>
      <c r="D86" s="523"/>
      <c r="E86" s="523"/>
      <c r="F86" s="523"/>
      <c r="G86" s="523"/>
      <c r="H86" s="564"/>
      <c r="I86" s="564"/>
      <c r="J86" s="564"/>
      <c r="K86" s="564"/>
      <c r="L86" s="565"/>
      <c r="M86" s="566"/>
      <c r="N86" s="1151"/>
      <c r="O86" s="1151"/>
      <c r="P86" s="567"/>
      <c r="Q86" s="559"/>
    </row>
    <row r="87" spans="1:17" s="471" customFormat="1" ht="15.75" hidden="1" thickBot="1">
      <c r="A87" s="568"/>
      <c r="B87" s="569"/>
      <c r="C87" s="570"/>
      <c r="D87" s="570"/>
      <c r="E87" s="570"/>
      <c r="F87" s="570"/>
      <c r="G87" s="570"/>
      <c r="H87" s="571"/>
      <c r="I87" s="571"/>
      <c r="J87" s="571"/>
      <c r="K87" s="571"/>
      <c r="L87" s="571"/>
      <c r="M87" s="572"/>
      <c r="N87" s="1151"/>
      <c r="O87" s="1151"/>
      <c r="P87" s="558"/>
      <c r="Q87" s="559"/>
    </row>
    <row r="88" spans="1:17" ht="15" thickTop="1">
      <c r="A88" s="527" t="s">
        <v>2548</v>
      </c>
      <c r="B88" s="528" t="s">
        <v>2585</v>
      </c>
      <c r="C88" s="573" t="s">
        <v>2586</v>
      </c>
      <c r="D88" s="573" t="s">
        <v>2587</v>
      </c>
      <c r="E88" s="573" t="s">
        <v>2588</v>
      </c>
      <c r="F88" s="573" t="s">
        <v>2589</v>
      </c>
      <c r="G88" s="573" t="s">
        <v>2590</v>
      </c>
      <c r="H88" s="529"/>
      <c r="I88" s="529"/>
      <c r="J88" s="529"/>
      <c r="K88" s="574"/>
      <c r="L88" s="575"/>
      <c r="M88" s="576"/>
      <c r="N88" s="1149"/>
      <c r="O88" s="1149"/>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75" thickTop="1">
      <c r="A90" s="534"/>
      <c r="B90" s="538" t="s">
        <v>2771</v>
      </c>
      <c r="C90" s="578" t="s">
        <v>2586</v>
      </c>
      <c r="D90" s="578" t="s">
        <v>2587</v>
      </c>
      <c r="E90" s="578" t="s">
        <v>2588</v>
      </c>
      <c r="F90" s="578" t="s">
        <v>2589</v>
      </c>
      <c r="G90" s="578" t="s">
        <v>2590</v>
      </c>
      <c r="H90" s="539"/>
      <c r="I90" s="539"/>
      <c r="J90" s="539"/>
      <c r="K90" s="540"/>
      <c r="L90" s="541"/>
      <c r="M90" s="542"/>
      <c r="N90" s="1149"/>
      <c r="O90" s="1149"/>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0"/>
      <c r="O91" s="1150"/>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49"/>
      <c r="O92" s="1149"/>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0"/>
      <c r="O93" s="1150"/>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2772</v>
      </c>
      <c r="C96" s="578" t="s">
        <v>2586</v>
      </c>
      <c r="D96" s="578" t="s">
        <v>2587</v>
      </c>
      <c r="E96" s="578" t="s">
        <v>2588</v>
      </c>
      <c r="F96" s="578" t="s">
        <v>2589</v>
      </c>
      <c r="G96" s="578" t="s">
        <v>2590</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2773</v>
      </c>
      <c r="C98" s="573" t="s">
        <v>2586</v>
      </c>
      <c r="D98" s="573" t="s">
        <v>2587</v>
      </c>
      <c r="E98" s="573" t="s">
        <v>2588</v>
      </c>
      <c r="F98" s="573" t="s">
        <v>2589</v>
      </c>
      <c r="G98" s="573" t="s">
        <v>2590</v>
      </c>
      <c r="H98" s="578"/>
      <c r="I98" s="578"/>
      <c r="J98" s="578"/>
      <c r="K98" s="578"/>
      <c r="L98" s="578"/>
      <c r="M98" s="622"/>
      <c r="N98" s="1148"/>
      <c r="O98" s="1148"/>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1"/>
      <c r="O100" s="1151"/>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1"/>
      <c r="O101" s="1151"/>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2"/>
      <c r="N102" s="1151"/>
      <c r="O102" s="1151"/>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2"/>
      <c r="N103" s="1151"/>
      <c r="O103" s="1151"/>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0"/>
      <c r="O105" s="1150"/>
      <c r="P105" s="45"/>
      <c r="Q105" s="504"/>
    </row>
    <row r="106" spans="1:17" ht="27.75" thickTop="1">
      <c r="A106" s="534"/>
      <c r="B106" s="538" t="s">
        <v>2680</v>
      </c>
      <c r="C106" s="2970" t="s">
        <v>3178</v>
      </c>
      <c r="D106" s="2970" t="s">
        <v>3179</v>
      </c>
      <c r="E106" s="2970" t="s">
        <v>3181</v>
      </c>
      <c r="F106" s="2970" t="s">
        <v>3183</v>
      </c>
      <c r="G106" s="554"/>
      <c r="H106" s="583"/>
      <c r="I106" s="583"/>
      <c r="J106" s="583"/>
      <c r="K106" s="584"/>
      <c r="L106" s="585"/>
      <c r="M106" s="586"/>
      <c r="N106" s="1149"/>
      <c r="O106" s="1149"/>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0"/>
      <c r="O107" s="1150"/>
      <c r="P107" s="45"/>
      <c r="Q107" s="504"/>
    </row>
    <row r="108" spans="1:17" ht="15.75" hidden="1" thickTop="1">
      <c r="A108" s="534"/>
      <c r="B108" s="538" t="s">
        <v>2738</v>
      </c>
      <c r="C108" s="583"/>
      <c r="D108" s="583"/>
      <c r="E108" s="583"/>
      <c r="F108" s="583"/>
      <c r="G108" s="583"/>
      <c r="H108" s="583"/>
      <c r="I108" s="583"/>
      <c r="J108" s="583"/>
      <c r="K108" s="584"/>
      <c r="L108" s="585"/>
      <c r="M108" s="586"/>
      <c r="N108" s="1149"/>
      <c r="O108" s="1149"/>
      <c r="P108" s="45"/>
      <c r="Q108" s="504"/>
    </row>
    <row r="109" spans="1:17" ht="15.75" hidden="1"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0"/>
      <c r="O109" s="1150"/>
      <c r="P109" s="45"/>
      <c r="Q109" s="504"/>
    </row>
    <row r="110" spans="1:17" ht="15.75" hidden="1" thickTop="1">
      <c r="A110" s="534"/>
      <c r="B110" s="546">
        <f>B35</f>
        <v>0</v>
      </c>
      <c r="C110" s="554"/>
      <c r="D110" s="554"/>
      <c r="E110" s="554"/>
      <c r="F110" s="554"/>
      <c r="G110" s="587"/>
      <c r="H110" s="587"/>
      <c r="I110" s="587"/>
      <c r="J110" s="587"/>
      <c r="K110" s="588"/>
      <c r="L110" s="589"/>
      <c r="M110" s="590"/>
      <c r="N110" s="1149"/>
      <c r="O110" s="1149"/>
      <c r="P110" s="45"/>
      <c r="Q110" s="504"/>
    </row>
    <row r="111" spans="1:17" ht="15.75" hidden="1" thickBot="1">
      <c r="A111" s="534"/>
      <c r="B111" s="569"/>
      <c r="C111" s="560"/>
      <c r="D111" s="560"/>
      <c r="E111" s="560"/>
      <c r="F111" s="560"/>
      <c r="G111" s="591"/>
      <c r="H111" s="591"/>
      <c r="I111" s="591"/>
      <c r="J111" s="591"/>
      <c r="K111" s="591"/>
      <c r="L111" s="591"/>
      <c r="M111" s="592"/>
      <c r="N111" s="1150"/>
      <c r="O111" s="1150"/>
      <c r="P111" s="45"/>
      <c r="Q111" s="504"/>
    </row>
    <row r="112" spans="1:17" ht="15" hidden="1" thickTop="1">
      <c r="A112" s="675"/>
      <c r="B112" s="538">
        <f>B36</f>
        <v>0</v>
      </c>
      <c r="C112" s="523"/>
      <c r="D112" s="523"/>
      <c r="E112" s="523"/>
      <c r="F112" s="523"/>
      <c r="G112" s="583"/>
      <c r="H112" s="583"/>
      <c r="I112" s="583"/>
      <c r="J112" s="583"/>
      <c r="K112" s="584"/>
      <c r="L112" s="585"/>
      <c r="M112" s="586"/>
      <c r="N112" s="1149"/>
      <c r="O112" s="1149"/>
      <c r="P112" s="45"/>
      <c r="Q112" s="504"/>
    </row>
    <row r="113" spans="1:17" ht="15.75" hidden="1" thickBot="1">
      <c r="A113" s="534"/>
      <c r="B113" s="543"/>
      <c r="C113" s="570"/>
      <c r="D113" s="570"/>
      <c r="E113" s="570"/>
      <c r="F113" s="570"/>
      <c r="G113" s="536"/>
      <c r="H113" s="536"/>
      <c r="I113" s="536"/>
      <c r="J113" s="536"/>
      <c r="K113" s="536"/>
      <c r="L113" s="536"/>
      <c r="M113" s="537"/>
      <c r="N113" s="1150"/>
      <c r="O113" s="1150"/>
      <c r="P113" s="45"/>
      <c r="Q113" s="504"/>
    </row>
    <row r="114" spans="1:17" s="471" customFormat="1" ht="15" hidden="1"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hidden="1" thickBot="1">
      <c r="A115" s="553"/>
      <c r="B115" s="546"/>
      <c r="C115" s="512"/>
      <c r="D115" s="677"/>
      <c r="E115" s="677"/>
      <c r="F115" s="677"/>
      <c r="G115" s="677"/>
      <c r="H115" s="677"/>
      <c r="I115" s="677"/>
      <c r="J115" s="677"/>
      <c r="K115" s="677"/>
      <c r="L115" s="677"/>
      <c r="M115" s="699"/>
      <c r="N115" s="1150"/>
      <c r="O115" s="1150"/>
      <c r="P115" s="558"/>
      <c r="Q115" s="559"/>
    </row>
    <row r="116" spans="1:17" ht="15" thickTop="1">
      <c r="A116" s="527" t="s">
        <v>2552</v>
      </c>
      <c r="B116" s="528" t="s">
        <v>2778</v>
      </c>
      <c r="C116" s="529" t="str">
        <f>C117&amp;"(含)"&amp;"-"&amp;D117</f>
        <v>0(含)-</v>
      </c>
      <c r="D116" s="529" t="str">
        <f t="shared" ref="D116:M116" si="27">D117&amp;"(含)"&amp;"-"&amp;E117</f>
        <v>(含)-</v>
      </c>
      <c r="E116" s="529" t="str">
        <f t="shared" si="27"/>
        <v>(含)-</v>
      </c>
      <c r="F116" s="529" t="str">
        <f t="shared" si="27"/>
        <v>(含)-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49"/>
      <c r="O116" s="1149"/>
      <c r="P116" s="45"/>
      <c r="Q116" s="504"/>
    </row>
    <row r="117" spans="1:17" ht="15">
      <c r="A117" s="534"/>
      <c r="B117" s="546"/>
      <c r="C117" s="595">
        <v>0</v>
      </c>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2779</v>
      </c>
      <c r="C119" s="2969" t="s">
        <v>3172</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0"/>
      <c r="O120" s="1150"/>
      <c r="P120" s="45"/>
      <c r="Q120" s="504"/>
    </row>
    <row r="121" spans="1:17" ht="15" hidden="1" thickTop="1">
      <c r="A121" s="599"/>
      <c r="B121" s="538" t="s">
        <v>2780</v>
      </c>
      <c r="C121" s="554"/>
      <c r="D121" s="554"/>
      <c r="E121" s="554"/>
      <c r="F121" s="583"/>
      <c r="G121" s="583"/>
      <c r="H121" s="583"/>
      <c r="I121" s="583"/>
      <c r="J121" s="583"/>
      <c r="K121" s="584"/>
      <c r="L121" s="585"/>
      <c r="M121" s="586"/>
      <c r="N121" s="1149"/>
      <c r="O121" s="1149"/>
      <c r="P121" s="45"/>
      <c r="Q121" s="504"/>
    </row>
    <row r="122" spans="1:17" ht="15.75" hidden="1"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0"/>
      <c r="O122" s="1150"/>
      <c r="P122" s="45"/>
      <c r="Q122" s="504"/>
    </row>
    <row r="123" spans="1:17" s="471" customFormat="1" ht="15" thickTop="1">
      <c r="A123" s="593"/>
      <c r="B123" s="538" t="s">
        <v>2781</v>
      </c>
      <c r="C123" s="2970" t="s">
        <v>3173</v>
      </c>
      <c r="D123" s="2970" t="s">
        <v>3174</v>
      </c>
      <c r="E123" s="2970" t="s">
        <v>3175</v>
      </c>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30">D124-$K41</f>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558"/>
      <c r="Q124" s="559"/>
    </row>
    <row r="125" spans="1:17" ht="15" thickTop="1">
      <c r="A125" s="599"/>
      <c r="B125" s="538" t="s">
        <v>2782</v>
      </c>
      <c r="C125" s="2970" t="s">
        <v>3177</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0"/>
      <c r="O126" s="1150"/>
      <c r="P126" s="45"/>
      <c r="Q126" s="504"/>
    </row>
    <row r="127" spans="1:17" ht="15" hidden="1" thickTop="1">
      <c r="A127" s="599"/>
      <c r="B127" s="538">
        <f>B43</f>
        <v>0</v>
      </c>
      <c r="C127" s="554"/>
      <c r="D127" s="554"/>
      <c r="E127" s="554"/>
      <c r="F127" s="554"/>
      <c r="G127" s="554"/>
      <c r="H127" s="583"/>
      <c r="I127" s="583"/>
      <c r="J127" s="583"/>
      <c r="K127" s="584"/>
      <c r="L127" s="585"/>
      <c r="M127" s="586"/>
      <c r="N127" s="1149"/>
      <c r="O127" s="1149"/>
      <c r="P127" s="45"/>
      <c r="Q127" s="504"/>
    </row>
    <row r="128" spans="1:17" ht="15.75" hidden="1" thickBot="1">
      <c r="A128" s="534"/>
      <c r="B128" s="543"/>
      <c r="C128" s="560"/>
      <c r="D128" s="560"/>
      <c r="E128" s="560"/>
      <c r="F128" s="560"/>
      <c r="G128" s="536"/>
      <c r="H128" s="536"/>
      <c r="I128" s="536"/>
      <c r="J128" s="536"/>
      <c r="K128" s="536"/>
      <c r="L128" s="536"/>
      <c r="M128" s="537"/>
      <c r="N128" s="1150"/>
      <c r="O128" s="1150"/>
      <c r="P128" s="45"/>
      <c r="Q128" s="504"/>
    </row>
    <row r="129" spans="1:17" ht="15" hidden="1" thickTop="1">
      <c r="A129" s="599"/>
      <c r="B129" s="538">
        <f>B44</f>
        <v>0</v>
      </c>
      <c r="C129" s="523"/>
      <c r="D129" s="523"/>
      <c r="E129" s="523"/>
      <c r="F129" s="523"/>
      <c r="G129" s="583"/>
      <c r="H129" s="583"/>
      <c r="I129" s="583"/>
      <c r="J129" s="583"/>
      <c r="K129" s="584"/>
      <c r="L129" s="585"/>
      <c r="M129" s="586"/>
      <c r="N129" s="1149"/>
      <c r="O129" s="1149"/>
      <c r="P129" s="45"/>
      <c r="Q129" s="504"/>
    </row>
    <row r="130" spans="1:17" ht="15.75" hidden="1" thickBot="1">
      <c r="A130" s="534"/>
      <c r="B130" s="543"/>
      <c r="C130" s="570"/>
      <c r="D130" s="570"/>
      <c r="E130" s="570"/>
      <c r="F130" s="570"/>
      <c r="G130" s="536"/>
      <c r="H130" s="536"/>
      <c r="I130" s="536"/>
      <c r="J130" s="536"/>
      <c r="K130" s="536"/>
      <c r="L130" s="536"/>
      <c r="M130" s="537"/>
      <c r="N130" s="1150"/>
      <c r="O130" s="1150"/>
      <c r="P130" s="45"/>
      <c r="Q130" s="504"/>
    </row>
    <row r="131" spans="1:17" s="471" customFormat="1" ht="15" hidden="1"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hidden="1" thickBot="1">
      <c r="A132" s="568"/>
      <c r="B132" s="700"/>
      <c r="C132" s="570"/>
      <c r="D132" s="570"/>
      <c r="E132" s="570"/>
      <c r="F132" s="570"/>
      <c r="G132" s="591"/>
      <c r="H132" s="591"/>
      <c r="I132" s="591"/>
      <c r="J132" s="591"/>
      <c r="K132" s="591"/>
      <c r="L132" s="591"/>
      <c r="M132" s="592"/>
      <c r="N132" s="1151"/>
      <c r="O132" s="1151"/>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4" stopIfTrue="1" operator="containsText" text="超过">
      <formula>NOT(ISERROR(SEARCH("超过",F51)))</formula>
    </cfRule>
  </conditionalFormatting>
  <conditionalFormatting sqref="J53">
    <cfRule type="containsText" dxfId="183" priority="13" stopIfTrue="1" operator="containsText" text="超过">
      <formula>NOT(ISERROR(SEARCH("超过",J53)))</formula>
    </cfRule>
  </conditionalFormatting>
  <conditionalFormatting sqref="H53">
    <cfRule type="containsText" dxfId="182" priority="12" stopIfTrue="1" operator="containsText" text="超过">
      <formula>NOT(ISERROR(SEARCH("超过",H53)))</formula>
    </cfRule>
  </conditionalFormatting>
  <conditionalFormatting sqref="F53">
    <cfRule type="containsText" dxfId="181" priority="11" stopIfTrue="1" operator="containsText" text="超过">
      <formula>NOT(ISERROR(SEARCH("超过",F53)))</formula>
    </cfRule>
  </conditionalFormatting>
  <conditionalFormatting sqref="F52 H52 J52">
    <cfRule type="containsText" dxfId="180" priority="10" stopIfTrue="1" operator="containsText" text="超过">
      <formula>NOT(ISERROR(SEARCH("超过",F52)))</formula>
    </cfRule>
  </conditionalFormatting>
  <conditionalFormatting sqref="E51">
    <cfRule type="expression" dxfId="179" priority="9" stopIfTrue="1">
      <formula>$F$51="超过30%"</formula>
    </cfRule>
  </conditionalFormatting>
  <conditionalFormatting sqref="G53">
    <cfRule type="expression" dxfId="178" priority="8" stopIfTrue="1">
      <formula>$H$53="超过30%"</formula>
    </cfRule>
  </conditionalFormatting>
  <conditionalFormatting sqref="E52">
    <cfRule type="expression" dxfId="177" priority="7" stopIfTrue="1">
      <formula>$F$52="超过20%"</formula>
    </cfRule>
  </conditionalFormatting>
  <conditionalFormatting sqref="E53">
    <cfRule type="expression" dxfId="176" priority="6" stopIfTrue="1">
      <formula>$F$53="超过30%"</formula>
    </cfRule>
  </conditionalFormatting>
  <conditionalFormatting sqref="G51">
    <cfRule type="expression" dxfId="175" priority="5" stopIfTrue="1">
      <formula>$H$53+$H$51="超过30%"</formula>
    </cfRule>
  </conditionalFormatting>
  <conditionalFormatting sqref="G52">
    <cfRule type="expression" dxfId="174" priority="4" stopIfTrue="1">
      <formula>$H$52="超过20%"</formula>
    </cfRule>
  </conditionalFormatting>
  <conditionalFormatting sqref="I51">
    <cfRule type="expression" dxfId="173" priority="3" stopIfTrue="1">
      <formula>$J$51="超过30%"</formula>
    </cfRule>
  </conditionalFormatting>
  <conditionalFormatting sqref="I52">
    <cfRule type="expression" dxfId="172" priority="2" stopIfTrue="1">
      <formula>$J$52="超过20%"</formula>
    </cfRule>
  </conditionalFormatting>
  <conditionalFormatting sqref="I53">
    <cfRule type="expression" dxfId="171"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208"/>
  <sheetViews>
    <sheetView topLeftCell="G1" workbookViewId="0">
      <selection activeCell="K166" sqref="K166"/>
    </sheetView>
  </sheetViews>
  <sheetFormatPr defaultRowHeight="13.5"/>
  <cols>
    <col min="1" max="1" width="100.25" style="2968" customWidth="1"/>
    <col min="2" max="4" width="0" style="2968" hidden="1" customWidth="1"/>
    <col min="5" max="5" width="9" style="2968"/>
    <col min="6" max="6" width="41.375" style="2968" customWidth="1"/>
    <col min="7" max="8" width="22.125" style="2968" customWidth="1"/>
    <col min="9" max="9" width="13.5" style="2968" customWidth="1"/>
    <col min="10" max="10" width="14.625" style="2968" customWidth="1"/>
    <col min="11" max="11" width="50.875" style="2968" customWidth="1"/>
    <col min="12" max="12" width="13.625" style="2968" customWidth="1"/>
    <col min="13" max="13" width="17.25" style="2968" customWidth="1"/>
    <col min="14" max="14" width="14.875" style="2968" customWidth="1"/>
    <col min="15" max="15" width="7.375" style="2968" customWidth="1"/>
    <col min="16" max="16" width="11.625" style="2968" customWidth="1"/>
    <col min="17" max="18" width="26.5" customWidth="1"/>
  </cols>
  <sheetData>
    <row r="1" spans="1:16">
      <c r="A1" s="2998" t="s">
        <v>3088</v>
      </c>
      <c r="B1" s="2998" t="s">
        <v>3089</v>
      </c>
      <c r="C1" s="2998" t="s">
        <v>3090</v>
      </c>
      <c r="D1" s="2998" t="s">
        <v>3091</v>
      </c>
      <c r="E1" s="2998" t="s">
        <v>3197</v>
      </c>
      <c r="F1" s="2998" t="s">
        <v>3092</v>
      </c>
      <c r="G1" s="2997" t="s">
        <v>3093</v>
      </c>
      <c r="H1" s="2997" t="s">
        <v>3094</v>
      </c>
      <c r="I1" s="2998" t="s">
        <v>3095</v>
      </c>
      <c r="J1" s="2998" t="s">
        <v>3198</v>
      </c>
      <c r="K1" s="2998" t="s">
        <v>3096</v>
      </c>
      <c r="L1" s="2998" t="s">
        <v>3097</v>
      </c>
      <c r="M1" s="2998" t="s">
        <v>3098</v>
      </c>
      <c r="N1" s="2998" t="s">
        <v>3099</v>
      </c>
      <c r="O1" s="2998" t="s">
        <v>3100</v>
      </c>
      <c r="P1" s="2998" t="s">
        <v>3101</v>
      </c>
    </row>
    <row r="2" spans="1:16" hidden="1">
      <c r="A2" s="2998" t="s">
        <v>3458</v>
      </c>
      <c r="B2" s="2998" t="s">
        <v>3103</v>
      </c>
      <c r="C2" s="2998" t="s">
        <v>3112</v>
      </c>
      <c r="D2" s="2998" t="s">
        <v>3113</v>
      </c>
      <c r="E2" s="2998">
        <v>18068</v>
      </c>
      <c r="F2" s="2998" t="s">
        <v>3114</v>
      </c>
      <c r="G2" s="2998">
        <v>61448</v>
      </c>
      <c r="H2" s="2998" t="s">
        <v>3459</v>
      </c>
      <c r="I2" s="2998" t="s">
        <v>3460</v>
      </c>
      <c r="J2" s="2998" t="s">
        <v>3461</v>
      </c>
      <c r="K2" s="2998" t="s">
        <v>3462</v>
      </c>
      <c r="L2" s="2998">
        <v>74000</v>
      </c>
      <c r="M2" s="2998">
        <v>802.85</v>
      </c>
      <c r="N2" s="2998">
        <v>6181.71</v>
      </c>
      <c r="O2" s="2998">
        <v>10.54</v>
      </c>
      <c r="P2" s="2998" t="s">
        <v>3110</v>
      </c>
    </row>
    <row r="3" spans="1:16" hidden="1">
      <c r="A3" s="2998" t="s">
        <v>3597</v>
      </c>
      <c r="B3" s="2998" t="s">
        <v>3103</v>
      </c>
      <c r="C3" s="2998" t="s">
        <v>3104</v>
      </c>
      <c r="D3" s="2998" t="s">
        <v>3105</v>
      </c>
      <c r="E3" s="2998">
        <v>18065</v>
      </c>
      <c r="F3" s="2998" t="s">
        <v>3598</v>
      </c>
      <c r="G3" s="2998">
        <v>161748.70000000001</v>
      </c>
      <c r="H3" s="2998" t="s">
        <v>3599</v>
      </c>
      <c r="I3" s="2998" t="s">
        <v>3464</v>
      </c>
      <c r="J3" s="2998" t="s">
        <v>3600</v>
      </c>
      <c r="K3" s="2998" t="s">
        <v>3601</v>
      </c>
      <c r="L3" s="2998">
        <v>232000</v>
      </c>
      <c r="M3" s="2998">
        <v>956.22</v>
      </c>
      <c r="N3" s="2998">
        <v>5990.06</v>
      </c>
      <c r="O3" s="2998">
        <v>0</v>
      </c>
      <c r="P3" s="2998" t="s">
        <v>3110</v>
      </c>
    </row>
    <row r="4" spans="1:16" hidden="1">
      <c r="A4" s="2998" t="s">
        <v>3463</v>
      </c>
      <c r="B4" s="2998" t="s">
        <v>3103</v>
      </c>
      <c r="C4" s="2998" t="s">
        <v>3112</v>
      </c>
      <c r="D4" s="2998" t="s">
        <v>3113</v>
      </c>
      <c r="E4" s="2998">
        <v>18064</v>
      </c>
      <c r="F4" s="2998" t="s">
        <v>3114</v>
      </c>
      <c r="G4" s="2998">
        <v>74609</v>
      </c>
      <c r="H4" s="2998" t="s">
        <v>3119</v>
      </c>
      <c r="I4" s="2998" t="s">
        <v>3464</v>
      </c>
      <c r="J4" s="2998" t="s">
        <v>3465</v>
      </c>
      <c r="K4" s="2998" t="s">
        <v>3466</v>
      </c>
      <c r="L4" s="2998">
        <v>80500</v>
      </c>
      <c r="M4" s="2998">
        <v>719.31</v>
      </c>
      <c r="N4" s="2998">
        <v>7193.06</v>
      </c>
      <c r="O4" s="2998">
        <v>49.85</v>
      </c>
      <c r="P4" s="2998" t="s">
        <v>3110</v>
      </c>
    </row>
    <row r="5" spans="1:16" hidden="1">
      <c r="A5" s="2998" t="s">
        <v>3602</v>
      </c>
      <c r="B5" s="2998" t="s">
        <v>3103</v>
      </c>
      <c r="C5" s="2998" t="s">
        <v>3104</v>
      </c>
      <c r="D5" s="2998" t="s">
        <v>3105</v>
      </c>
      <c r="E5" s="2998">
        <v>18061</v>
      </c>
      <c r="F5" s="2998" t="s">
        <v>3603</v>
      </c>
      <c r="G5" s="2998">
        <v>161962.20000000001</v>
      </c>
      <c r="H5" s="2998" t="s">
        <v>3604</v>
      </c>
      <c r="I5" s="2998" t="s">
        <v>3605</v>
      </c>
      <c r="J5" s="2998" t="s">
        <v>3606</v>
      </c>
      <c r="K5" s="2998" t="s">
        <v>3607</v>
      </c>
      <c r="L5" s="2998">
        <v>245000</v>
      </c>
      <c r="M5" s="2998">
        <v>1008.47</v>
      </c>
      <c r="N5" s="2998">
        <v>5510</v>
      </c>
      <c r="O5" s="2998">
        <v>0</v>
      </c>
      <c r="P5" s="2998" t="s">
        <v>3110</v>
      </c>
    </row>
    <row r="6" spans="1:16" hidden="1">
      <c r="A6" s="2998" t="s">
        <v>3608</v>
      </c>
      <c r="B6" s="2998" t="s">
        <v>3103</v>
      </c>
      <c r="C6" s="2998" t="s">
        <v>3104</v>
      </c>
      <c r="D6" s="2998" t="s">
        <v>3105</v>
      </c>
      <c r="E6" s="2998">
        <v>18059</v>
      </c>
      <c r="F6" s="2998" t="s">
        <v>3157</v>
      </c>
      <c r="G6" s="2998">
        <v>155378</v>
      </c>
      <c r="H6" s="2998" t="s">
        <v>3609</v>
      </c>
      <c r="I6" s="2998" t="s">
        <v>3379</v>
      </c>
      <c r="J6" s="2998" t="s">
        <v>3610</v>
      </c>
      <c r="K6" s="2998" t="s">
        <v>3611</v>
      </c>
      <c r="L6" s="2998">
        <v>119331</v>
      </c>
      <c r="M6" s="2998">
        <v>512</v>
      </c>
      <c r="N6" s="2998">
        <v>3339.15</v>
      </c>
      <c r="O6" s="2998">
        <v>0</v>
      </c>
      <c r="P6" s="2998" t="s">
        <v>3110</v>
      </c>
    </row>
    <row r="7" spans="1:16" hidden="1">
      <c r="A7" s="2998" t="s">
        <v>3467</v>
      </c>
      <c r="B7" s="2998" t="s">
        <v>3103</v>
      </c>
      <c r="C7" s="2998" t="s">
        <v>3112</v>
      </c>
      <c r="D7" s="2998" t="s">
        <v>3105</v>
      </c>
      <c r="E7" s="2998">
        <v>18052</v>
      </c>
      <c r="F7" s="2998" t="s">
        <v>3114</v>
      </c>
      <c r="G7" s="2998">
        <v>150048</v>
      </c>
      <c r="H7" s="2998" t="s">
        <v>3468</v>
      </c>
      <c r="I7" s="2998" t="s">
        <v>3469</v>
      </c>
      <c r="J7" s="2998" t="s">
        <v>3470</v>
      </c>
      <c r="K7" s="2998" t="s">
        <v>3471</v>
      </c>
      <c r="L7" s="2998">
        <v>215024</v>
      </c>
      <c r="M7" s="2998">
        <v>955.36</v>
      </c>
      <c r="N7" s="2998">
        <v>8009.06</v>
      </c>
      <c r="O7" s="2998">
        <v>0</v>
      </c>
      <c r="P7" s="2998" t="s">
        <v>3110</v>
      </c>
    </row>
    <row r="8" spans="1:16" hidden="1">
      <c r="A8" s="2998" t="s">
        <v>3796</v>
      </c>
      <c r="B8" s="2998" t="s">
        <v>3103</v>
      </c>
      <c r="C8" s="2998" t="s">
        <v>3112</v>
      </c>
      <c r="D8" s="2998" t="s">
        <v>3105</v>
      </c>
      <c r="E8" s="2998">
        <v>18044</v>
      </c>
      <c r="F8" s="2998" t="s">
        <v>3114</v>
      </c>
      <c r="G8" s="2998">
        <v>163979.4</v>
      </c>
      <c r="H8" s="2998" t="s">
        <v>3797</v>
      </c>
      <c r="I8" s="2998" t="s">
        <v>3798</v>
      </c>
      <c r="J8" s="2998" t="s">
        <v>3799</v>
      </c>
      <c r="K8" s="2998" t="s">
        <v>3800</v>
      </c>
      <c r="L8" s="2998">
        <v>206614</v>
      </c>
      <c r="M8" s="2998">
        <v>840</v>
      </c>
      <c r="N8" s="2998">
        <v>6000</v>
      </c>
      <c r="O8" s="2998">
        <v>0</v>
      </c>
      <c r="P8" s="2998" t="s">
        <v>3110</v>
      </c>
    </row>
    <row r="9" spans="1:16" hidden="1">
      <c r="A9" s="2998" t="s">
        <v>3801</v>
      </c>
      <c r="B9" s="2998" t="s">
        <v>3103</v>
      </c>
      <c r="C9" s="2998" t="s">
        <v>3112</v>
      </c>
      <c r="D9" s="2998" t="s">
        <v>3113</v>
      </c>
      <c r="E9" s="2998">
        <v>18047</v>
      </c>
      <c r="F9" s="2998" t="s">
        <v>3114</v>
      </c>
      <c r="G9" s="2998">
        <v>65546</v>
      </c>
      <c r="H9" s="2998" t="s">
        <v>3378</v>
      </c>
      <c r="I9" s="2998" t="s">
        <v>3798</v>
      </c>
      <c r="J9" s="2998" t="s">
        <v>3802</v>
      </c>
      <c r="K9" s="2998" t="s">
        <v>3803</v>
      </c>
      <c r="L9" s="2998">
        <v>69000</v>
      </c>
      <c r="M9" s="2998">
        <v>701.8</v>
      </c>
      <c r="N9" s="2998">
        <v>5263.47</v>
      </c>
      <c r="O9" s="2998">
        <v>31.59</v>
      </c>
      <c r="P9" s="2998" t="s">
        <v>3110</v>
      </c>
    </row>
    <row r="10" spans="1:16" hidden="1">
      <c r="A10" s="2998" t="s">
        <v>3804</v>
      </c>
      <c r="B10" s="2998" t="s">
        <v>3103</v>
      </c>
      <c r="C10" s="2998" t="s">
        <v>3112</v>
      </c>
      <c r="D10" s="2998" t="s">
        <v>3113</v>
      </c>
      <c r="E10" s="2998">
        <v>18046</v>
      </c>
      <c r="F10" s="2998" t="s">
        <v>3114</v>
      </c>
      <c r="G10" s="2998">
        <v>36197</v>
      </c>
      <c r="H10" s="2998" t="s">
        <v>3378</v>
      </c>
      <c r="I10" s="2998" t="s">
        <v>3798</v>
      </c>
      <c r="J10" s="2998" t="s">
        <v>3802</v>
      </c>
      <c r="K10" s="2998" t="s">
        <v>3805</v>
      </c>
      <c r="L10" s="2998">
        <v>49600</v>
      </c>
      <c r="M10" s="2998">
        <v>913.52</v>
      </c>
      <c r="N10" s="2998">
        <v>6851.39</v>
      </c>
      <c r="O10" s="2998">
        <v>71.28</v>
      </c>
      <c r="P10" s="2998" t="s">
        <v>3110</v>
      </c>
    </row>
    <row r="11" spans="1:16" hidden="1">
      <c r="A11" s="2998" t="s">
        <v>3472</v>
      </c>
      <c r="B11" s="2998" t="s">
        <v>3103</v>
      </c>
      <c r="C11" s="2998" t="s">
        <v>3112</v>
      </c>
      <c r="D11" s="2998" t="s">
        <v>3113</v>
      </c>
      <c r="E11" s="2998">
        <v>18042</v>
      </c>
      <c r="F11" s="2998" t="s">
        <v>3114</v>
      </c>
      <c r="G11" s="2998">
        <v>184589.8</v>
      </c>
      <c r="H11" s="2998" t="s">
        <v>3473</v>
      </c>
      <c r="I11" s="2998" t="s">
        <v>3474</v>
      </c>
      <c r="J11" s="2998" t="s">
        <v>3475</v>
      </c>
      <c r="K11" s="2998" t="s">
        <v>3476</v>
      </c>
      <c r="L11" s="2998">
        <v>221000</v>
      </c>
      <c r="M11" s="2998">
        <v>798.17</v>
      </c>
      <c r="N11" s="2998">
        <v>6380.8</v>
      </c>
      <c r="O11" s="2998">
        <v>16.010000000000002</v>
      </c>
      <c r="P11" s="2998" t="s">
        <v>3110</v>
      </c>
    </row>
    <row r="12" spans="1:16" hidden="1">
      <c r="A12" s="2998" t="s">
        <v>3612</v>
      </c>
      <c r="B12" s="2998" t="s">
        <v>3103</v>
      </c>
      <c r="C12" s="2998" t="s">
        <v>3104</v>
      </c>
      <c r="D12" s="2998" t="s">
        <v>3113</v>
      </c>
      <c r="E12" s="2998">
        <v>18038</v>
      </c>
      <c r="F12" s="2998" t="s">
        <v>3123</v>
      </c>
      <c r="G12" s="2998">
        <v>8749</v>
      </c>
      <c r="H12" s="2998" t="s">
        <v>3609</v>
      </c>
      <c r="I12" s="2998" t="s">
        <v>3474</v>
      </c>
      <c r="J12" s="2998" t="s">
        <v>3613</v>
      </c>
      <c r="K12" s="2998" t="s">
        <v>3614</v>
      </c>
      <c r="L12" s="2998">
        <v>23700</v>
      </c>
      <c r="M12" s="2998">
        <v>1805.92</v>
      </c>
      <c r="N12" s="2998">
        <v>11726.87</v>
      </c>
      <c r="O12" s="2998">
        <v>69.94</v>
      </c>
      <c r="P12" s="2998" t="s">
        <v>3110</v>
      </c>
    </row>
    <row r="13" spans="1:16" hidden="1">
      <c r="A13" s="2998" t="s">
        <v>3615</v>
      </c>
      <c r="B13" s="2998" t="s">
        <v>3103</v>
      </c>
      <c r="C13" s="2998" t="s">
        <v>3104</v>
      </c>
      <c r="D13" s="2998" t="s">
        <v>3113</v>
      </c>
      <c r="E13" s="2998">
        <v>18041</v>
      </c>
      <c r="F13" s="2998" t="s">
        <v>3123</v>
      </c>
      <c r="G13" s="2998">
        <v>187009.5</v>
      </c>
      <c r="H13" s="2998" t="s">
        <v>3459</v>
      </c>
      <c r="I13" s="2998" t="s">
        <v>3474</v>
      </c>
      <c r="J13" s="2998" t="s">
        <v>3475</v>
      </c>
      <c r="K13" s="2998" t="s">
        <v>3616</v>
      </c>
      <c r="L13" s="2998">
        <v>182000</v>
      </c>
      <c r="M13" s="2998">
        <v>648.80999999999995</v>
      </c>
      <c r="N13" s="2998">
        <v>5067.3599999999997</v>
      </c>
      <c r="O13" s="2998">
        <v>17.850000000000001</v>
      </c>
      <c r="P13" s="2998" t="s">
        <v>3110</v>
      </c>
    </row>
    <row r="14" spans="1:16" hidden="1">
      <c r="A14" s="2998" t="s">
        <v>3617</v>
      </c>
      <c r="B14" s="2998" t="s">
        <v>3103</v>
      </c>
      <c r="C14" s="2998" t="s">
        <v>3104</v>
      </c>
      <c r="D14" s="2998" t="s">
        <v>3105</v>
      </c>
      <c r="E14" s="2998">
        <v>18040</v>
      </c>
      <c r="F14" s="2998" t="s">
        <v>3123</v>
      </c>
      <c r="G14" s="2998">
        <v>200567.9</v>
      </c>
      <c r="H14" s="2998" t="s">
        <v>3459</v>
      </c>
      <c r="I14" s="2998" t="s">
        <v>3474</v>
      </c>
      <c r="J14" s="2998" t="s">
        <v>3475</v>
      </c>
      <c r="K14" s="2998" t="s">
        <v>3553</v>
      </c>
      <c r="L14" s="2998">
        <v>158948</v>
      </c>
      <c r="M14" s="2998">
        <v>528.33000000000004</v>
      </c>
      <c r="N14" s="2998">
        <v>4100.01</v>
      </c>
      <c r="O14" s="2998">
        <v>0</v>
      </c>
      <c r="P14" s="2998" t="s">
        <v>3110</v>
      </c>
    </row>
    <row r="15" spans="1:16" hidden="1">
      <c r="A15" s="2998" t="s">
        <v>3618</v>
      </c>
      <c r="B15" s="2998" t="s">
        <v>3103</v>
      </c>
      <c r="C15" s="2998" t="s">
        <v>3104</v>
      </c>
      <c r="D15" s="2998" t="s">
        <v>3113</v>
      </c>
      <c r="E15" s="2998">
        <v>18037</v>
      </c>
      <c r="F15" s="2998" t="s">
        <v>3123</v>
      </c>
      <c r="G15" s="2998">
        <v>28607</v>
      </c>
      <c r="H15" s="2998" t="s">
        <v>3482</v>
      </c>
      <c r="I15" s="2998" t="s">
        <v>3474</v>
      </c>
      <c r="J15" s="2998" t="s">
        <v>3613</v>
      </c>
      <c r="K15" s="2998" t="s">
        <v>3619</v>
      </c>
      <c r="L15" s="2998">
        <v>40600</v>
      </c>
      <c r="M15" s="2998">
        <v>946.16</v>
      </c>
      <c r="N15" s="2998">
        <v>5676.89</v>
      </c>
      <c r="O15" s="2998">
        <v>13.54</v>
      </c>
      <c r="P15" s="2998" t="s">
        <v>3110</v>
      </c>
    </row>
    <row r="16" spans="1:16" hidden="1">
      <c r="A16" s="2998" t="s">
        <v>3806</v>
      </c>
      <c r="B16" s="2998" t="s">
        <v>3103</v>
      </c>
      <c r="C16" s="2998" t="s">
        <v>3104</v>
      </c>
      <c r="D16" s="2998" t="s">
        <v>3113</v>
      </c>
      <c r="E16" s="2998">
        <v>18036</v>
      </c>
      <c r="F16" s="2998" t="s">
        <v>3807</v>
      </c>
      <c r="G16" s="2998">
        <v>9997.2000000000007</v>
      </c>
      <c r="H16" s="2998" t="s">
        <v>3115</v>
      </c>
      <c r="I16" s="2998" t="s">
        <v>3622</v>
      </c>
      <c r="J16" s="2998" t="s">
        <v>3808</v>
      </c>
      <c r="K16" s="2998" t="s">
        <v>3809</v>
      </c>
      <c r="L16" s="2998">
        <v>34800</v>
      </c>
      <c r="M16" s="2998">
        <v>2320.65</v>
      </c>
      <c r="N16" s="2998">
        <v>9945.6299999999992</v>
      </c>
      <c r="O16" s="2998">
        <v>46.26</v>
      </c>
      <c r="P16" s="2998" t="s">
        <v>3110</v>
      </c>
    </row>
    <row r="17" spans="1:18" hidden="1">
      <c r="A17" s="2998" t="s">
        <v>3620</v>
      </c>
      <c r="B17" s="2998" t="s">
        <v>3103</v>
      </c>
      <c r="C17" s="2998" t="s">
        <v>3104</v>
      </c>
      <c r="D17" s="2998" t="s">
        <v>3105</v>
      </c>
      <c r="E17" s="2998">
        <v>18035</v>
      </c>
      <c r="F17" s="2998" t="s">
        <v>3621</v>
      </c>
      <c r="G17" s="2998">
        <v>169301.1</v>
      </c>
      <c r="H17" s="2998" t="s">
        <v>3459</v>
      </c>
      <c r="I17" s="2998" t="s">
        <v>3622</v>
      </c>
      <c r="J17" s="2998" t="s">
        <v>3623</v>
      </c>
      <c r="K17" s="2998" t="s">
        <v>3624</v>
      </c>
      <c r="L17" s="2998">
        <v>88714</v>
      </c>
      <c r="M17" s="2998">
        <v>349.33</v>
      </c>
      <c r="N17" s="2998">
        <v>2693.63</v>
      </c>
      <c r="O17" s="2998">
        <v>0</v>
      </c>
      <c r="P17" s="2998" t="s">
        <v>3110</v>
      </c>
    </row>
    <row r="18" spans="1:18" hidden="1">
      <c r="A18" s="2998" t="s">
        <v>3102</v>
      </c>
      <c r="B18" s="2998" t="s">
        <v>3103</v>
      </c>
      <c r="C18" s="2998" t="s">
        <v>3104</v>
      </c>
      <c r="D18" s="2998" t="s">
        <v>3105</v>
      </c>
      <c r="E18" s="2998">
        <v>18033</v>
      </c>
      <c r="F18" s="2998" t="s">
        <v>3106</v>
      </c>
      <c r="G18" s="2998">
        <v>189552.8</v>
      </c>
      <c r="H18" s="2998" t="s">
        <v>3107</v>
      </c>
      <c r="I18" s="2998" t="s">
        <v>3108</v>
      </c>
      <c r="J18" s="2998" t="s">
        <v>3625</v>
      </c>
      <c r="K18" s="2998" t="s">
        <v>3109</v>
      </c>
      <c r="L18" s="2998">
        <v>137625</v>
      </c>
      <c r="M18" s="2998">
        <v>484.03</v>
      </c>
      <c r="N18" s="2998">
        <v>3237.17</v>
      </c>
      <c r="O18" s="2998">
        <v>0</v>
      </c>
      <c r="P18" s="2998" t="s">
        <v>3110</v>
      </c>
    </row>
    <row r="19" spans="1:18" hidden="1">
      <c r="A19" s="2998" t="s">
        <v>3810</v>
      </c>
      <c r="B19" s="2998" t="s">
        <v>3103</v>
      </c>
      <c r="C19" s="2998" t="s">
        <v>3112</v>
      </c>
      <c r="D19" s="2998" t="s">
        <v>3113</v>
      </c>
      <c r="E19" s="2998">
        <v>18031</v>
      </c>
      <c r="F19" s="2998" t="s">
        <v>3729</v>
      </c>
      <c r="G19" s="2998">
        <v>44997</v>
      </c>
      <c r="H19" s="2998">
        <v>1</v>
      </c>
      <c r="I19" s="2998" t="s">
        <v>3811</v>
      </c>
      <c r="J19" s="2998" t="s">
        <v>3812</v>
      </c>
      <c r="K19" s="2998" t="s">
        <v>3813</v>
      </c>
      <c r="L19" s="2998">
        <v>39800</v>
      </c>
      <c r="M19" s="2998">
        <v>589.66999999999996</v>
      </c>
      <c r="N19" s="2998">
        <v>8844.84</v>
      </c>
      <c r="O19" s="2998">
        <v>30.07</v>
      </c>
      <c r="P19" s="2998" t="s">
        <v>3110</v>
      </c>
    </row>
    <row r="20" spans="1:18" hidden="1">
      <c r="A20" s="2998" t="s">
        <v>3814</v>
      </c>
      <c r="B20" s="2998" t="s">
        <v>3103</v>
      </c>
      <c r="C20" s="2998" t="s">
        <v>3112</v>
      </c>
      <c r="D20" s="2998" t="s">
        <v>3113</v>
      </c>
      <c r="E20" s="2998">
        <v>18029</v>
      </c>
      <c r="F20" s="2998" t="s">
        <v>3114</v>
      </c>
      <c r="G20" s="2998">
        <v>95092.4</v>
      </c>
      <c r="H20" s="2998" t="s">
        <v>3119</v>
      </c>
      <c r="I20" s="2998" t="s">
        <v>3815</v>
      </c>
      <c r="J20" s="2998" t="s">
        <v>3816</v>
      </c>
      <c r="K20" s="2998" t="s">
        <v>3817</v>
      </c>
      <c r="L20" s="2998">
        <v>123000</v>
      </c>
      <c r="M20" s="2998">
        <v>862.32</v>
      </c>
      <c r="N20" s="2998">
        <v>8623.19</v>
      </c>
      <c r="O20" s="2998">
        <v>56.78</v>
      </c>
      <c r="P20" s="2998" t="s">
        <v>3110</v>
      </c>
    </row>
    <row r="21" spans="1:18" hidden="1">
      <c r="A21" s="2998" t="s">
        <v>3818</v>
      </c>
      <c r="B21" s="2998" t="s">
        <v>3103</v>
      </c>
      <c r="C21" s="2998" t="s">
        <v>3112</v>
      </c>
      <c r="D21" s="2998" t="s">
        <v>3113</v>
      </c>
      <c r="E21" s="2998">
        <v>18030</v>
      </c>
      <c r="F21" s="2998" t="s">
        <v>3114</v>
      </c>
      <c r="G21" s="2998">
        <v>103259.6</v>
      </c>
      <c r="H21" s="2998" t="s">
        <v>3819</v>
      </c>
      <c r="I21" s="2998" t="s">
        <v>3815</v>
      </c>
      <c r="J21" s="2998" t="s">
        <v>3816</v>
      </c>
      <c r="K21" s="2998" t="s">
        <v>3820</v>
      </c>
      <c r="L21" s="2998">
        <v>128000</v>
      </c>
      <c r="M21" s="2998">
        <v>826.4</v>
      </c>
      <c r="N21" s="2998">
        <v>8263.9500000000007</v>
      </c>
      <c r="O21" s="2998">
        <v>50.25</v>
      </c>
      <c r="P21" s="2998" t="s">
        <v>3110</v>
      </c>
    </row>
    <row r="22" spans="1:18" hidden="1">
      <c r="A22" s="2998" t="s">
        <v>3626</v>
      </c>
      <c r="B22" s="2998" t="s">
        <v>3103</v>
      </c>
      <c r="C22" s="2998" t="s">
        <v>3104</v>
      </c>
      <c r="D22" s="2998" t="s">
        <v>3113</v>
      </c>
      <c r="E22" s="2998">
        <v>18028</v>
      </c>
      <c r="F22" s="2998" t="s">
        <v>3627</v>
      </c>
      <c r="G22" s="2998">
        <v>148329.5</v>
      </c>
      <c r="H22" s="2998" t="s">
        <v>3628</v>
      </c>
      <c r="I22" s="2998" t="s">
        <v>3629</v>
      </c>
      <c r="J22" s="2998" t="s">
        <v>3630</v>
      </c>
      <c r="K22" s="2998" t="s">
        <v>3287</v>
      </c>
      <c r="L22" s="2998">
        <v>350000</v>
      </c>
      <c r="M22" s="2998">
        <v>1573.07</v>
      </c>
      <c r="N22" s="2998">
        <v>9114.06</v>
      </c>
      <c r="O22" s="2998">
        <v>30.21</v>
      </c>
      <c r="P22" s="2998" t="s">
        <v>3110</v>
      </c>
    </row>
    <row r="23" spans="1:18" hidden="1">
      <c r="A23" s="2998" t="s">
        <v>3631</v>
      </c>
      <c r="B23" s="2998" t="s">
        <v>3103</v>
      </c>
      <c r="C23" s="2998" t="s">
        <v>3104</v>
      </c>
      <c r="D23" s="2998" t="s">
        <v>3105</v>
      </c>
      <c r="E23" s="2998">
        <v>18026</v>
      </c>
      <c r="F23" s="2998" t="s">
        <v>3632</v>
      </c>
      <c r="G23" s="2998">
        <v>227465.5</v>
      </c>
      <c r="H23" s="2998" t="s">
        <v>3633</v>
      </c>
      <c r="I23" s="2998" t="s">
        <v>3634</v>
      </c>
      <c r="J23" s="2998" t="s">
        <v>3635</v>
      </c>
      <c r="K23" s="2998" t="s">
        <v>3636</v>
      </c>
      <c r="L23" s="2998">
        <v>82234</v>
      </c>
      <c r="M23" s="2998">
        <v>241.02</v>
      </c>
      <c r="N23" s="2998">
        <v>3461.44</v>
      </c>
      <c r="O23" s="2998">
        <v>0</v>
      </c>
      <c r="P23" s="2998" t="s">
        <v>3110</v>
      </c>
    </row>
    <row r="24" spans="1:18" hidden="1">
      <c r="A24" s="2998" t="s">
        <v>3637</v>
      </c>
      <c r="B24" s="2998" t="s">
        <v>3103</v>
      </c>
      <c r="C24" s="2998" t="s">
        <v>3104</v>
      </c>
      <c r="D24" s="2998" t="s">
        <v>3105</v>
      </c>
      <c r="E24" s="2998">
        <v>18027</v>
      </c>
      <c r="F24" s="2998" t="s">
        <v>3638</v>
      </c>
      <c r="G24" s="2998">
        <v>279131.40000000002</v>
      </c>
      <c r="H24" s="2998" t="s">
        <v>3639</v>
      </c>
      <c r="I24" s="2998" t="s">
        <v>3634</v>
      </c>
      <c r="J24" s="2998" t="s">
        <v>3635</v>
      </c>
      <c r="K24" s="2998" t="s">
        <v>3636</v>
      </c>
      <c r="L24" s="2998">
        <v>97555</v>
      </c>
      <c r="M24" s="2998">
        <v>233</v>
      </c>
      <c r="N24" s="2998">
        <v>3653.23</v>
      </c>
      <c r="O24" s="2998">
        <v>0</v>
      </c>
      <c r="P24" s="2998" t="s">
        <v>3110</v>
      </c>
    </row>
    <row r="25" spans="1:18" hidden="1">
      <c r="A25" s="2998" t="s">
        <v>3821</v>
      </c>
      <c r="B25" s="2998" t="s">
        <v>3103</v>
      </c>
      <c r="C25" s="2998" t="s">
        <v>3112</v>
      </c>
      <c r="D25" s="2998" t="s">
        <v>3113</v>
      </c>
      <c r="E25" s="2998">
        <v>18025</v>
      </c>
      <c r="F25" s="2998" t="s">
        <v>3114</v>
      </c>
      <c r="G25" s="2998">
        <v>55157.599999999999</v>
      </c>
      <c r="H25" s="2998" t="s">
        <v>3119</v>
      </c>
      <c r="I25" s="2998" t="s">
        <v>3634</v>
      </c>
      <c r="J25" s="2998" t="s">
        <v>3822</v>
      </c>
      <c r="K25" s="2998" t="s">
        <v>3823</v>
      </c>
      <c r="L25" s="2998">
        <v>68000</v>
      </c>
      <c r="M25" s="2998">
        <v>821.89</v>
      </c>
      <c r="N25" s="2998">
        <v>8218.8700000000008</v>
      </c>
      <c r="O25" s="2998">
        <v>49.43</v>
      </c>
      <c r="P25" s="2998" t="s">
        <v>3110</v>
      </c>
    </row>
    <row r="26" spans="1:18" hidden="1">
      <c r="A26" s="2998" t="s">
        <v>3477</v>
      </c>
      <c r="B26" s="2998" t="s">
        <v>3103</v>
      </c>
      <c r="C26" s="2998" t="s">
        <v>3112</v>
      </c>
      <c r="D26" s="2998" t="s">
        <v>3113</v>
      </c>
      <c r="E26" s="2998">
        <v>18021</v>
      </c>
      <c r="F26" s="2998" t="s">
        <v>3114</v>
      </c>
      <c r="G26" s="2998">
        <v>130604</v>
      </c>
      <c r="H26" s="2998" t="s">
        <v>3378</v>
      </c>
      <c r="I26" s="2998" t="s">
        <v>3202</v>
      </c>
      <c r="J26" s="2998" t="s">
        <v>3478</v>
      </c>
      <c r="K26" s="2998" t="s">
        <v>3479</v>
      </c>
      <c r="L26" s="2998">
        <v>225000</v>
      </c>
      <c r="M26" s="2998">
        <v>1148.51</v>
      </c>
      <c r="N26" s="2998">
        <v>8613.81</v>
      </c>
      <c r="O26" s="2998">
        <v>7.67</v>
      </c>
      <c r="P26" s="2998" t="s">
        <v>3110</v>
      </c>
    </row>
    <row r="27" spans="1:18" hidden="1">
      <c r="A27" s="2998" t="s">
        <v>3480</v>
      </c>
      <c r="B27" s="2998" t="s">
        <v>3103</v>
      </c>
      <c r="C27" s="2998" t="s">
        <v>3112</v>
      </c>
      <c r="D27" s="2998" t="s">
        <v>3113</v>
      </c>
      <c r="E27" s="2998">
        <v>18022</v>
      </c>
      <c r="F27" s="2998" t="s">
        <v>3114</v>
      </c>
      <c r="G27" s="2998">
        <v>73614</v>
      </c>
      <c r="H27" s="2998" t="s">
        <v>3378</v>
      </c>
      <c r="I27" s="2998" t="s">
        <v>3202</v>
      </c>
      <c r="J27" s="2998" t="s">
        <v>3478</v>
      </c>
      <c r="K27" s="2998" t="s">
        <v>3479</v>
      </c>
      <c r="L27" s="2998">
        <v>129000</v>
      </c>
      <c r="M27" s="2998">
        <v>1168.26</v>
      </c>
      <c r="N27" s="2998">
        <v>8761.92</v>
      </c>
      <c r="O27" s="2998">
        <v>9.52</v>
      </c>
      <c r="P27" s="2998" t="s">
        <v>3110</v>
      </c>
    </row>
    <row r="28" spans="1:18" hidden="1">
      <c r="A28" s="2998" t="s">
        <v>3481</v>
      </c>
      <c r="B28" s="2998" t="s">
        <v>3103</v>
      </c>
      <c r="C28" s="2998" t="s">
        <v>3112</v>
      </c>
      <c r="D28" s="2998" t="s">
        <v>3105</v>
      </c>
      <c r="E28" s="2998">
        <v>18020</v>
      </c>
      <c r="F28" s="2998" t="s">
        <v>3114</v>
      </c>
      <c r="G28" s="2998">
        <v>117436</v>
      </c>
      <c r="H28" s="2998" t="s">
        <v>3482</v>
      </c>
      <c r="I28" s="2998" t="s">
        <v>3202</v>
      </c>
      <c r="J28" s="2998" t="s">
        <v>3385</v>
      </c>
      <c r="K28" s="2998" t="s">
        <v>3483</v>
      </c>
      <c r="L28" s="2998">
        <v>184962</v>
      </c>
      <c r="M28" s="2998">
        <v>1050</v>
      </c>
      <c r="N28" s="2998">
        <v>6299.98</v>
      </c>
      <c r="O28" s="2998">
        <v>0</v>
      </c>
      <c r="P28" s="2998" t="s">
        <v>3110</v>
      </c>
    </row>
    <row r="29" spans="1:18" hidden="1">
      <c r="A29" s="2998" t="s">
        <v>3640</v>
      </c>
      <c r="B29" s="2998" t="s">
        <v>3103</v>
      </c>
      <c r="C29" s="2998" t="s">
        <v>3104</v>
      </c>
      <c r="D29" s="2998" t="s">
        <v>3105</v>
      </c>
      <c r="E29" s="2998">
        <v>18015</v>
      </c>
      <c r="F29" s="2998" t="s">
        <v>3641</v>
      </c>
      <c r="G29" s="2998">
        <v>51016</v>
      </c>
      <c r="H29" s="2998" t="s">
        <v>3642</v>
      </c>
      <c r="I29" s="2998" t="s">
        <v>3271</v>
      </c>
      <c r="J29" s="2998" t="s">
        <v>3643</v>
      </c>
      <c r="K29" s="2998" t="s">
        <v>3644</v>
      </c>
      <c r="L29" s="2998">
        <v>26121</v>
      </c>
      <c r="M29" s="2998">
        <v>341.34</v>
      </c>
      <c r="N29" s="2998">
        <v>2857.46</v>
      </c>
      <c r="O29" s="2998">
        <v>0</v>
      </c>
      <c r="P29" s="2998" t="s">
        <v>3110</v>
      </c>
    </row>
    <row r="30" spans="1:18" hidden="1">
      <c r="A30" s="2998" t="s">
        <v>3484</v>
      </c>
      <c r="B30" s="2998" t="s">
        <v>3103</v>
      </c>
      <c r="C30" s="2998" t="s">
        <v>3112</v>
      </c>
      <c r="D30" s="2998" t="s">
        <v>3113</v>
      </c>
      <c r="E30" s="2998">
        <v>18017</v>
      </c>
      <c r="F30" s="2998" t="s">
        <v>3114</v>
      </c>
      <c r="G30" s="2998">
        <v>182788.7</v>
      </c>
      <c r="H30" s="2998" t="s">
        <v>3378</v>
      </c>
      <c r="I30" s="2998" t="s">
        <v>3271</v>
      </c>
      <c r="J30" s="2998" t="s">
        <v>3272</v>
      </c>
      <c r="K30" s="2998" t="s">
        <v>3485</v>
      </c>
      <c r="L30" s="2998">
        <v>231000</v>
      </c>
      <c r="M30" s="2998">
        <v>842.5</v>
      </c>
      <c r="N30" s="2998">
        <v>6318.77</v>
      </c>
      <c r="O30" s="2998">
        <v>40.42</v>
      </c>
      <c r="P30" s="2998" t="s">
        <v>3110</v>
      </c>
    </row>
    <row r="31" spans="1:18" hidden="1">
      <c r="A31" s="2998" t="s">
        <v>3645</v>
      </c>
      <c r="B31" s="2998" t="s">
        <v>3103</v>
      </c>
      <c r="C31" s="2998" t="s">
        <v>3104</v>
      </c>
      <c r="D31" s="2998" t="s">
        <v>3113</v>
      </c>
      <c r="E31" s="2998">
        <v>18012</v>
      </c>
      <c r="F31" s="2998" t="s">
        <v>3646</v>
      </c>
      <c r="G31" s="2998">
        <v>357563.2</v>
      </c>
      <c r="H31" s="2998" t="s">
        <v>3270</v>
      </c>
      <c r="I31" s="2998" t="s">
        <v>3116</v>
      </c>
      <c r="J31" s="2998" t="s">
        <v>3647</v>
      </c>
      <c r="K31" s="2998" t="s">
        <v>3648</v>
      </c>
      <c r="L31" s="2998">
        <v>143000</v>
      </c>
      <c r="M31" s="2998">
        <v>266.62</v>
      </c>
      <c r="N31" s="2998">
        <v>2699.8</v>
      </c>
      <c r="O31" s="2998">
        <v>0.61</v>
      </c>
      <c r="P31" s="2998" t="s">
        <v>3110</v>
      </c>
    </row>
    <row r="32" spans="1:18" s="2994" customFormat="1">
      <c r="A32" s="2993" t="s">
        <v>3111</v>
      </c>
      <c r="B32" s="2998" t="s">
        <v>3103</v>
      </c>
      <c r="C32" s="2998" t="s">
        <v>3112</v>
      </c>
      <c r="D32" s="2998" t="s">
        <v>3113</v>
      </c>
      <c r="E32" s="2993">
        <v>18010</v>
      </c>
      <c r="F32" s="2993" t="s">
        <v>3114</v>
      </c>
      <c r="G32" s="3004">
        <v>4473.8</v>
      </c>
      <c r="H32" s="3004" t="s">
        <v>3115</v>
      </c>
      <c r="I32" s="2993" t="s">
        <v>3116</v>
      </c>
      <c r="J32" s="2993" t="s">
        <v>3486</v>
      </c>
      <c r="K32" s="2993" t="s">
        <v>3117</v>
      </c>
      <c r="L32" s="2993">
        <v>13100</v>
      </c>
      <c r="M32" s="2993">
        <v>1952.11</v>
      </c>
      <c r="N32" s="2993">
        <v>8366.17</v>
      </c>
      <c r="O32" s="2993">
        <v>32.85</v>
      </c>
      <c r="P32" s="2993" t="s">
        <v>3110</v>
      </c>
      <c r="Q32" s="3005" t="s">
        <v>4149</v>
      </c>
      <c r="R32" s="3005" t="s">
        <v>4150</v>
      </c>
    </row>
    <row r="33" spans="1:16" hidden="1">
      <c r="A33" s="2998" t="s">
        <v>3649</v>
      </c>
      <c r="B33" s="2998" t="s">
        <v>3103</v>
      </c>
      <c r="C33" s="2998" t="s">
        <v>3104</v>
      </c>
      <c r="D33" s="2998" t="s">
        <v>3113</v>
      </c>
      <c r="E33" s="2998">
        <v>18011</v>
      </c>
      <c r="F33" s="2998" t="s">
        <v>3650</v>
      </c>
      <c r="G33" s="2998">
        <v>265302.59999999998</v>
      </c>
      <c r="H33" s="2998" t="s">
        <v>3401</v>
      </c>
      <c r="I33" s="2998" t="s">
        <v>3116</v>
      </c>
      <c r="J33" s="2998" t="s">
        <v>3647</v>
      </c>
      <c r="K33" s="2998" t="s">
        <v>3648</v>
      </c>
      <c r="L33" s="2998">
        <v>90500</v>
      </c>
      <c r="M33" s="2998">
        <v>227.41</v>
      </c>
      <c r="N33" s="2998">
        <v>3066.05</v>
      </c>
      <c r="O33" s="2998">
        <v>0.98</v>
      </c>
      <c r="P33" s="2998" t="s">
        <v>3110</v>
      </c>
    </row>
    <row r="34" spans="1:16" hidden="1">
      <c r="A34" s="2998" t="s">
        <v>3651</v>
      </c>
      <c r="B34" s="2998" t="s">
        <v>3103</v>
      </c>
      <c r="C34" s="2998" t="s">
        <v>3104</v>
      </c>
      <c r="D34" s="2998" t="s">
        <v>3113</v>
      </c>
      <c r="E34" s="2998">
        <v>18007</v>
      </c>
      <c r="F34" s="2998" t="s">
        <v>3652</v>
      </c>
      <c r="G34" s="2998">
        <v>8476</v>
      </c>
      <c r="H34" s="2998" t="s">
        <v>3653</v>
      </c>
      <c r="I34" s="2998" t="s">
        <v>3654</v>
      </c>
      <c r="J34" s="2998" t="s">
        <v>3655</v>
      </c>
      <c r="K34" s="2998" t="s">
        <v>3656</v>
      </c>
      <c r="L34" s="2998">
        <v>21200</v>
      </c>
      <c r="M34" s="2998">
        <v>1667.45</v>
      </c>
      <c r="N34" s="2998">
        <v>7649.56</v>
      </c>
      <c r="O34" s="2998">
        <v>52.99</v>
      </c>
      <c r="P34" s="2998" t="s">
        <v>3110</v>
      </c>
    </row>
    <row r="35" spans="1:16" hidden="1">
      <c r="A35" s="2998" t="s">
        <v>3657</v>
      </c>
      <c r="B35" s="2998" t="s">
        <v>3103</v>
      </c>
      <c r="C35" s="2998" t="s">
        <v>3104</v>
      </c>
      <c r="D35" s="2998" t="s">
        <v>3113</v>
      </c>
      <c r="E35" s="2998">
        <v>18001</v>
      </c>
      <c r="F35" s="2998" t="s">
        <v>3123</v>
      </c>
      <c r="G35" s="2998">
        <v>131842</v>
      </c>
      <c r="H35" s="2998" t="s">
        <v>3482</v>
      </c>
      <c r="I35" s="2998" t="s">
        <v>3387</v>
      </c>
      <c r="J35" s="2998" t="s">
        <v>3658</v>
      </c>
      <c r="K35" s="2998" t="s">
        <v>3488</v>
      </c>
      <c r="L35" s="2998">
        <v>219000</v>
      </c>
      <c r="M35" s="2998">
        <v>1107.3900000000001</v>
      </c>
      <c r="N35" s="2998">
        <v>6644.3</v>
      </c>
      <c r="O35" s="2998">
        <v>27.77</v>
      </c>
      <c r="P35" s="2998" t="s">
        <v>3110</v>
      </c>
    </row>
    <row r="36" spans="1:16">
      <c r="A36" s="2998" t="s">
        <v>3487</v>
      </c>
      <c r="B36" s="2998" t="s">
        <v>3103</v>
      </c>
      <c r="C36" s="2998" t="s">
        <v>3112</v>
      </c>
      <c r="D36" s="2998" t="s">
        <v>3113</v>
      </c>
      <c r="E36" s="2998">
        <v>18004</v>
      </c>
      <c r="F36" s="2998" t="s">
        <v>3114</v>
      </c>
      <c r="G36" s="2997">
        <v>32899</v>
      </c>
      <c r="H36" s="2997" t="s">
        <v>3115</v>
      </c>
      <c r="I36" s="2998" t="s">
        <v>3387</v>
      </c>
      <c r="J36" s="2998" t="s">
        <v>3388</v>
      </c>
      <c r="K36" s="2998" t="s">
        <v>3488</v>
      </c>
      <c r="L36" s="2998">
        <v>91500</v>
      </c>
      <c r="M36" s="2998">
        <v>1854.16</v>
      </c>
      <c r="N36" s="2998">
        <v>7946.39</v>
      </c>
      <c r="O36" s="2998">
        <v>15.55</v>
      </c>
      <c r="P36" s="2998" t="s">
        <v>3110</v>
      </c>
    </row>
    <row r="37" spans="1:16" hidden="1">
      <c r="A37" s="2998" t="s">
        <v>3489</v>
      </c>
      <c r="B37" s="2998" t="s">
        <v>3103</v>
      </c>
      <c r="C37" s="2998" t="s">
        <v>3112</v>
      </c>
      <c r="D37" s="2998" t="s">
        <v>3105</v>
      </c>
      <c r="E37" s="2998">
        <v>17160</v>
      </c>
      <c r="F37" s="2998" t="s">
        <v>3114</v>
      </c>
      <c r="G37" s="2998">
        <v>57543</v>
      </c>
      <c r="H37" s="2998" t="s">
        <v>3482</v>
      </c>
      <c r="I37" s="2998" t="s">
        <v>3205</v>
      </c>
      <c r="J37" s="2998" t="s">
        <v>3490</v>
      </c>
      <c r="K37" s="2998" t="s">
        <v>3491</v>
      </c>
      <c r="L37" s="2998">
        <v>79180</v>
      </c>
      <c r="M37" s="2998">
        <v>917.34</v>
      </c>
      <c r="N37" s="2998">
        <v>5504.03</v>
      </c>
      <c r="O37" s="2998">
        <v>0</v>
      </c>
      <c r="P37" s="2998" t="s">
        <v>3110</v>
      </c>
    </row>
    <row r="38" spans="1:16" hidden="1">
      <c r="A38" s="2998" t="s">
        <v>3659</v>
      </c>
      <c r="B38" s="2998" t="s">
        <v>3103</v>
      </c>
      <c r="C38" s="2998" t="s">
        <v>3104</v>
      </c>
      <c r="D38" s="2998" t="s">
        <v>3105</v>
      </c>
      <c r="E38" s="2998">
        <v>17154</v>
      </c>
      <c r="F38" s="2998" t="s">
        <v>3123</v>
      </c>
      <c r="G38" s="2998">
        <v>74503</v>
      </c>
      <c r="H38" s="2998" t="s">
        <v>3660</v>
      </c>
      <c r="I38" s="2998" t="s">
        <v>3493</v>
      </c>
      <c r="J38" s="2998" t="s">
        <v>3661</v>
      </c>
      <c r="K38" s="2998" t="s">
        <v>3662</v>
      </c>
      <c r="L38" s="2998">
        <v>70183</v>
      </c>
      <c r="M38" s="2998">
        <v>628.01</v>
      </c>
      <c r="N38" s="2998">
        <v>3708.71</v>
      </c>
      <c r="O38" s="2998">
        <v>0</v>
      </c>
      <c r="P38" s="2998" t="s">
        <v>3110</v>
      </c>
    </row>
    <row r="39" spans="1:16" hidden="1">
      <c r="A39" s="2998" t="s">
        <v>3492</v>
      </c>
      <c r="B39" s="2998" t="s">
        <v>3103</v>
      </c>
      <c r="C39" s="2998" t="s">
        <v>3112</v>
      </c>
      <c r="D39" s="2998" t="s">
        <v>3113</v>
      </c>
      <c r="E39" s="2998">
        <v>17155</v>
      </c>
      <c r="F39" s="2998" t="s">
        <v>3114</v>
      </c>
      <c r="G39" s="2998">
        <v>35110</v>
      </c>
      <c r="H39" s="2998" t="s">
        <v>3378</v>
      </c>
      <c r="I39" s="2998" t="s">
        <v>3493</v>
      </c>
      <c r="J39" s="2998" t="s">
        <v>3494</v>
      </c>
      <c r="K39" s="2998" t="s">
        <v>3495</v>
      </c>
      <c r="L39" s="2998">
        <v>80000</v>
      </c>
      <c r="M39" s="2998">
        <v>1519.04</v>
      </c>
      <c r="N39" s="2998">
        <v>11392.77</v>
      </c>
      <c r="O39" s="2998">
        <v>42.41</v>
      </c>
      <c r="P39" s="2998" t="s">
        <v>3321</v>
      </c>
    </row>
    <row r="40" spans="1:16" hidden="1">
      <c r="A40" s="2998" t="s">
        <v>3663</v>
      </c>
      <c r="B40" s="2998" t="s">
        <v>3103</v>
      </c>
      <c r="C40" s="2998" t="s">
        <v>3104</v>
      </c>
      <c r="D40" s="2998" t="s">
        <v>3105</v>
      </c>
      <c r="E40" s="2998">
        <v>17150</v>
      </c>
      <c r="F40" s="2998" t="s">
        <v>3664</v>
      </c>
      <c r="G40" s="2998">
        <v>280435</v>
      </c>
      <c r="H40" s="2998" t="s">
        <v>3665</v>
      </c>
      <c r="I40" s="2998" t="s">
        <v>3392</v>
      </c>
      <c r="J40" s="2998" t="s">
        <v>3393</v>
      </c>
      <c r="K40" s="2998" t="s">
        <v>3394</v>
      </c>
      <c r="L40" s="2998">
        <v>47567</v>
      </c>
      <c r="M40" s="2998">
        <v>113.08</v>
      </c>
      <c r="N40" s="2998">
        <v>2323.5300000000002</v>
      </c>
      <c r="O40" s="2998">
        <v>0</v>
      </c>
      <c r="P40" s="2998" t="s">
        <v>3110</v>
      </c>
    </row>
    <row r="41" spans="1:16" hidden="1">
      <c r="A41" s="2998" t="s">
        <v>3496</v>
      </c>
      <c r="B41" s="2998" t="s">
        <v>3103</v>
      </c>
      <c r="C41" s="2998" t="s">
        <v>3112</v>
      </c>
      <c r="D41" s="2998" t="s">
        <v>3105</v>
      </c>
      <c r="E41" s="2998">
        <v>17148</v>
      </c>
      <c r="F41" s="2998" t="s">
        <v>3114</v>
      </c>
      <c r="G41" s="2998">
        <v>19222.2</v>
      </c>
      <c r="H41" s="2998" t="s">
        <v>3401</v>
      </c>
      <c r="I41" s="2998" t="s">
        <v>3397</v>
      </c>
      <c r="J41" s="2998" t="s">
        <v>3497</v>
      </c>
      <c r="K41" s="2998" t="s">
        <v>3498</v>
      </c>
      <c r="L41" s="2998">
        <v>17942</v>
      </c>
      <c r="M41" s="2998">
        <v>622.27</v>
      </c>
      <c r="N41" s="2998">
        <v>8485.4500000000007</v>
      </c>
      <c r="O41" s="2998">
        <v>0</v>
      </c>
      <c r="P41" s="2998" t="s">
        <v>3321</v>
      </c>
    </row>
    <row r="42" spans="1:16" hidden="1">
      <c r="A42" s="2998" t="s">
        <v>3666</v>
      </c>
      <c r="B42" s="2998" t="s">
        <v>3103</v>
      </c>
      <c r="C42" s="2998" t="s">
        <v>3104</v>
      </c>
      <c r="D42" s="2998" t="s">
        <v>3113</v>
      </c>
      <c r="E42" s="2998">
        <v>17143</v>
      </c>
      <c r="F42" s="2998" t="s">
        <v>3123</v>
      </c>
      <c r="G42" s="2998">
        <v>12793</v>
      </c>
      <c r="H42" s="2998" t="s">
        <v>3115</v>
      </c>
      <c r="I42" s="2998" t="s">
        <v>3667</v>
      </c>
      <c r="J42" s="2998" t="s">
        <v>3668</v>
      </c>
      <c r="K42" s="2998" t="s">
        <v>3669</v>
      </c>
      <c r="L42" s="2998">
        <v>44600</v>
      </c>
      <c r="M42" s="2998">
        <v>2324.19</v>
      </c>
      <c r="N42" s="2998">
        <v>9960.92</v>
      </c>
      <c r="O42" s="2998">
        <v>35.28</v>
      </c>
      <c r="P42" s="2998" t="s">
        <v>3110</v>
      </c>
    </row>
    <row r="43" spans="1:16" hidden="1">
      <c r="A43" s="2998" t="s">
        <v>3670</v>
      </c>
      <c r="B43" s="2998" t="s">
        <v>3103</v>
      </c>
      <c r="C43" s="2998" t="s">
        <v>3104</v>
      </c>
      <c r="D43" s="2998" t="s">
        <v>3105</v>
      </c>
      <c r="E43" s="2998">
        <v>17140</v>
      </c>
      <c r="F43" s="2998" t="s">
        <v>3621</v>
      </c>
      <c r="G43" s="2998">
        <v>78686.399999999994</v>
      </c>
      <c r="H43" s="2998" t="s">
        <v>3671</v>
      </c>
      <c r="I43" s="2998" t="s">
        <v>3672</v>
      </c>
      <c r="J43" s="2998" t="s">
        <v>3673</v>
      </c>
      <c r="K43" s="2998" t="s">
        <v>3674</v>
      </c>
      <c r="L43" s="2998">
        <v>138505</v>
      </c>
      <c r="M43" s="2998">
        <v>1173.48</v>
      </c>
      <c r="N43" s="2998">
        <v>4481.67</v>
      </c>
      <c r="O43" s="2998">
        <v>0</v>
      </c>
      <c r="P43" s="2998" t="s">
        <v>3110</v>
      </c>
    </row>
    <row r="44" spans="1:16" hidden="1">
      <c r="A44" s="2998" t="s">
        <v>3675</v>
      </c>
      <c r="B44" s="2998" t="s">
        <v>3103</v>
      </c>
      <c r="C44" s="2998" t="s">
        <v>3104</v>
      </c>
      <c r="D44" s="2998" t="s">
        <v>3105</v>
      </c>
      <c r="E44" s="2998">
        <v>17136</v>
      </c>
      <c r="F44" s="2998" t="s">
        <v>3145</v>
      </c>
      <c r="G44" s="2998">
        <v>218505.2</v>
      </c>
      <c r="H44" s="2998" t="s">
        <v>3676</v>
      </c>
      <c r="I44" s="2998" t="s">
        <v>3677</v>
      </c>
      <c r="J44" s="2998" t="s">
        <v>3678</v>
      </c>
      <c r="K44" s="2998" t="s">
        <v>3679</v>
      </c>
      <c r="L44" s="2998">
        <v>313926</v>
      </c>
      <c r="M44" s="2998">
        <v>957.8</v>
      </c>
      <c r="N44" s="2998">
        <v>4229.93</v>
      </c>
      <c r="O44" s="2998">
        <v>0</v>
      </c>
      <c r="P44" s="2998" t="s">
        <v>3110</v>
      </c>
    </row>
    <row r="45" spans="1:16" hidden="1">
      <c r="A45" s="2998" t="s">
        <v>3824</v>
      </c>
      <c r="B45" s="2998" t="s">
        <v>3103</v>
      </c>
      <c r="C45" s="2998" t="s">
        <v>3112</v>
      </c>
      <c r="D45" s="2998" t="s">
        <v>3105</v>
      </c>
      <c r="E45" s="2998">
        <v>17132</v>
      </c>
      <c r="F45" s="2998" t="s">
        <v>3114</v>
      </c>
      <c r="G45" s="2998">
        <v>179847.6</v>
      </c>
      <c r="H45" s="2998" t="s">
        <v>3825</v>
      </c>
      <c r="I45" s="2998" t="s">
        <v>3682</v>
      </c>
      <c r="J45" s="2998" t="s">
        <v>3826</v>
      </c>
      <c r="K45" s="2998" t="s">
        <v>3827</v>
      </c>
      <c r="L45" s="2998">
        <v>191764</v>
      </c>
      <c r="M45" s="2998">
        <v>710.84</v>
      </c>
      <c r="N45" s="2998">
        <v>5000.01</v>
      </c>
      <c r="O45" s="2998">
        <v>0</v>
      </c>
      <c r="P45" s="2998" t="s">
        <v>3110</v>
      </c>
    </row>
    <row r="46" spans="1:16" hidden="1">
      <c r="A46" s="2998" t="s">
        <v>3680</v>
      </c>
      <c r="B46" s="2998" t="s">
        <v>3103</v>
      </c>
      <c r="C46" s="2998" t="s">
        <v>3104</v>
      </c>
      <c r="D46" s="2998" t="s">
        <v>3105</v>
      </c>
      <c r="E46" s="2998">
        <v>17133</v>
      </c>
      <c r="F46" s="2998" t="s">
        <v>3681</v>
      </c>
      <c r="G46" s="2998">
        <v>219700</v>
      </c>
      <c r="H46" s="2998" t="s">
        <v>3536</v>
      </c>
      <c r="I46" s="2998" t="s">
        <v>3682</v>
      </c>
      <c r="J46" s="2998" t="s">
        <v>3683</v>
      </c>
      <c r="K46" s="2998" t="s">
        <v>3684</v>
      </c>
      <c r="L46" s="2998">
        <v>54595</v>
      </c>
      <c r="M46" s="2998">
        <v>165.67</v>
      </c>
      <c r="N46" s="2998">
        <v>2070.8200000000002</v>
      </c>
      <c r="O46" s="2998">
        <v>0</v>
      </c>
      <c r="P46" s="2998" t="s">
        <v>3110</v>
      </c>
    </row>
    <row r="47" spans="1:16" hidden="1">
      <c r="A47" s="2998" t="s">
        <v>3828</v>
      </c>
      <c r="B47" s="2998" t="s">
        <v>3103</v>
      </c>
      <c r="C47" s="2998" t="s">
        <v>3104</v>
      </c>
      <c r="D47" s="2998" t="s">
        <v>3113</v>
      </c>
      <c r="E47" s="2998">
        <v>17131</v>
      </c>
      <c r="F47" s="2998" t="s">
        <v>3157</v>
      </c>
      <c r="G47" s="2998">
        <v>132213.79999999999</v>
      </c>
      <c r="H47" s="2998" t="s">
        <v>3829</v>
      </c>
      <c r="I47" s="2998" t="s">
        <v>3687</v>
      </c>
      <c r="J47" s="2998" t="s">
        <v>3826</v>
      </c>
      <c r="K47" s="2998" t="s">
        <v>3162</v>
      </c>
      <c r="L47" s="2998">
        <v>107000</v>
      </c>
      <c r="M47" s="2998">
        <v>539.53</v>
      </c>
      <c r="N47" s="2998">
        <v>5812.28</v>
      </c>
      <c r="O47" s="2998">
        <v>29.16</v>
      </c>
      <c r="P47" s="2998" t="s">
        <v>3110</v>
      </c>
    </row>
    <row r="48" spans="1:16" hidden="1">
      <c r="A48" s="2998" t="s">
        <v>3685</v>
      </c>
      <c r="B48" s="2998" t="s">
        <v>3103</v>
      </c>
      <c r="C48" s="2998" t="s">
        <v>3104</v>
      </c>
      <c r="D48" s="2998" t="s">
        <v>3113</v>
      </c>
      <c r="E48" s="2998">
        <v>17130</v>
      </c>
      <c r="F48" s="2998" t="s">
        <v>3145</v>
      </c>
      <c r="G48" s="2998">
        <v>107434.1</v>
      </c>
      <c r="H48" s="2998" t="s">
        <v>3686</v>
      </c>
      <c r="I48" s="2998" t="s">
        <v>3687</v>
      </c>
      <c r="J48" s="2998" t="s">
        <v>3688</v>
      </c>
      <c r="K48" s="2998" t="s">
        <v>3126</v>
      </c>
      <c r="L48" s="2998">
        <v>176000</v>
      </c>
      <c r="M48" s="2998">
        <v>1092.1400000000001</v>
      </c>
      <c r="N48" s="2998">
        <v>4498.3900000000003</v>
      </c>
      <c r="O48" s="2998">
        <v>0.63</v>
      </c>
      <c r="P48" s="2998" t="s">
        <v>3110</v>
      </c>
    </row>
    <row r="49" spans="1:17" hidden="1">
      <c r="A49" s="2998" t="s">
        <v>3499</v>
      </c>
      <c r="B49" s="2998" t="s">
        <v>3103</v>
      </c>
      <c r="C49" s="2998" t="s">
        <v>3112</v>
      </c>
      <c r="D49" s="2998" t="s">
        <v>3113</v>
      </c>
      <c r="E49" s="2998">
        <v>17125</v>
      </c>
      <c r="F49" s="2998" t="s">
        <v>3114</v>
      </c>
      <c r="G49" s="2998">
        <v>64683.1</v>
      </c>
      <c r="H49" s="2998" t="s">
        <v>3500</v>
      </c>
      <c r="I49" s="2998" t="s">
        <v>3501</v>
      </c>
      <c r="J49" s="2998" t="s">
        <v>3502</v>
      </c>
      <c r="K49" s="2998" t="s">
        <v>3278</v>
      </c>
      <c r="L49" s="2998">
        <v>90000</v>
      </c>
      <c r="M49" s="2998">
        <v>927.6</v>
      </c>
      <c r="N49" s="2998">
        <v>8000.75</v>
      </c>
      <c r="O49" s="2998">
        <v>8.1199999999999992</v>
      </c>
      <c r="P49" s="2998" t="s">
        <v>3110</v>
      </c>
    </row>
    <row r="50" spans="1:17" hidden="1">
      <c r="A50" s="2998" t="s">
        <v>3689</v>
      </c>
      <c r="B50" s="2998" t="s">
        <v>3103</v>
      </c>
      <c r="C50" s="2998" t="s">
        <v>3104</v>
      </c>
      <c r="D50" s="2998" t="s">
        <v>3113</v>
      </c>
      <c r="E50" s="2998">
        <v>17127</v>
      </c>
      <c r="F50" s="2998" t="s">
        <v>3145</v>
      </c>
      <c r="G50" s="2998">
        <v>116702</v>
      </c>
      <c r="H50" s="2998" t="s">
        <v>3676</v>
      </c>
      <c r="I50" s="2998" t="s">
        <v>3501</v>
      </c>
      <c r="J50" s="2998" t="s">
        <v>3502</v>
      </c>
      <c r="K50" s="2998" t="s">
        <v>3690</v>
      </c>
      <c r="L50" s="2998">
        <v>178000</v>
      </c>
      <c r="M50" s="2998">
        <v>1016.83</v>
      </c>
      <c r="N50" s="2998">
        <v>4426.2700000000004</v>
      </c>
      <c r="O50" s="2998">
        <v>0.77</v>
      </c>
      <c r="P50" s="2998" t="s">
        <v>3110</v>
      </c>
    </row>
    <row r="51" spans="1:17" hidden="1">
      <c r="A51" s="2998" t="s">
        <v>3691</v>
      </c>
      <c r="B51" s="2998" t="s">
        <v>3103</v>
      </c>
      <c r="C51" s="2998" t="s">
        <v>3104</v>
      </c>
      <c r="D51" s="2998" t="s">
        <v>3113</v>
      </c>
      <c r="E51" s="2998">
        <v>17128</v>
      </c>
      <c r="F51" s="2998" t="s">
        <v>3145</v>
      </c>
      <c r="G51" s="2998">
        <v>152536.4</v>
      </c>
      <c r="H51" s="2998" t="s">
        <v>3676</v>
      </c>
      <c r="I51" s="2998" t="s">
        <v>3501</v>
      </c>
      <c r="J51" s="2998" t="s">
        <v>3502</v>
      </c>
      <c r="K51" s="2998" t="s">
        <v>3692</v>
      </c>
      <c r="L51" s="2998">
        <v>229000</v>
      </c>
      <c r="M51" s="2998">
        <v>1000.85</v>
      </c>
      <c r="N51" s="2998">
        <v>4463.3500000000004</v>
      </c>
      <c r="O51" s="2998">
        <v>0.6</v>
      </c>
      <c r="P51" s="2998" t="s">
        <v>3110</v>
      </c>
    </row>
    <row r="52" spans="1:17" hidden="1">
      <c r="A52" s="2999" t="s">
        <v>3503</v>
      </c>
      <c r="B52" s="2999" t="s">
        <v>3103</v>
      </c>
      <c r="C52" s="2999" t="s">
        <v>3112</v>
      </c>
      <c r="D52" s="2999" t="s">
        <v>3105</v>
      </c>
      <c r="E52" s="2999">
        <v>17126</v>
      </c>
      <c r="F52" s="2999" t="s">
        <v>3114</v>
      </c>
      <c r="G52" s="2999">
        <v>173473.6</v>
      </c>
      <c r="H52" s="2999" t="s">
        <v>3504</v>
      </c>
      <c r="I52" s="2999" t="s">
        <v>3501</v>
      </c>
      <c r="J52" s="2999" t="s">
        <v>3502</v>
      </c>
      <c r="K52" s="2999" t="s">
        <v>3479</v>
      </c>
      <c r="L52" s="2999">
        <v>234190</v>
      </c>
      <c r="M52" s="2999">
        <v>900</v>
      </c>
      <c r="N52" s="2999">
        <v>7500.02</v>
      </c>
      <c r="O52" s="2999">
        <v>0</v>
      </c>
      <c r="P52" s="2999" t="s">
        <v>3110</v>
      </c>
    </row>
    <row r="53" spans="1:17" hidden="1">
      <c r="A53" s="2999" t="s">
        <v>3830</v>
      </c>
      <c r="B53" s="2999" t="s">
        <v>3103</v>
      </c>
      <c r="C53" s="2999" t="s">
        <v>3112</v>
      </c>
      <c r="D53" s="2999" t="s">
        <v>3113</v>
      </c>
      <c r="E53" s="2999">
        <v>17123</v>
      </c>
      <c r="F53" s="2999" t="s">
        <v>3114</v>
      </c>
      <c r="G53" s="2999">
        <v>67568.5</v>
      </c>
      <c r="H53" s="2999" t="s">
        <v>3378</v>
      </c>
      <c r="I53" s="2999" t="s">
        <v>3120</v>
      </c>
      <c r="J53" s="2999" t="s">
        <v>3831</v>
      </c>
      <c r="K53" s="2999" t="s">
        <v>3832</v>
      </c>
      <c r="L53" s="2999">
        <v>67000</v>
      </c>
      <c r="M53" s="2999">
        <v>661.06</v>
      </c>
      <c r="N53" s="2999">
        <v>4957.93</v>
      </c>
      <c r="O53" s="2999">
        <v>24.88</v>
      </c>
      <c r="P53" s="2999" t="s">
        <v>3110</v>
      </c>
    </row>
    <row r="54" spans="1:17" hidden="1">
      <c r="A54" s="2999" t="s">
        <v>3118</v>
      </c>
      <c r="B54" s="2999" t="s">
        <v>3103</v>
      </c>
      <c r="C54" s="2999" t="s">
        <v>3112</v>
      </c>
      <c r="D54" s="2999" t="s">
        <v>3113</v>
      </c>
      <c r="E54" s="2999">
        <v>17124</v>
      </c>
      <c r="F54" s="2999" t="s">
        <v>3114</v>
      </c>
      <c r="G54" s="2999">
        <v>37137</v>
      </c>
      <c r="H54" s="2999" t="s">
        <v>3119</v>
      </c>
      <c r="I54" s="2999" t="s">
        <v>3120</v>
      </c>
      <c r="J54" s="2999" t="s">
        <v>3505</v>
      </c>
      <c r="K54" s="2999" t="s">
        <v>3121</v>
      </c>
      <c r="L54" s="2999">
        <v>168000</v>
      </c>
      <c r="M54" s="2999">
        <v>3015.86</v>
      </c>
      <c r="N54" s="2999">
        <v>10052.84</v>
      </c>
      <c r="O54" s="2999">
        <v>43.61</v>
      </c>
      <c r="P54" s="2999" t="s">
        <v>3110</v>
      </c>
    </row>
    <row r="55" spans="1:17" hidden="1">
      <c r="A55" s="2999" t="s">
        <v>3122</v>
      </c>
      <c r="B55" s="2999" t="s">
        <v>3103</v>
      </c>
      <c r="C55" s="2999" t="s">
        <v>3104</v>
      </c>
      <c r="D55" s="2999" t="s">
        <v>3113</v>
      </c>
      <c r="E55" s="2999">
        <v>17121</v>
      </c>
      <c r="F55" s="2999" t="s">
        <v>3123</v>
      </c>
      <c r="G55" s="2999">
        <v>10337</v>
      </c>
      <c r="H55" s="2999" t="s">
        <v>3124</v>
      </c>
      <c r="I55" s="2999" t="s">
        <v>3125</v>
      </c>
      <c r="J55" s="2999" t="s">
        <v>3693</v>
      </c>
      <c r="K55" s="2999" t="s">
        <v>3126</v>
      </c>
      <c r="L55" s="2999">
        <v>47000</v>
      </c>
      <c r="M55" s="2999">
        <v>3031.18</v>
      </c>
      <c r="N55" s="2999">
        <v>10103.82</v>
      </c>
      <c r="O55" s="2999">
        <v>26.3</v>
      </c>
      <c r="P55" s="2999" t="s">
        <v>3110</v>
      </c>
    </row>
    <row r="56" spans="1:17">
      <c r="A56" s="2999" t="s">
        <v>3833</v>
      </c>
      <c r="B56" s="2999" t="s">
        <v>3103</v>
      </c>
      <c r="C56" s="2999" t="s">
        <v>3112</v>
      </c>
      <c r="D56" s="2999" t="s">
        <v>3113</v>
      </c>
      <c r="E56" s="2999">
        <v>17122</v>
      </c>
      <c r="F56" s="2999" t="s">
        <v>3114</v>
      </c>
      <c r="G56" s="2997">
        <v>29053</v>
      </c>
      <c r="H56" s="2997" t="s">
        <v>3115</v>
      </c>
      <c r="I56" s="2999" t="s">
        <v>3125</v>
      </c>
      <c r="J56" s="2999" t="s">
        <v>3834</v>
      </c>
      <c r="K56" s="2999" t="s">
        <v>3835</v>
      </c>
      <c r="L56" s="2999">
        <v>56500</v>
      </c>
      <c r="M56" s="2999">
        <v>1296.48</v>
      </c>
      <c r="N56" s="2999">
        <v>5556.38</v>
      </c>
      <c r="O56" s="2999">
        <v>23.01</v>
      </c>
      <c r="P56" s="2999" t="s">
        <v>3110</v>
      </c>
    </row>
    <row r="57" spans="1:17" hidden="1">
      <c r="A57" s="2999" t="s">
        <v>3694</v>
      </c>
      <c r="B57" s="2999" t="s">
        <v>3103</v>
      </c>
      <c r="C57" s="2999" t="s">
        <v>3104</v>
      </c>
      <c r="D57" s="2999" t="s">
        <v>3113</v>
      </c>
      <c r="E57" s="2999">
        <v>17119</v>
      </c>
      <c r="F57" s="2999" t="s">
        <v>3695</v>
      </c>
      <c r="G57" s="2999">
        <v>29709</v>
      </c>
      <c r="H57" s="2999" t="s">
        <v>3696</v>
      </c>
      <c r="I57" s="2999" t="s">
        <v>3697</v>
      </c>
      <c r="J57" s="2999" t="s">
        <v>3698</v>
      </c>
      <c r="K57" s="2999" t="s">
        <v>3510</v>
      </c>
      <c r="L57" s="2999">
        <v>122000</v>
      </c>
      <c r="M57" s="2999">
        <v>2737.67</v>
      </c>
      <c r="N57" s="2999">
        <v>9530.7900000000009</v>
      </c>
      <c r="O57" s="2999">
        <v>19.13</v>
      </c>
      <c r="P57" s="2999" t="s">
        <v>3110</v>
      </c>
    </row>
    <row r="58" spans="1:17" s="2994" customFormat="1">
      <c r="A58" s="2993" t="s">
        <v>3506</v>
      </c>
      <c r="B58" s="2999" t="s">
        <v>3103</v>
      </c>
      <c r="C58" s="2999" t="s">
        <v>3112</v>
      </c>
      <c r="D58" s="2999" t="s">
        <v>3113</v>
      </c>
      <c r="E58" s="2993">
        <v>17113</v>
      </c>
      <c r="F58" s="2993" t="s">
        <v>3114</v>
      </c>
      <c r="G58" s="3004">
        <v>14819</v>
      </c>
      <c r="H58" s="3004" t="s">
        <v>3507</v>
      </c>
      <c r="I58" s="2993" t="s">
        <v>3508</v>
      </c>
      <c r="J58" s="2993" t="s">
        <v>3509</v>
      </c>
      <c r="K58" s="2993" t="s">
        <v>3510</v>
      </c>
      <c r="L58" s="2993">
        <v>49800</v>
      </c>
      <c r="M58" s="2993">
        <v>2240.37</v>
      </c>
      <c r="N58" s="2993">
        <v>9601.56</v>
      </c>
      <c r="O58" s="2993">
        <v>47.71</v>
      </c>
      <c r="P58" s="2993" t="s">
        <v>3110</v>
      </c>
      <c r="Q58" s="3005" t="s">
        <v>4152</v>
      </c>
    </row>
    <row r="59" spans="1:17" hidden="1">
      <c r="A59" s="2999" t="s">
        <v>3511</v>
      </c>
      <c r="B59" s="2999" t="s">
        <v>3103</v>
      </c>
      <c r="C59" s="2999" t="s">
        <v>3112</v>
      </c>
      <c r="D59" s="2999" t="s">
        <v>3105</v>
      </c>
      <c r="E59" s="2999">
        <v>17116</v>
      </c>
      <c r="F59" s="2999" t="s">
        <v>3114</v>
      </c>
      <c r="G59" s="2999">
        <v>107414.8</v>
      </c>
      <c r="H59" s="2999" t="s">
        <v>3512</v>
      </c>
      <c r="I59" s="2999" t="s">
        <v>3508</v>
      </c>
      <c r="J59" s="2999" t="s">
        <v>3513</v>
      </c>
      <c r="K59" s="2999" t="s">
        <v>3514</v>
      </c>
      <c r="L59" s="2999">
        <v>67242</v>
      </c>
      <c r="M59" s="2999">
        <v>417.34</v>
      </c>
      <c r="N59" s="2999">
        <v>2504.0100000000002</v>
      </c>
      <c r="O59" s="2999">
        <v>0</v>
      </c>
      <c r="P59" s="2999" t="s">
        <v>3110</v>
      </c>
    </row>
    <row r="60" spans="1:17" hidden="1">
      <c r="A60" s="2999" t="s">
        <v>3699</v>
      </c>
      <c r="B60" s="2999" t="s">
        <v>3103</v>
      </c>
      <c r="C60" s="2999" t="s">
        <v>3104</v>
      </c>
      <c r="D60" s="2999" t="s">
        <v>3105</v>
      </c>
      <c r="E60" s="2999">
        <v>17117</v>
      </c>
      <c r="F60" s="2999" t="s">
        <v>3700</v>
      </c>
      <c r="G60" s="2999">
        <v>181147.5</v>
      </c>
      <c r="H60" s="2999" t="s">
        <v>3701</v>
      </c>
      <c r="I60" s="2999" t="s">
        <v>3508</v>
      </c>
      <c r="J60" s="2999" t="s">
        <v>3513</v>
      </c>
      <c r="K60" s="2999" t="s">
        <v>3514</v>
      </c>
      <c r="L60" s="2999">
        <v>79457</v>
      </c>
      <c r="M60" s="2999">
        <v>292.42</v>
      </c>
      <c r="N60" s="2999">
        <v>2650.57</v>
      </c>
      <c r="O60" s="2999">
        <v>0</v>
      </c>
      <c r="P60" s="2999" t="s">
        <v>3110</v>
      </c>
    </row>
    <row r="61" spans="1:17" hidden="1">
      <c r="A61" s="2999" t="s">
        <v>3515</v>
      </c>
      <c r="B61" s="2999" t="s">
        <v>3103</v>
      </c>
      <c r="C61" s="2999" t="s">
        <v>3112</v>
      </c>
      <c r="D61" s="2999" t="s">
        <v>3105</v>
      </c>
      <c r="E61" s="2999">
        <v>17114</v>
      </c>
      <c r="F61" s="2999" t="s">
        <v>3114</v>
      </c>
      <c r="G61" s="2999">
        <v>200517.8</v>
      </c>
      <c r="H61" s="2999" t="s">
        <v>3516</v>
      </c>
      <c r="I61" s="2999" t="s">
        <v>3508</v>
      </c>
      <c r="J61" s="2999" t="s">
        <v>3513</v>
      </c>
      <c r="K61" s="2999" t="s">
        <v>3514</v>
      </c>
      <c r="L61" s="2999">
        <v>136064</v>
      </c>
      <c r="M61" s="2999">
        <v>452.38</v>
      </c>
      <c r="N61" s="2999">
        <v>2501.96</v>
      </c>
      <c r="O61" s="2999">
        <v>0</v>
      </c>
      <c r="P61" s="2999" t="s">
        <v>3110</v>
      </c>
    </row>
    <row r="62" spans="1:17" hidden="1">
      <c r="A62" s="2999" t="s">
        <v>3517</v>
      </c>
      <c r="B62" s="2999" t="s">
        <v>3103</v>
      </c>
      <c r="C62" s="2999" t="s">
        <v>3112</v>
      </c>
      <c r="D62" s="2999" t="s">
        <v>3105</v>
      </c>
      <c r="E62" s="2999">
        <v>17115</v>
      </c>
      <c r="F62" s="2999" t="s">
        <v>3114</v>
      </c>
      <c r="G62" s="2999">
        <v>170369.8</v>
      </c>
      <c r="H62" s="2999" t="s">
        <v>3512</v>
      </c>
      <c r="I62" s="2999" t="s">
        <v>3508</v>
      </c>
      <c r="J62" s="2999" t="s">
        <v>3513</v>
      </c>
      <c r="K62" s="2999" t="s">
        <v>3514</v>
      </c>
      <c r="L62" s="2999">
        <v>106311</v>
      </c>
      <c r="M62" s="2999">
        <v>416</v>
      </c>
      <c r="N62" s="2999">
        <v>2496.0100000000002</v>
      </c>
      <c r="O62" s="2999">
        <v>0</v>
      </c>
      <c r="P62" s="2999" t="s">
        <v>3110</v>
      </c>
    </row>
    <row r="63" spans="1:17" hidden="1">
      <c r="A63" s="2999" t="s">
        <v>3702</v>
      </c>
      <c r="B63" s="2999" t="s">
        <v>3103</v>
      </c>
      <c r="C63" s="2999" t="s">
        <v>3104</v>
      </c>
      <c r="D63" s="2999" t="s">
        <v>3113</v>
      </c>
      <c r="E63" s="2999">
        <v>17118</v>
      </c>
      <c r="F63" s="2999" t="s">
        <v>3703</v>
      </c>
      <c r="G63" s="2999">
        <v>142177.4</v>
      </c>
      <c r="H63" s="2999" t="s">
        <v>3704</v>
      </c>
      <c r="I63" s="2999" t="s">
        <v>3508</v>
      </c>
      <c r="J63" s="2999" t="s">
        <v>3513</v>
      </c>
      <c r="K63" s="2999" t="s">
        <v>3705</v>
      </c>
      <c r="L63" s="2999">
        <v>184952</v>
      </c>
      <c r="M63" s="2999">
        <v>867.24</v>
      </c>
      <c r="N63" s="2999">
        <v>11500.04</v>
      </c>
      <c r="O63" s="2999">
        <v>35.29</v>
      </c>
      <c r="P63" s="2999" t="s">
        <v>3110</v>
      </c>
    </row>
    <row r="64" spans="1:17" hidden="1">
      <c r="A64" s="2999" t="s">
        <v>3706</v>
      </c>
      <c r="B64" s="2999" t="s">
        <v>3103</v>
      </c>
      <c r="C64" s="2999" t="s">
        <v>3104</v>
      </c>
      <c r="D64" s="2999" t="s">
        <v>3113</v>
      </c>
      <c r="E64" s="2999">
        <v>17111</v>
      </c>
      <c r="F64" s="2999" t="s">
        <v>3707</v>
      </c>
      <c r="G64" s="2999">
        <v>178221.8</v>
      </c>
      <c r="H64" s="2999" t="s">
        <v>3708</v>
      </c>
      <c r="I64" s="2999" t="s">
        <v>3520</v>
      </c>
      <c r="J64" s="2999" t="s">
        <v>3521</v>
      </c>
      <c r="K64" s="2999" t="s">
        <v>3412</v>
      </c>
      <c r="L64" s="2999">
        <v>224593</v>
      </c>
      <c r="M64" s="2999">
        <v>840.13</v>
      </c>
      <c r="N64" s="2999">
        <v>11500.04</v>
      </c>
      <c r="O64" s="2999">
        <v>35.29</v>
      </c>
      <c r="P64" s="2999" t="s">
        <v>3110</v>
      </c>
    </row>
    <row r="65" spans="1:17" hidden="1">
      <c r="A65" s="2999" t="s">
        <v>3518</v>
      </c>
      <c r="B65" s="2999" t="s">
        <v>3103</v>
      </c>
      <c r="C65" s="2999" t="s">
        <v>3112</v>
      </c>
      <c r="D65" s="2999" t="s">
        <v>3113</v>
      </c>
      <c r="E65" s="2999">
        <v>17110</v>
      </c>
      <c r="F65" s="2999" t="s">
        <v>3114</v>
      </c>
      <c r="G65" s="2999">
        <v>138393.9</v>
      </c>
      <c r="H65" s="2999" t="s">
        <v>3519</v>
      </c>
      <c r="I65" s="2999" t="s">
        <v>3520</v>
      </c>
      <c r="J65" s="2999" t="s">
        <v>3521</v>
      </c>
      <c r="K65" s="2999" t="s">
        <v>3522</v>
      </c>
      <c r="L65" s="2999">
        <v>205000</v>
      </c>
      <c r="M65" s="2999">
        <v>987.52</v>
      </c>
      <c r="N65" s="2999">
        <v>10962.03</v>
      </c>
      <c r="O65" s="2999">
        <v>40.54</v>
      </c>
      <c r="P65" s="2999" t="s">
        <v>3110</v>
      </c>
    </row>
    <row r="66" spans="1:17" hidden="1">
      <c r="A66" s="2999" t="s">
        <v>3523</v>
      </c>
      <c r="B66" s="2999" t="s">
        <v>3103</v>
      </c>
      <c r="C66" s="2999" t="s">
        <v>3112</v>
      </c>
      <c r="D66" s="2999" t="s">
        <v>3113</v>
      </c>
      <c r="E66" s="2999">
        <v>17112</v>
      </c>
      <c r="F66" s="2999" t="s">
        <v>3114</v>
      </c>
      <c r="G66" s="2999">
        <v>94631.2</v>
      </c>
      <c r="H66" s="2999" t="s">
        <v>3524</v>
      </c>
      <c r="I66" s="2999" t="s">
        <v>3520</v>
      </c>
      <c r="J66" s="2999" t="s">
        <v>3521</v>
      </c>
      <c r="K66" s="2999" t="s">
        <v>3525</v>
      </c>
      <c r="L66" s="2999">
        <v>130592</v>
      </c>
      <c r="M66" s="2999">
        <v>920.01</v>
      </c>
      <c r="N66" s="2999">
        <v>11500.09</v>
      </c>
      <c r="O66" s="2999">
        <v>35.29</v>
      </c>
      <c r="P66" s="2999" t="s">
        <v>3110</v>
      </c>
    </row>
    <row r="67" spans="1:17" hidden="1">
      <c r="A67" s="2999" t="s">
        <v>3526</v>
      </c>
      <c r="B67" s="2999" t="s">
        <v>3103</v>
      </c>
      <c r="C67" s="2999" t="s">
        <v>3112</v>
      </c>
      <c r="D67" s="2999" t="s">
        <v>3113</v>
      </c>
      <c r="E67" s="2999">
        <v>17108</v>
      </c>
      <c r="F67" s="2999" t="s">
        <v>3114</v>
      </c>
      <c r="G67" s="2999">
        <v>61919.199999999997</v>
      </c>
      <c r="H67" s="2999" t="s">
        <v>3527</v>
      </c>
      <c r="I67" s="2999" t="s">
        <v>3528</v>
      </c>
      <c r="J67" s="2999" t="s">
        <v>3529</v>
      </c>
      <c r="K67" s="2999" t="s">
        <v>3530</v>
      </c>
      <c r="L67" s="2999">
        <v>81000</v>
      </c>
      <c r="M67" s="2999">
        <v>872.1</v>
      </c>
      <c r="N67" s="2999">
        <v>7267.52</v>
      </c>
      <c r="O67" s="2999">
        <v>0.94</v>
      </c>
      <c r="P67" s="2999" t="s">
        <v>3110</v>
      </c>
    </row>
    <row r="68" spans="1:17" hidden="1">
      <c r="A68" s="2999" t="s">
        <v>3531</v>
      </c>
      <c r="B68" s="2999" t="s">
        <v>3103</v>
      </c>
      <c r="C68" s="2999" t="s">
        <v>3112</v>
      </c>
      <c r="D68" s="2999" t="s">
        <v>3113</v>
      </c>
      <c r="E68" s="2999">
        <v>17109</v>
      </c>
      <c r="F68" s="2999" t="s">
        <v>3114</v>
      </c>
      <c r="G68" s="2999">
        <v>95788.9</v>
      </c>
      <c r="H68" s="2999" t="s">
        <v>3532</v>
      </c>
      <c r="I68" s="2999" t="s">
        <v>3528</v>
      </c>
      <c r="J68" s="2999" t="s">
        <v>3529</v>
      </c>
      <c r="K68" s="2999" t="s">
        <v>3533</v>
      </c>
      <c r="L68" s="2999">
        <v>206000</v>
      </c>
      <c r="M68" s="2999">
        <v>1433.71</v>
      </c>
      <c r="N68" s="2999">
        <v>10752.8</v>
      </c>
      <c r="O68" s="2999">
        <v>43.37</v>
      </c>
      <c r="P68" s="2999" t="s">
        <v>3110</v>
      </c>
    </row>
    <row r="69" spans="1:17" hidden="1">
      <c r="A69" s="2999" t="s">
        <v>3836</v>
      </c>
      <c r="B69" s="2999" t="s">
        <v>3103</v>
      </c>
      <c r="C69" s="2999" t="s">
        <v>3104</v>
      </c>
      <c r="D69" s="2999" t="s">
        <v>3113</v>
      </c>
      <c r="E69" s="2999">
        <v>17106</v>
      </c>
      <c r="F69" s="2999" t="s">
        <v>3837</v>
      </c>
      <c r="G69" s="2999">
        <v>87721</v>
      </c>
      <c r="H69" s="2999" t="s">
        <v>1331</v>
      </c>
      <c r="I69" s="2999" t="s">
        <v>3129</v>
      </c>
      <c r="J69" s="2999" t="s">
        <v>1331</v>
      </c>
      <c r="K69" s="2999" t="s">
        <v>3805</v>
      </c>
      <c r="L69" s="2999">
        <v>110000</v>
      </c>
      <c r="M69" s="2999">
        <v>835.98</v>
      </c>
      <c r="N69" s="2999">
        <v>5089.22</v>
      </c>
      <c r="O69" s="2999">
        <v>22.54</v>
      </c>
      <c r="P69" s="2999" t="s">
        <v>3321</v>
      </c>
    </row>
    <row r="70" spans="1:17" s="2994" customFormat="1">
      <c r="A70" s="2993" t="s">
        <v>3127</v>
      </c>
      <c r="B70" s="2999" t="s">
        <v>3103</v>
      </c>
      <c r="C70" s="2999" t="s">
        <v>3112</v>
      </c>
      <c r="D70" s="2999" t="s">
        <v>3113</v>
      </c>
      <c r="E70" s="2993">
        <v>17105</v>
      </c>
      <c r="F70" s="2993" t="s">
        <v>3114</v>
      </c>
      <c r="G70" s="3004">
        <v>23976</v>
      </c>
      <c r="H70" s="3004" t="s">
        <v>3128</v>
      </c>
      <c r="I70" s="2993" t="s">
        <v>3129</v>
      </c>
      <c r="J70" s="2993" t="s">
        <v>3534</v>
      </c>
      <c r="K70" s="2993" t="s">
        <v>3130</v>
      </c>
      <c r="L70" s="2993">
        <v>119500</v>
      </c>
      <c r="M70" s="2993">
        <v>3322.77</v>
      </c>
      <c r="N70" s="2993">
        <v>9062.09</v>
      </c>
      <c r="O70" s="2993">
        <v>50.79</v>
      </c>
      <c r="P70" s="2993" t="s">
        <v>3110</v>
      </c>
      <c r="Q70" s="3005" t="s">
        <v>4153</v>
      </c>
    </row>
    <row r="71" spans="1:17" hidden="1">
      <c r="A71" s="2999" t="s">
        <v>3535</v>
      </c>
      <c r="B71" s="2999" t="s">
        <v>3103</v>
      </c>
      <c r="C71" s="2999" t="s">
        <v>3112</v>
      </c>
      <c r="D71" s="2999" t="s">
        <v>3113</v>
      </c>
      <c r="E71" s="2999">
        <v>17103</v>
      </c>
      <c r="F71" s="2999" t="s">
        <v>3114</v>
      </c>
      <c r="G71" s="2999">
        <v>46005</v>
      </c>
      <c r="H71" s="2999" t="s">
        <v>3536</v>
      </c>
      <c r="I71" s="2999" t="s">
        <v>3276</v>
      </c>
      <c r="J71" s="2999" t="s">
        <v>3402</v>
      </c>
      <c r="K71" s="2999" t="s">
        <v>3537</v>
      </c>
      <c r="L71" s="2999">
        <v>24300</v>
      </c>
      <c r="M71" s="2999">
        <v>352.14</v>
      </c>
      <c r="N71" s="2999">
        <v>4401.6899999999996</v>
      </c>
      <c r="O71" s="2999">
        <v>76.06</v>
      </c>
      <c r="P71" s="2999" t="s">
        <v>3110</v>
      </c>
    </row>
    <row r="72" spans="1:17" hidden="1">
      <c r="A72" s="2999" t="s">
        <v>3538</v>
      </c>
      <c r="B72" s="2999" t="s">
        <v>3103</v>
      </c>
      <c r="C72" s="2999" t="s">
        <v>3112</v>
      </c>
      <c r="D72" s="2999" t="s">
        <v>3113</v>
      </c>
      <c r="E72" s="2999">
        <v>17099</v>
      </c>
      <c r="F72" s="2999" t="s">
        <v>3114</v>
      </c>
      <c r="G72" s="2999">
        <v>167963</v>
      </c>
      <c r="H72" s="2999" t="s">
        <v>3539</v>
      </c>
      <c r="I72" s="2999" t="s">
        <v>3540</v>
      </c>
      <c r="J72" s="2999" t="s">
        <v>3541</v>
      </c>
      <c r="K72" s="2999" t="s">
        <v>3542</v>
      </c>
      <c r="L72" s="2999">
        <v>67900</v>
      </c>
      <c r="M72" s="2999">
        <v>269.5</v>
      </c>
      <c r="N72" s="2999">
        <v>4042.42</v>
      </c>
      <c r="O72" s="2999">
        <v>0.87</v>
      </c>
      <c r="P72" s="2999" t="s">
        <v>3110</v>
      </c>
    </row>
    <row r="73" spans="1:17" hidden="1">
      <c r="A73" s="2999" t="s">
        <v>3838</v>
      </c>
      <c r="B73" s="2999" t="s">
        <v>3103</v>
      </c>
      <c r="C73" s="2999" t="s">
        <v>3112</v>
      </c>
      <c r="D73" s="2999" t="s">
        <v>3105</v>
      </c>
      <c r="E73" s="2999">
        <v>17092</v>
      </c>
      <c r="F73" s="2999" t="s">
        <v>3114</v>
      </c>
      <c r="G73" s="2999">
        <v>6515</v>
      </c>
      <c r="H73" s="2999" t="s">
        <v>3512</v>
      </c>
      <c r="I73" s="2999" t="s">
        <v>3540</v>
      </c>
      <c r="J73" s="2999" t="s">
        <v>3839</v>
      </c>
      <c r="K73" s="2999" t="s">
        <v>3840</v>
      </c>
      <c r="L73" s="2999">
        <v>6515</v>
      </c>
      <c r="M73" s="2999">
        <v>666.67</v>
      </c>
      <c r="N73" s="2999">
        <v>4000</v>
      </c>
      <c r="O73" s="2999">
        <v>0</v>
      </c>
      <c r="P73" s="2999" t="s">
        <v>3110</v>
      </c>
    </row>
    <row r="74" spans="1:17" hidden="1">
      <c r="A74" s="2999" t="s">
        <v>3709</v>
      </c>
      <c r="B74" s="2999" t="s">
        <v>3103</v>
      </c>
      <c r="C74" s="2999" t="s">
        <v>3104</v>
      </c>
      <c r="D74" s="2999" t="s">
        <v>3113</v>
      </c>
      <c r="E74" s="2999">
        <v>17098</v>
      </c>
      <c r="F74" s="2999" t="s">
        <v>3123</v>
      </c>
      <c r="G74" s="2999">
        <v>163484</v>
      </c>
      <c r="H74" s="2999" t="s">
        <v>3708</v>
      </c>
      <c r="I74" s="2999" t="s">
        <v>3540</v>
      </c>
      <c r="J74" s="2999" t="s">
        <v>3541</v>
      </c>
      <c r="K74" s="2999" t="s">
        <v>3557</v>
      </c>
      <c r="L74" s="2999">
        <v>73800</v>
      </c>
      <c r="M74" s="2999">
        <v>300.95</v>
      </c>
      <c r="N74" s="2999">
        <v>4040.17</v>
      </c>
      <c r="O74" s="2999">
        <v>0.8</v>
      </c>
      <c r="P74" s="2999" t="s">
        <v>3110</v>
      </c>
    </row>
    <row r="75" spans="1:17" hidden="1">
      <c r="A75" s="2999" t="s">
        <v>3841</v>
      </c>
      <c r="B75" s="2999" t="s">
        <v>3103</v>
      </c>
      <c r="C75" s="2999" t="s">
        <v>3112</v>
      </c>
      <c r="D75" s="2999" t="s">
        <v>3105</v>
      </c>
      <c r="E75" s="2999">
        <v>17078</v>
      </c>
      <c r="F75" s="2999" t="s">
        <v>3114</v>
      </c>
      <c r="G75" s="2999">
        <v>69285</v>
      </c>
      <c r="H75" s="2999" t="s">
        <v>3842</v>
      </c>
      <c r="I75" s="2999" t="s">
        <v>3843</v>
      </c>
      <c r="J75" s="2999" t="s">
        <v>3844</v>
      </c>
      <c r="K75" s="2999" t="s">
        <v>3498</v>
      </c>
      <c r="L75" s="2999">
        <v>63880</v>
      </c>
      <c r="M75" s="2999">
        <v>614.66</v>
      </c>
      <c r="N75" s="2999">
        <v>3300.05</v>
      </c>
      <c r="O75" s="2999">
        <v>0</v>
      </c>
      <c r="P75" s="2999" t="s">
        <v>3110</v>
      </c>
    </row>
    <row r="76" spans="1:17" hidden="1">
      <c r="A76" s="2999" t="s">
        <v>3710</v>
      </c>
      <c r="B76" s="2999" t="s">
        <v>3103</v>
      </c>
      <c r="C76" s="2999" t="s">
        <v>3104</v>
      </c>
      <c r="D76" s="2999" t="s">
        <v>3113</v>
      </c>
      <c r="E76" s="2999">
        <v>17080</v>
      </c>
      <c r="F76" s="2999" t="s">
        <v>3157</v>
      </c>
      <c r="G76" s="2999">
        <v>315345</v>
      </c>
      <c r="H76" s="2999" t="s">
        <v>3711</v>
      </c>
      <c r="I76" s="2999" t="s">
        <v>3133</v>
      </c>
      <c r="J76" s="2999" t="s">
        <v>3712</v>
      </c>
      <c r="K76" s="2999" t="s">
        <v>3713</v>
      </c>
      <c r="L76" s="2999">
        <v>101500</v>
      </c>
      <c r="M76" s="2999">
        <v>214.58</v>
      </c>
      <c r="N76" s="2999">
        <v>4570.97</v>
      </c>
      <c r="O76" s="2999">
        <v>30.11</v>
      </c>
      <c r="P76" s="2999" t="s">
        <v>3110</v>
      </c>
    </row>
    <row r="77" spans="1:17">
      <c r="A77" s="2999" t="s">
        <v>3845</v>
      </c>
      <c r="B77" s="2999" t="s">
        <v>3103</v>
      </c>
      <c r="C77" s="2999" t="s">
        <v>3112</v>
      </c>
      <c r="D77" s="2999" t="s">
        <v>3105</v>
      </c>
      <c r="E77" s="2999">
        <v>17079</v>
      </c>
      <c r="F77" s="2999" t="s">
        <v>3114</v>
      </c>
      <c r="G77" s="2997">
        <v>195926</v>
      </c>
      <c r="H77" s="2997" t="s">
        <v>3846</v>
      </c>
      <c r="I77" s="2999" t="s">
        <v>3843</v>
      </c>
      <c r="J77" s="2999" t="s">
        <v>3844</v>
      </c>
      <c r="K77" s="2999" t="s">
        <v>3847</v>
      </c>
      <c r="L77" s="2999">
        <v>193967</v>
      </c>
      <c r="M77" s="2999">
        <v>660</v>
      </c>
      <c r="N77" s="2999">
        <v>3300</v>
      </c>
      <c r="O77" s="2999">
        <v>0</v>
      </c>
      <c r="P77" s="2999" t="s">
        <v>3110</v>
      </c>
    </row>
    <row r="78" spans="1:17">
      <c r="A78" s="2999" t="s">
        <v>3131</v>
      </c>
      <c r="B78" s="2999" t="s">
        <v>3103</v>
      </c>
      <c r="C78" s="2999" t="s">
        <v>3112</v>
      </c>
      <c r="D78" s="2999" t="s">
        <v>3113</v>
      </c>
      <c r="E78" s="2999">
        <v>17081</v>
      </c>
      <c r="F78" s="2999" t="s">
        <v>3114</v>
      </c>
      <c r="G78" s="2997">
        <v>14447</v>
      </c>
      <c r="H78" s="2997" t="s">
        <v>3132</v>
      </c>
      <c r="I78" s="2999" t="s">
        <v>3133</v>
      </c>
      <c r="J78" s="2999" t="s">
        <v>3543</v>
      </c>
      <c r="K78" s="2999" t="s">
        <v>3134</v>
      </c>
      <c r="L78" s="2999">
        <v>48400</v>
      </c>
      <c r="M78" s="2999">
        <v>2233.4499999999998</v>
      </c>
      <c r="N78" s="2999">
        <v>8066.67</v>
      </c>
      <c r="O78" s="2999">
        <v>0.83</v>
      </c>
      <c r="P78" s="2999" t="s">
        <v>3110</v>
      </c>
    </row>
    <row r="79" spans="1:17">
      <c r="A79" s="2999" t="s">
        <v>3848</v>
      </c>
      <c r="B79" s="2999" t="s">
        <v>3103</v>
      </c>
      <c r="C79" s="2999" t="s">
        <v>3112</v>
      </c>
      <c r="D79" s="2999" t="s">
        <v>3113</v>
      </c>
      <c r="E79" s="2999">
        <v>17077</v>
      </c>
      <c r="F79" s="2999" t="s">
        <v>3114</v>
      </c>
      <c r="G79" s="2997">
        <v>125073</v>
      </c>
      <c r="H79" s="2997" t="s">
        <v>3846</v>
      </c>
      <c r="I79" s="2999" t="s">
        <v>3545</v>
      </c>
      <c r="J79" s="2999" t="s">
        <v>3849</v>
      </c>
      <c r="K79" s="2999" t="s">
        <v>3850</v>
      </c>
      <c r="L79" s="2999">
        <v>125000</v>
      </c>
      <c r="M79" s="2999">
        <v>666.28</v>
      </c>
      <c r="N79" s="2999">
        <v>3331.38</v>
      </c>
      <c r="O79" s="2999">
        <v>0.95</v>
      </c>
      <c r="P79" s="2999" t="s">
        <v>3110</v>
      </c>
    </row>
    <row r="80" spans="1:17" hidden="1">
      <c r="A80" s="2999" t="s">
        <v>3544</v>
      </c>
      <c r="B80" s="2999" t="s">
        <v>3103</v>
      </c>
      <c r="C80" s="2999" t="s">
        <v>3112</v>
      </c>
      <c r="D80" s="2999" t="s">
        <v>3113</v>
      </c>
      <c r="E80" s="2999">
        <v>17075</v>
      </c>
      <c r="F80" s="2999" t="s">
        <v>3114</v>
      </c>
      <c r="G80" s="2999">
        <v>30332</v>
      </c>
      <c r="H80" s="2999" t="s">
        <v>3512</v>
      </c>
      <c r="I80" s="2999" t="s">
        <v>3545</v>
      </c>
      <c r="J80" s="2999" t="s">
        <v>3546</v>
      </c>
      <c r="K80" s="2999" t="s">
        <v>3547</v>
      </c>
      <c r="L80" s="2999">
        <v>87205</v>
      </c>
      <c r="M80" s="2999">
        <v>1916.68</v>
      </c>
      <c r="N80" s="2999">
        <v>11500.06</v>
      </c>
      <c r="O80" s="2999">
        <v>47.44</v>
      </c>
      <c r="P80" s="2999" t="s">
        <v>3110</v>
      </c>
    </row>
    <row r="81" spans="1:16" hidden="1">
      <c r="A81" s="2999" t="s">
        <v>3851</v>
      </c>
      <c r="B81" s="2999" t="s">
        <v>3103</v>
      </c>
      <c r="C81" s="2999" t="s">
        <v>3112</v>
      </c>
      <c r="D81" s="2999" t="s">
        <v>3113</v>
      </c>
      <c r="E81" s="2999">
        <v>17071</v>
      </c>
      <c r="F81" s="2999" t="s">
        <v>3114</v>
      </c>
      <c r="G81" s="2999">
        <v>100409</v>
      </c>
      <c r="H81" s="2999" t="s">
        <v>3852</v>
      </c>
      <c r="I81" s="2999" t="s">
        <v>3406</v>
      </c>
      <c r="J81" s="2999" t="s">
        <v>3853</v>
      </c>
      <c r="K81" s="2999" t="s">
        <v>3854</v>
      </c>
      <c r="L81" s="2999">
        <v>96500</v>
      </c>
      <c r="M81" s="2999">
        <v>640.71</v>
      </c>
      <c r="N81" s="2999">
        <v>4543.3599999999997</v>
      </c>
      <c r="O81" s="2999">
        <v>0.96</v>
      </c>
      <c r="P81" s="2999" t="s">
        <v>3110</v>
      </c>
    </row>
    <row r="82" spans="1:16" hidden="1">
      <c r="A82" s="2999" t="s">
        <v>3548</v>
      </c>
      <c r="B82" s="2999" t="s">
        <v>3103</v>
      </c>
      <c r="C82" s="2999" t="s">
        <v>3112</v>
      </c>
      <c r="D82" s="2999" t="s">
        <v>3113</v>
      </c>
      <c r="E82" s="2999">
        <v>17069</v>
      </c>
      <c r="F82" s="2999" t="s">
        <v>3114</v>
      </c>
      <c r="G82" s="2999">
        <v>156843</v>
      </c>
      <c r="H82" s="2999" t="s">
        <v>3527</v>
      </c>
      <c r="I82" s="2999" t="s">
        <v>3406</v>
      </c>
      <c r="J82" s="2999" t="s">
        <v>3407</v>
      </c>
      <c r="K82" s="2999" t="s">
        <v>3549</v>
      </c>
      <c r="L82" s="2999">
        <v>160000</v>
      </c>
      <c r="M82" s="2999">
        <v>680.09</v>
      </c>
      <c r="N82" s="2999">
        <v>5816.6</v>
      </c>
      <c r="O82" s="2999">
        <v>66.19</v>
      </c>
      <c r="P82" s="2999" t="s">
        <v>3110</v>
      </c>
    </row>
    <row r="83" spans="1:16" hidden="1">
      <c r="A83" s="2999" t="s">
        <v>3855</v>
      </c>
      <c r="B83" s="2999" t="s">
        <v>3103</v>
      </c>
      <c r="C83" s="2999" t="s">
        <v>3104</v>
      </c>
      <c r="D83" s="2999" t="s">
        <v>3105</v>
      </c>
      <c r="E83" s="2999">
        <v>17070</v>
      </c>
      <c r="F83" s="2999" t="s">
        <v>3157</v>
      </c>
      <c r="G83" s="2999">
        <v>93405</v>
      </c>
      <c r="H83" s="2999" t="s">
        <v>3856</v>
      </c>
      <c r="I83" s="2999" t="s">
        <v>3406</v>
      </c>
      <c r="J83" s="2999" t="s">
        <v>3857</v>
      </c>
      <c r="K83" s="2999" t="s">
        <v>3847</v>
      </c>
      <c r="L83" s="2999">
        <v>102843</v>
      </c>
      <c r="M83" s="2999">
        <v>734.03</v>
      </c>
      <c r="N83" s="2999">
        <v>4500.0200000000004</v>
      </c>
      <c r="O83" s="2999">
        <v>0</v>
      </c>
      <c r="P83" s="2999" t="s">
        <v>3110</v>
      </c>
    </row>
    <row r="84" spans="1:16" hidden="1">
      <c r="A84" s="2999" t="s">
        <v>3550</v>
      </c>
      <c r="B84" s="2999" t="s">
        <v>3103</v>
      </c>
      <c r="C84" s="2999" t="s">
        <v>3112</v>
      </c>
      <c r="D84" s="2999" t="s">
        <v>3113</v>
      </c>
      <c r="E84" s="2999">
        <v>17054</v>
      </c>
      <c r="F84" s="2999" t="s">
        <v>3114</v>
      </c>
      <c r="G84" s="2999">
        <v>155204</v>
      </c>
      <c r="H84" s="2999" t="s">
        <v>3551</v>
      </c>
      <c r="I84" s="2999" t="s">
        <v>3285</v>
      </c>
      <c r="J84" s="2999" t="s">
        <v>3552</v>
      </c>
      <c r="K84" s="2999" t="s">
        <v>3553</v>
      </c>
      <c r="L84" s="2999">
        <v>181000</v>
      </c>
      <c r="M84" s="2999">
        <v>777.47</v>
      </c>
      <c r="N84" s="2999">
        <v>5408.05</v>
      </c>
      <c r="O84" s="2999">
        <v>54.51</v>
      </c>
      <c r="P84" s="2999" t="s">
        <v>3110</v>
      </c>
    </row>
    <row r="85" spans="1:16" hidden="1">
      <c r="A85" s="2999" t="s">
        <v>3858</v>
      </c>
      <c r="B85" s="2999" t="s">
        <v>3103</v>
      </c>
      <c r="C85" s="2999" t="s">
        <v>3104</v>
      </c>
      <c r="D85" s="2999" t="s">
        <v>3113</v>
      </c>
      <c r="E85" s="2999">
        <v>17055</v>
      </c>
      <c r="F85" s="2999" t="s">
        <v>3157</v>
      </c>
      <c r="G85" s="2999">
        <v>153641</v>
      </c>
      <c r="H85" s="2999" t="s">
        <v>3852</v>
      </c>
      <c r="I85" s="2999" t="s">
        <v>3285</v>
      </c>
      <c r="J85" s="2999" t="s">
        <v>3859</v>
      </c>
      <c r="K85" s="2999" t="s">
        <v>3860</v>
      </c>
      <c r="L85" s="2999">
        <v>167000</v>
      </c>
      <c r="M85" s="2999">
        <v>724.63</v>
      </c>
      <c r="N85" s="2999">
        <v>5281.55</v>
      </c>
      <c r="O85" s="2999">
        <v>50.9</v>
      </c>
      <c r="P85" s="2999" t="s">
        <v>3110</v>
      </c>
    </row>
    <row r="86" spans="1:16" s="2987" customFormat="1">
      <c r="A86" s="2995" t="s">
        <v>3861</v>
      </c>
      <c r="B86" s="2999" t="s">
        <v>3103</v>
      </c>
      <c r="C86" s="2999" t="s">
        <v>3112</v>
      </c>
      <c r="D86" s="2999" t="s">
        <v>3113</v>
      </c>
      <c r="E86" s="2995">
        <v>17056</v>
      </c>
      <c r="F86" s="2995" t="s">
        <v>3114</v>
      </c>
      <c r="G86" s="3003">
        <v>25395</v>
      </c>
      <c r="H86" s="3003" t="s">
        <v>3846</v>
      </c>
      <c r="I86" s="2995" t="s">
        <v>3862</v>
      </c>
      <c r="J86" s="2995" t="s">
        <v>3863</v>
      </c>
      <c r="K86" s="2995" t="s">
        <v>3847</v>
      </c>
      <c r="L86" s="2995">
        <v>76186</v>
      </c>
      <c r="M86" s="2995">
        <v>2000.03</v>
      </c>
      <c r="N86" s="2995">
        <v>10000.120000000001</v>
      </c>
      <c r="O86" s="2995">
        <v>100</v>
      </c>
      <c r="P86" s="2995" t="s">
        <v>3110</v>
      </c>
    </row>
    <row r="87" spans="1:16" hidden="1">
      <c r="A87" s="2999" t="s">
        <v>3864</v>
      </c>
      <c r="B87" s="2999" t="s">
        <v>3103</v>
      </c>
      <c r="C87" s="2999" t="s">
        <v>3104</v>
      </c>
      <c r="D87" s="2999" t="s">
        <v>3113</v>
      </c>
      <c r="E87" s="2999">
        <v>17058</v>
      </c>
      <c r="F87" s="2999" t="s">
        <v>3145</v>
      </c>
      <c r="G87" s="2999">
        <v>169717</v>
      </c>
      <c r="H87" s="2999" t="s">
        <v>3865</v>
      </c>
      <c r="I87" s="2999" t="s">
        <v>3285</v>
      </c>
      <c r="J87" s="2999" t="s">
        <v>3863</v>
      </c>
      <c r="K87" s="2999" t="s">
        <v>3860</v>
      </c>
      <c r="L87" s="2999">
        <v>140000</v>
      </c>
      <c r="M87" s="2999">
        <v>549.94000000000005</v>
      </c>
      <c r="N87" s="2999">
        <v>5019.71</v>
      </c>
      <c r="O87" s="2999">
        <v>0.39</v>
      </c>
      <c r="P87" s="2999" t="s">
        <v>3110</v>
      </c>
    </row>
    <row r="88" spans="1:16" hidden="1">
      <c r="A88" s="2999" t="s">
        <v>3866</v>
      </c>
      <c r="B88" s="2999" t="s">
        <v>3103</v>
      </c>
      <c r="C88" s="2999" t="s">
        <v>3104</v>
      </c>
      <c r="D88" s="2999" t="s">
        <v>3113</v>
      </c>
      <c r="E88" s="2999">
        <v>17059</v>
      </c>
      <c r="F88" s="2999" t="s">
        <v>3145</v>
      </c>
      <c r="G88" s="2999">
        <v>161804</v>
      </c>
      <c r="H88" s="2999" t="s">
        <v>3284</v>
      </c>
      <c r="I88" s="2999" t="s">
        <v>3285</v>
      </c>
      <c r="J88" s="2999" t="s">
        <v>3863</v>
      </c>
      <c r="K88" s="2999" t="s">
        <v>3162</v>
      </c>
      <c r="L88" s="2999">
        <v>120500</v>
      </c>
      <c r="M88" s="2999">
        <v>496.49</v>
      </c>
      <c r="N88" s="2999">
        <v>5037.18</v>
      </c>
      <c r="O88" s="2999">
        <v>0.74</v>
      </c>
      <c r="P88" s="2999" t="s">
        <v>3110</v>
      </c>
    </row>
    <row r="89" spans="1:16" hidden="1">
      <c r="A89" s="2999" t="s">
        <v>3867</v>
      </c>
      <c r="B89" s="2999" t="s">
        <v>3103</v>
      </c>
      <c r="C89" s="2999" t="s">
        <v>3104</v>
      </c>
      <c r="D89" s="2999" t="s">
        <v>3113</v>
      </c>
      <c r="E89" s="2999">
        <v>17052</v>
      </c>
      <c r="F89" s="2999" t="s">
        <v>3157</v>
      </c>
      <c r="G89" s="2999">
        <v>116435</v>
      </c>
      <c r="H89" s="2999" t="s">
        <v>3527</v>
      </c>
      <c r="I89" s="2999" t="s">
        <v>3868</v>
      </c>
      <c r="J89" s="2999" t="s">
        <v>3869</v>
      </c>
      <c r="K89" s="2999" t="s">
        <v>3860</v>
      </c>
      <c r="L89" s="2999">
        <v>115500</v>
      </c>
      <c r="M89" s="2999">
        <v>661.31</v>
      </c>
      <c r="N89" s="2999">
        <v>5581.6</v>
      </c>
      <c r="O89" s="2999">
        <v>59.47</v>
      </c>
      <c r="P89" s="2999" t="s">
        <v>3110</v>
      </c>
    </row>
    <row r="90" spans="1:16" hidden="1">
      <c r="A90" s="2999" t="s">
        <v>3870</v>
      </c>
      <c r="B90" s="2999" t="s">
        <v>3103</v>
      </c>
      <c r="C90" s="2999" t="s">
        <v>3104</v>
      </c>
      <c r="D90" s="2999" t="s">
        <v>3113</v>
      </c>
      <c r="E90" s="2999">
        <v>17051</v>
      </c>
      <c r="F90" s="2999" t="s">
        <v>3157</v>
      </c>
      <c r="G90" s="2999">
        <v>236683</v>
      </c>
      <c r="H90" s="2999" t="s">
        <v>3871</v>
      </c>
      <c r="I90" s="2999" t="s">
        <v>3868</v>
      </c>
      <c r="J90" s="2999" t="s">
        <v>3869</v>
      </c>
      <c r="K90" s="2999" t="s">
        <v>3860</v>
      </c>
      <c r="L90" s="2999">
        <v>251000</v>
      </c>
      <c r="M90" s="2999">
        <v>706.99</v>
      </c>
      <c r="N90" s="2999">
        <v>3779.82</v>
      </c>
      <c r="O90" s="2999">
        <v>25.99</v>
      </c>
      <c r="P90" s="2999" t="s">
        <v>3110</v>
      </c>
    </row>
    <row r="91" spans="1:16" hidden="1">
      <c r="A91" s="2999" t="s">
        <v>3872</v>
      </c>
      <c r="B91" s="2999" t="s">
        <v>3103</v>
      </c>
      <c r="C91" s="2999" t="s">
        <v>3104</v>
      </c>
      <c r="D91" s="2999" t="s">
        <v>3113</v>
      </c>
      <c r="E91" s="2999">
        <v>17048</v>
      </c>
      <c r="F91" s="2999" t="s">
        <v>3157</v>
      </c>
      <c r="G91" s="2999">
        <v>75734</v>
      </c>
      <c r="H91" s="2999" t="s">
        <v>3856</v>
      </c>
      <c r="I91" s="2999" t="s">
        <v>3873</v>
      </c>
      <c r="J91" s="2999" t="s">
        <v>3874</v>
      </c>
      <c r="K91" s="2999" t="s">
        <v>3875</v>
      </c>
      <c r="L91" s="2999">
        <v>70500</v>
      </c>
      <c r="M91" s="2999">
        <v>620.59</v>
      </c>
      <c r="N91" s="2999">
        <v>3901.67</v>
      </c>
      <c r="O91" s="2999">
        <v>69.63</v>
      </c>
      <c r="P91" s="2999" t="s">
        <v>3110</v>
      </c>
    </row>
    <row r="92" spans="1:16">
      <c r="A92" s="2999" t="s">
        <v>3876</v>
      </c>
      <c r="B92" s="2999" t="s">
        <v>3103</v>
      </c>
      <c r="C92" s="2999" t="s">
        <v>3112</v>
      </c>
      <c r="D92" s="2999" t="s">
        <v>3105</v>
      </c>
      <c r="E92" s="2999">
        <v>17049</v>
      </c>
      <c r="F92" s="2999" t="s">
        <v>3114</v>
      </c>
      <c r="G92" s="2997">
        <v>11312</v>
      </c>
      <c r="H92" s="2997" t="s">
        <v>3877</v>
      </c>
      <c r="I92" s="2999" t="s">
        <v>3878</v>
      </c>
      <c r="J92" s="2999" t="s">
        <v>3879</v>
      </c>
      <c r="K92" s="2999" t="s">
        <v>3485</v>
      </c>
      <c r="L92" s="2999">
        <v>58088</v>
      </c>
      <c r="M92" s="2999">
        <v>3423.39</v>
      </c>
      <c r="N92" s="2999">
        <v>6500.07</v>
      </c>
      <c r="O92" s="2999">
        <v>0</v>
      </c>
      <c r="P92" s="2999" t="s">
        <v>3110</v>
      </c>
    </row>
    <row r="93" spans="1:16" hidden="1">
      <c r="A93" s="2999" t="s">
        <v>3880</v>
      </c>
      <c r="B93" s="2999" t="s">
        <v>3103</v>
      </c>
      <c r="C93" s="2999" t="s">
        <v>3112</v>
      </c>
      <c r="D93" s="2999" t="s">
        <v>3113</v>
      </c>
      <c r="E93" s="2999">
        <v>17043</v>
      </c>
      <c r="F93" s="2999" t="s">
        <v>3114</v>
      </c>
      <c r="G93" s="2999">
        <v>152137</v>
      </c>
      <c r="H93" s="2999" t="s">
        <v>3881</v>
      </c>
      <c r="I93" s="2999" t="s">
        <v>3882</v>
      </c>
      <c r="J93" s="2999" t="s">
        <v>3883</v>
      </c>
      <c r="K93" s="2999" t="s">
        <v>3847</v>
      </c>
      <c r="L93" s="2999">
        <v>185500</v>
      </c>
      <c r="M93" s="2999">
        <v>812.86</v>
      </c>
      <c r="N93" s="2999">
        <v>5301.28</v>
      </c>
      <c r="O93" s="2999">
        <v>126.17</v>
      </c>
      <c r="P93" s="2999" t="s">
        <v>3110</v>
      </c>
    </row>
    <row r="94" spans="1:16" hidden="1">
      <c r="A94" s="2999" t="s">
        <v>3714</v>
      </c>
      <c r="B94" s="2999" t="s">
        <v>3103</v>
      </c>
      <c r="C94" s="2999" t="s">
        <v>3112</v>
      </c>
      <c r="D94" s="2999" t="s">
        <v>3113</v>
      </c>
      <c r="E94" s="2999">
        <v>17038</v>
      </c>
      <c r="F94" s="2999" t="s">
        <v>3715</v>
      </c>
      <c r="G94" s="2999">
        <v>188505.5</v>
      </c>
      <c r="H94" s="2999" t="s">
        <v>3716</v>
      </c>
      <c r="I94" s="2999" t="s">
        <v>3717</v>
      </c>
      <c r="J94" s="2999" t="s">
        <v>3718</v>
      </c>
      <c r="K94" s="2999" t="s">
        <v>3719</v>
      </c>
      <c r="L94" s="2999">
        <v>71800</v>
      </c>
      <c r="M94" s="2999">
        <v>253.93</v>
      </c>
      <c r="N94" s="2999">
        <v>3462.63</v>
      </c>
      <c r="O94" s="2999">
        <v>63.59</v>
      </c>
      <c r="P94" s="2999" t="s">
        <v>3110</v>
      </c>
    </row>
    <row r="95" spans="1:16" hidden="1">
      <c r="A95" s="2999" t="s">
        <v>3554</v>
      </c>
      <c r="B95" s="2999" t="s">
        <v>3103</v>
      </c>
      <c r="C95" s="2999" t="s">
        <v>3112</v>
      </c>
      <c r="D95" s="2999" t="s">
        <v>3113</v>
      </c>
      <c r="E95" s="2999">
        <v>17037</v>
      </c>
      <c r="F95" s="2999" t="s">
        <v>3114</v>
      </c>
      <c r="G95" s="2999">
        <v>7738</v>
      </c>
      <c r="H95" s="2999" t="s">
        <v>1331</v>
      </c>
      <c r="I95" s="2999" t="s">
        <v>3555</v>
      </c>
      <c r="J95" s="2999" t="s">
        <v>3556</v>
      </c>
      <c r="K95" s="2999" t="s">
        <v>3557</v>
      </c>
      <c r="L95" s="2999">
        <v>13900</v>
      </c>
      <c r="M95" s="2999">
        <v>1197.55</v>
      </c>
      <c r="N95" s="2999">
        <v>4490.8100000000004</v>
      </c>
      <c r="O95" s="2999">
        <v>9.5299999999999994</v>
      </c>
      <c r="P95" s="2999" t="s">
        <v>3163</v>
      </c>
    </row>
    <row r="96" spans="1:16">
      <c r="A96" s="2999" t="s">
        <v>3720</v>
      </c>
      <c r="B96" s="2999" t="s">
        <v>3103</v>
      </c>
      <c r="C96" s="2999" t="s">
        <v>3112</v>
      </c>
      <c r="D96" s="2999" t="s">
        <v>3113</v>
      </c>
      <c r="E96" s="2999">
        <v>17034</v>
      </c>
      <c r="F96" s="2999" t="s">
        <v>3715</v>
      </c>
      <c r="G96" s="2997">
        <v>127982</v>
      </c>
      <c r="H96" s="2997" t="s">
        <v>3721</v>
      </c>
      <c r="I96" s="2999" t="s">
        <v>3722</v>
      </c>
      <c r="J96" s="2999" t="s">
        <v>3723</v>
      </c>
      <c r="K96" s="2999" t="s">
        <v>3724</v>
      </c>
      <c r="L96" s="2999">
        <v>392000</v>
      </c>
      <c r="M96" s="2999">
        <v>2041.95</v>
      </c>
      <c r="N96" s="2999">
        <v>8277.1200000000008</v>
      </c>
      <c r="O96" s="2999">
        <v>83.94</v>
      </c>
      <c r="P96" s="2999" t="s">
        <v>3110</v>
      </c>
    </row>
    <row r="97" spans="1:16" hidden="1">
      <c r="A97" s="2999" t="s">
        <v>3725</v>
      </c>
      <c r="B97" s="2999" t="s">
        <v>3103</v>
      </c>
      <c r="C97" s="2999" t="s">
        <v>3112</v>
      </c>
      <c r="D97" s="2999" t="s">
        <v>3113</v>
      </c>
      <c r="E97" s="2999">
        <v>17035</v>
      </c>
      <c r="F97" s="2999" t="s">
        <v>3715</v>
      </c>
      <c r="G97" s="2999">
        <v>35385</v>
      </c>
      <c r="H97" s="2999" t="s">
        <v>3726</v>
      </c>
      <c r="I97" s="2999" t="s">
        <v>3722</v>
      </c>
      <c r="J97" s="2999" t="s">
        <v>3727</v>
      </c>
      <c r="K97" s="2999" t="s">
        <v>3230</v>
      </c>
      <c r="L97" s="2999">
        <v>9927</v>
      </c>
      <c r="M97" s="2999">
        <v>187.03</v>
      </c>
      <c r="N97" s="2999">
        <v>1275.19</v>
      </c>
      <c r="O97" s="2999">
        <v>0</v>
      </c>
      <c r="P97" s="2999" t="s">
        <v>3110</v>
      </c>
    </row>
    <row r="98" spans="1:16" hidden="1">
      <c r="A98" s="2999" t="s">
        <v>3728</v>
      </c>
      <c r="B98" s="2999" t="s">
        <v>3103</v>
      </c>
      <c r="C98" s="2999" t="s">
        <v>3112</v>
      </c>
      <c r="D98" s="2999" t="s">
        <v>3113</v>
      </c>
      <c r="E98" s="2999">
        <v>17032</v>
      </c>
      <c r="F98" s="2999" t="s">
        <v>3729</v>
      </c>
      <c r="G98" s="2999">
        <v>66604</v>
      </c>
      <c r="H98" s="2999" t="s">
        <v>3730</v>
      </c>
      <c r="I98" s="2999" t="s">
        <v>3731</v>
      </c>
      <c r="J98" s="2999" t="s">
        <v>3732</v>
      </c>
      <c r="K98" s="2999" t="s">
        <v>3476</v>
      </c>
      <c r="L98" s="2999">
        <v>78000</v>
      </c>
      <c r="M98" s="2999">
        <v>780.73</v>
      </c>
      <c r="N98" s="2999">
        <v>11710.82</v>
      </c>
      <c r="O98" s="2999">
        <v>67.3</v>
      </c>
      <c r="P98" s="2999" t="s">
        <v>3110</v>
      </c>
    </row>
    <row r="99" spans="1:16">
      <c r="A99" s="2999" t="s">
        <v>3733</v>
      </c>
      <c r="B99" s="2999" t="s">
        <v>3103</v>
      </c>
      <c r="C99" s="2999" t="s">
        <v>3112</v>
      </c>
      <c r="D99" s="2999" t="s">
        <v>3113</v>
      </c>
      <c r="E99" s="2999">
        <v>17030</v>
      </c>
      <c r="F99" s="2999" t="s">
        <v>3715</v>
      </c>
      <c r="G99" s="2997">
        <v>45575</v>
      </c>
      <c r="H99" s="2997" t="s">
        <v>3734</v>
      </c>
      <c r="I99" s="2999" t="s">
        <v>3731</v>
      </c>
      <c r="J99" s="2999" t="s">
        <v>3735</v>
      </c>
      <c r="K99" s="2999" t="s">
        <v>3692</v>
      </c>
      <c r="L99" s="2999">
        <v>84400</v>
      </c>
      <c r="M99" s="2999">
        <v>1234.5899999999999</v>
      </c>
      <c r="N99" s="2999">
        <v>5410.26</v>
      </c>
      <c r="O99" s="2999">
        <v>116.41</v>
      </c>
      <c r="P99" s="2999" t="s">
        <v>3110</v>
      </c>
    </row>
    <row r="100" spans="1:16" hidden="1">
      <c r="A100" s="2999" t="s">
        <v>3736</v>
      </c>
      <c r="B100" s="2999" t="s">
        <v>3103</v>
      </c>
      <c r="C100" s="2999" t="s">
        <v>3112</v>
      </c>
      <c r="D100" s="2999" t="s">
        <v>3113</v>
      </c>
      <c r="E100" s="2999">
        <v>17028</v>
      </c>
      <c r="F100" s="2999" t="s">
        <v>3715</v>
      </c>
      <c r="G100" s="2999">
        <v>203112</v>
      </c>
      <c r="H100" s="2999" t="s">
        <v>3295</v>
      </c>
      <c r="I100" s="2999" t="s">
        <v>3296</v>
      </c>
      <c r="J100" s="2999" t="s">
        <v>3737</v>
      </c>
      <c r="K100" s="2999" t="s">
        <v>3522</v>
      </c>
      <c r="L100" s="2999">
        <v>339000</v>
      </c>
      <c r="M100" s="2999">
        <v>1112.69</v>
      </c>
      <c r="N100" s="2999">
        <v>9352.09</v>
      </c>
      <c r="O100" s="2999">
        <v>87.04</v>
      </c>
      <c r="P100" s="2999" t="s">
        <v>3110</v>
      </c>
    </row>
    <row r="101" spans="1:16">
      <c r="A101" s="2999" t="s">
        <v>3558</v>
      </c>
      <c r="B101" s="2999" t="s">
        <v>3103</v>
      </c>
      <c r="C101" s="2999" t="s">
        <v>3112</v>
      </c>
      <c r="D101" s="2999" t="s">
        <v>3113</v>
      </c>
      <c r="E101" s="2999">
        <v>17021</v>
      </c>
      <c r="F101" s="2999" t="s">
        <v>3114</v>
      </c>
      <c r="G101" s="2997">
        <v>46719</v>
      </c>
      <c r="H101" s="2997">
        <v>3</v>
      </c>
      <c r="I101" s="2999" t="s">
        <v>3559</v>
      </c>
      <c r="J101" s="2999" t="s">
        <v>3560</v>
      </c>
      <c r="K101" s="2999" t="s">
        <v>3121</v>
      </c>
      <c r="L101" s="2999">
        <v>108500</v>
      </c>
      <c r="M101" s="2999">
        <v>1548.26</v>
      </c>
      <c r="N101" s="2999">
        <v>7715.77</v>
      </c>
      <c r="O101" s="2999">
        <v>111.39</v>
      </c>
      <c r="P101" s="2999" t="s">
        <v>3163</v>
      </c>
    </row>
    <row r="102" spans="1:16">
      <c r="A102" s="3000" t="s">
        <v>3738</v>
      </c>
      <c r="B102" s="3000" t="s">
        <v>3103</v>
      </c>
      <c r="C102" s="3000" t="s">
        <v>3112</v>
      </c>
      <c r="D102" s="3000" t="s">
        <v>3113</v>
      </c>
      <c r="E102" s="3000">
        <v>17020</v>
      </c>
      <c r="F102" s="3000" t="s">
        <v>3715</v>
      </c>
      <c r="G102" s="2997">
        <v>26325</v>
      </c>
      <c r="H102" s="2997" t="s">
        <v>3739</v>
      </c>
      <c r="I102" s="3000" t="s">
        <v>3303</v>
      </c>
      <c r="J102" s="3000" t="s">
        <v>3740</v>
      </c>
      <c r="K102" s="3000" t="s">
        <v>3479</v>
      </c>
      <c r="L102" s="3000">
        <v>74474</v>
      </c>
      <c r="M102" s="3000">
        <v>1886.01</v>
      </c>
      <c r="N102" s="3000">
        <v>4100.0200000000004</v>
      </c>
      <c r="O102" s="3000">
        <v>0</v>
      </c>
      <c r="P102" s="3000" t="s">
        <v>3110</v>
      </c>
    </row>
    <row r="103" spans="1:16" hidden="1">
      <c r="A103" s="3000" t="s">
        <v>3741</v>
      </c>
      <c r="B103" s="3000" t="s">
        <v>3103</v>
      </c>
      <c r="C103" s="3000" t="s">
        <v>3104</v>
      </c>
      <c r="D103" s="3000" t="s">
        <v>3113</v>
      </c>
      <c r="E103" s="3000">
        <v>17015</v>
      </c>
      <c r="F103" s="3000" t="s">
        <v>3145</v>
      </c>
      <c r="G103" s="3000">
        <v>54232</v>
      </c>
      <c r="H103" s="3000" t="s">
        <v>3136</v>
      </c>
      <c r="I103" s="3000" t="s">
        <v>3742</v>
      </c>
      <c r="J103" s="3000" t="s">
        <v>3743</v>
      </c>
      <c r="K103" s="3000" t="s">
        <v>3744</v>
      </c>
      <c r="L103" s="3000">
        <v>25400</v>
      </c>
      <c r="M103" s="3000">
        <v>312.24</v>
      </c>
      <c r="N103" s="3000">
        <v>1561.19</v>
      </c>
      <c r="O103" s="3000">
        <v>1.1499999999999999</v>
      </c>
      <c r="P103" s="3000" t="s">
        <v>3745</v>
      </c>
    </row>
    <row r="104" spans="1:16">
      <c r="A104" s="3000" t="s">
        <v>3884</v>
      </c>
      <c r="B104" s="3000" t="s">
        <v>3103</v>
      </c>
      <c r="C104" s="3000" t="s">
        <v>3112</v>
      </c>
      <c r="D104" s="3000" t="s">
        <v>3113</v>
      </c>
      <c r="E104" s="3000">
        <v>17014</v>
      </c>
      <c r="F104" s="3000" t="s">
        <v>3114</v>
      </c>
      <c r="G104" s="2997">
        <v>26430</v>
      </c>
      <c r="H104" s="2997" t="s">
        <v>3885</v>
      </c>
      <c r="I104" s="3000" t="s">
        <v>3742</v>
      </c>
      <c r="J104" s="3000" t="s">
        <v>3886</v>
      </c>
      <c r="K104" s="3000" t="s">
        <v>3887</v>
      </c>
      <c r="L104" s="3000">
        <v>37400</v>
      </c>
      <c r="M104" s="3000">
        <v>943.37</v>
      </c>
      <c r="N104" s="3000">
        <v>3541.67</v>
      </c>
      <c r="O104" s="3000">
        <v>1.19</v>
      </c>
      <c r="P104" s="3000" t="s">
        <v>3163</v>
      </c>
    </row>
    <row r="105" spans="1:16" hidden="1">
      <c r="A105" s="3000" t="s">
        <v>3561</v>
      </c>
      <c r="B105" s="3000" t="s">
        <v>3103</v>
      </c>
      <c r="C105" s="3000" t="s">
        <v>3112</v>
      </c>
      <c r="D105" s="3000" t="s">
        <v>3113</v>
      </c>
      <c r="E105" s="3000">
        <v>17013</v>
      </c>
      <c r="F105" s="3000" t="s">
        <v>3114</v>
      </c>
      <c r="G105" s="3000">
        <v>88012</v>
      </c>
      <c r="H105" s="3000" t="s">
        <v>3562</v>
      </c>
      <c r="I105" s="3000" t="s">
        <v>3563</v>
      </c>
      <c r="J105" s="3000" t="s">
        <v>3564</v>
      </c>
      <c r="K105" s="3000" t="s">
        <v>3248</v>
      </c>
      <c r="L105" s="3000">
        <v>19803</v>
      </c>
      <c r="M105" s="3000">
        <v>150</v>
      </c>
      <c r="N105" s="3000">
        <v>2250.0100000000002</v>
      </c>
      <c r="O105" s="3000">
        <v>0</v>
      </c>
      <c r="P105" s="3000" t="s">
        <v>3163</v>
      </c>
    </row>
    <row r="106" spans="1:16" hidden="1">
      <c r="A106" s="3000" t="s">
        <v>3565</v>
      </c>
      <c r="B106" s="3000" t="s">
        <v>3103</v>
      </c>
      <c r="C106" s="3000" t="s">
        <v>3112</v>
      </c>
      <c r="D106" s="3000" t="s">
        <v>3113</v>
      </c>
      <c r="E106" s="3000">
        <v>17011</v>
      </c>
      <c r="F106" s="3000" t="s">
        <v>3114</v>
      </c>
      <c r="G106" s="3000">
        <v>30494</v>
      </c>
      <c r="H106" s="3000" t="s">
        <v>3566</v>
      </c>
      <c r="I106" s="3000" t="s">
        <v>3567</v>
      </c>
      <c r="J106" s="3000" t="s">
        <v>3568</v>
      </c>
      <c r="K106" s="3000" t="s">
        <v>3569</v>
      </c>
      <c r="L106" s="3000">
        <v>55000</v>
      </c>
      <c r="M106" s="3000">
        <v>1202.42</v>
      </c>
      <c r="N106" s="3000">
        <v>8026.27</v>
      </c>
      <c r="O106" s="3000">
        <v>111.53</v>
      </c>
      <c r="P106" s="3000" t="s">
        <v>3163</v>
      </c>
    </row>
    <row r="107" spans="1:16" hidden="1">
      <c r="A107" s="3000" t="s">
        <v>3570</v>
      </c>
      <c r="B107" s="3000" t="s">
        <v>3103</v>
      </c>
      <c r="C107" s="3000" t="s">
        <v>3112</v>
      </c>
      <c r="D107" s="3000" t="s">
        <v>3113</v>
      </c>
      <c r="E107" s="3000">
        <v>17005</v>
      </c>
      <c r="F107" s="3000" t="s">
        <v>3114</v>
      </c>
      <c r="G107" s="3000">
        <v>176952</v>
      </c>
      <c r="H107" s="3000" t="s">
        <v>3571</v>
      </c>
      <c r="I107" s="3000" t="s">
        <v>3414</v>
      </c>
      <c r="J107" s="3000" t="s">
        <v>3572</v>
      </c>
      <c r="K107" s="3000" t="s">
        <v>3394</v>
      </c>
      <c r="L107" s="3000">
        <v>50861</v>
      </c>
      <c r="M107" s="3000">
        <v>191.62</v>
      </c>
      <c r="N107" s="3000">
        <v>1104.46</v>
      </c>
      <c r="O107" s="3000">
        <v>0</v>
      </c>
      <c r="P107" s="3000" t="s">
        <v>3163</v>
      </c>
    </row>
    <row r="108" spans="1:16" hidden="1">
      <c r="A108" s="3000" t="s">
        <v>3746</v>
      </c>
      <c r="B108" s="3000" t="s">
        <v>3103</v>
      </c>
      <c r="C108" s="3000" t="s">
        <v>3112</v>
      </c>
      <c r="D108" s="3000" t="s">
        <v>3113</v>
      </c>
      <c r="E108" s="3000">
        <v>17007</v>
      </c>
      <c r="F108" s="3000" t="s">
        <v>3747</v>
      </c>
      <c r="G108" s="3000">
        <v>135649</v>
      </c>
      <c r="H108" s="3000" t="s">
        <v>3748</v>
      </c>
      <c r="I108" s="3000" t="s">
        <v>3414</v>
      </c>
      <c r="J108" s="3000" t="s">
        <v>3749</v>
      </c>
      <c r="K108" s="3000" t="s">
        <v>3394</v>
      </c>
      <c r="L108" s="3000">
        <v>31181</v>
      </c>
      <c r="M108" s="3000">
        <v>153.24</v>
      </c>
      <c r="N108" s="3000">
        <v>1391.64</v>
      </c>
      <c r="O108" s="3000">
        <v>0</v>
      </c>
      <c r="P108" s="3000" t="s">
        <v>3163</v>
      </c>
    </row>
    <row r="109" spans="1:16" hidden="1">
      <c r="A109" s="3000" t="s">
        <v>3888</v>
      </c>
      <c r="B109" s="3000" t="s">
        <v>3103</v>
      </c>
      <c r="C109" s="3000" t="s">
        <v>3104</v>
      </c>
      <c r="D109" s="3000" t="s">
        <v>3113</v>
      </c>
      <c r="E109" s="3000">
        <v>17004</v>
      </c>
      <c r="F109" s="3000" t="s">
        <v>3145</v>
      </c>
      <c r="G109" s="3000">
        <v>12243</v>
      </c>
      <c r="H109" s="3000" t="s">
        <v>3889</v>
      </c>
      <c r="I109" s="3000" t="s">
        <v>3414</v>
      </c>
      <c r="J109" s="3000" t="s">
        <v>3890</v>
      </c>
      <c r="K109" s="3000" t="s">
        <v>3891</v>
      </c>
      <c r="L109" s="3000">
        <v>18145</v>
      </c>
      <c r="M109" s="3000">
        <v>988.05</v>
      </c>
      <c r="N109" s="3000">
        <v>3250.15</v>
      </c>
      <c r="O109" s="3000">
        <v>0</v>
      </c>
      <c r="P109" s="3000" t="s">
        <v>3149</v>
      </c>
    </row>
    <row r="110" spans="1:16" hidden="1">
      <c r="A110" s="3000" t="s">
        <v>3573</v>
      </c>
      <c r="B110" s="3000" t="s">
        <v>3103</v>
      </c>
      <c r="C110" s="3000" t="s">
        <v>3112</v>
      </c>
      <c r="D110" s="3000" t="s">
        <v>3113</v>
      </c>
      <c r="E110" s="3000">
        <v>17006</v>
      </c>
      <c r="F110" s="3000" t="s">
        <v>3114</v>
      </c>
      <c r="G110" s="3000">
        <v>157885</v>
      </c>
      <c r="H110" s="3000" t="s">
        <v>3574</v>
      </c>
      <c r="I110" s="3000" t="s">
        <v>3414</v>
      </c>
      <c r="J110" s="3000" t="s">
        <v>3575</v>
      </c>
      <c r="K110" s="3000" t="s">
        <v>3394</v>
      </c>
      <c r="L110" s="3000">
        <v>40136</v>
      </c>
      <c r="M110" s="3000">
        <v>169.47</v>
      </c>
      <c r="N110" s="3000">
        <v>1436.27</v>
      </c>
      <c r="O110" s="3000">
        <v>0</v>
      </c>
      <c r="P110" s="3000" t="s">
        <v>3163</v>
      </c>
    </row>
    <row r="111" spans="1:16" hidden="1">
      <c r="A111" s="3000" t="s">
        <v>3576</v>
      </c>
      <c r="B111" s="3000" t="s">
        <v>3103</v>
      </c>
      <c r="C111" s="3000" t="s">
        <v>3112</v>
      </c>
      <c r="D111" s="3000" t="s">
        <v>3113</v>
      </c>
      <c r="E111" s="3000">
        <v>17001</v>
      </c>
      <c r="F111" s="3000" t="s">
        <v>3114</v>
      </c>
      <c r="G111" s="3000">
        <v>206303</v>
      </c>
      <c r="H111" s="3000" t="s">
        <v>3577</v>
      </c>
      <c r="I111" s="3000" t="s">
        <v>3578</v>
      </c>
      <c r="J111" s="3000" t="s">
        <v>3579</v>
      </c>
      <c r="K111" s="3000" t="s">
        <v>3580</v>
      </c>
      <c r="L111" s="3000">
        <v>262000</v>
      </c>
      <c r="M111" s="3000">
        <v>846.65</v>
      </c>
      <c r="N111" s="3000">
        <v>6025.01</v>
      </c>
      <c r="O111" s="3000">
        <v>54.49</v>
      </c>
      <c r="P111" s="3000" t="s">
        <v>3163</v>
      </c>
    </row>
    <row r="112" spans="1:16" hidden="1">
      <c r="A112" s="3000" t="s">
        <v>3581</v>
      </c>
      <c r="B112" s="3000" t="s">
        <v>3103</v>
      </c>
      <c r="C112" s="3000" t="s">
        <v>3112</v>
      </c>
      <c r="D112" s="3000" t="s">
        <v>3113</v>
      </c>
      <c r="E112" s="3000">
        <v>16141</v>
      </c>
      <c r="F112" s="3000" t="s">
        <v>3114</v>
      </c>
      <c r="G112" s="3000">
        <v>199900</v>
      </c>
      <c r="H112" s="3000" t="s">
        <v>3582</v>
      </c>
      <c r="I112" s="3000" t="s">
        <v>3583</v>
      </c>
      <c r="J112" s="3000" t="s">
        <v>3584</v>
      </c>
      <c r="K112" s="3000" t="s">
        <v>3408</v>
      </c>
      <c r="L112" s="3000">
        <v>44978</v>
      </c>
      <c r="M112" s="3000">
        <v>150</v>
      </c>
      <c r="N112" s="3000">
        <v>1500.01</v>
      </c>
      <c r="O112" s="3000">
        <v>0</v>
      </c>
      <c r="P112" s="3000" t="s">
        <v>3110</v>
      </c>
    </row>
    <row r="113" spans="1:16" hidden="1">
      <c r="A113" s="3000" t="s">
        <v>3135</v>
      </c>
      <c r="B113" s="3000" t="s">
        <v>3103</v>
      </c>
      <c r="C113" s="3000" t="s">
        <v>3104</v>
      </c>
      <c r="D113" s="3000" t="s">
        <v>3113</v>
      </c>
      <c r="E113" s="3000">
        <v>16138</v>
      </c>
      <c r="F113" s="3000" t="s">
        <v>3123</v>
      </c>
      <c r="G113" s="3000">
        <v>27562</v>
      </c>
      <c r="H113" s="3000" t="s">
        <v>3136</v>
      </c>
      <c r="I113" s="3000" t="s">
        <v>3137</v>
      </c>
      <c r="J113" s="3000" t="s">
        <v>3750</v>
      </c>
      <c r="K113" s="3000" t="s">
        <v>3121</v>
      </c>
      <c r="L113" s="3000">
        <v>57600</v>
      </c>
      <c r="M113" s="3000">
        <v>1393.22</v>
      </c>
      <c r="N113" s="3000">
        <v>6966.1</v>
      </c>
      <c r="O113" s="3000">
        <v>79.989999999999995</v>
      </c>
      <c r="P113" s="3000" t="s">
        <v>3138</v>
      </c>
    </row>
    <row r="114" spans="1:16" hidden="1">
      <c r="A114" s="3000" t="s">
        <v>3751</v>
      </c>
      <c r="B114" s="3000" t="s">
        <v>3103</v>
      </c>
      <c r="C114" s="3000" t="s">
        <v>3104</v>
      </c>
      <c r="D114" s="3000" t="s">
        <v>3105</v>
      </c>
      <c r="E114" s="3000">
        <v>16129</v>
      </c>
      <c r="F114" s="3000" t="s">
        <v>3145</v>
      </c>
      <c r="G114" s="3000">
        <v>172870</v>
      </c>
      <c r="H114" s="3000" t="s">
        <v>3265</v>
      </c>
      <c r="I114" s="3000" t="s">
        <v>3752</v>
      </c>
      <c r="J114" s="3000" t="s">
        <v>3753</v>
      </c>
      <c r="K114" s="3000" t="s">
        <v>3754</v>
      </c>
      <c r="L114" s="3000">
        <v>34907</v>
      </c>
      <c r="M114" s="3000">
        <v>134.62</v>
      </c>
      <c r="N114" s="3000">
        <v>1346.18</v>
      </c>
      <c r="O114" s="3000">
        <v>0</v>
      </c>
      <c r="P114" s="3000" t="s">
        <v>3138</v>
      </c>
    </row>
    <row r="115" spans="1:16" hidden="1">
      <c r="A115" s="3000" t="s">
        <v>3585</v>
      </c>
      <c r="B115" s="3000" t="s">
        <v>3103</v>
      </c>
      <c r="C115" s="3000" t="s">
        <v>3112</v>
      </c>
      <c r="D115" s="3000" t="s">
        <v>3113</v>
      </c>
      <c r="E115" s="3000">
        <v>16114</v>
      </c>
      <c r="F115" s="3000" t="s">
        <v>3114</v>
      </c>
      <c r="G115" s="3000">
        <v>150945</v>
      </c>
      <c r="H115" s="3000" t="s">
        <v>3562</v>
      </c>
      <c r="I115" s="3000" t="s">
        <v>3142</v>
      </c>
      <c r="J115" s="3000" t="s">
        <v>3586</v>
      </c>
      <c r="K115" s="3000" t="s">
        <v>3248</v>
      </c>
      <c r="L115" s="3000">
        <v>36000</v>
      </c>
      <c r="M115" s="3000">
        <v>159</v>
      </c>
      <c r="N115" s="3000">
        <v>2384.9</v>
      </c>
      <c r="O115" s="3000">
        <v>35.369999999999997</v>
      </c>
      <c r="P115" s="3000" t="s">
        <v>3163</v>
      </c>
    </row>
    <row r="116" spans="1:16" hidden="1">
      <c r="A116" s="3000" t="s">
        <v>3587</v>
      </c>
      <c r="B116" s="3000" t="s">
        <v>3103</v>
      </c>
      <c r="C116" s="3000" t="s">
        <v>3112</v>
      </c>
      <c r="D116" s="3000" t="s">
        <v>3113</v>
      </c>
      <c r="E116" s="3000">
        <v>16115</v>
      </c>
      <c r="F116" s="3000" t="s">
        <v>3114</v>
      </c>
      <c r="G116" s="3000">
        <v>85877</v>
      </c>
      <c r="H116" s="3000" t="s">
        <v>3562</v>
      </c>
      <c r="I116" s="3000" t="s">
        <v>3142</v>
      </c>
      <c r="J116" s="3000" t="s">
        <v>3588</v>
      </c>
      <c r="K116" s="3000" t="s">
        <v>3248</v>
      </c>
      <c r="L116" s="3000">
        <v>20200</v>
      </c>
      <c r="M116" s="3000">
        <v>156.81</v>
      </c>
      <c r="N116" s="3000">
        <v>2352.09</v>
      </c>
      <c r="O116" s="3000">
        <v>33.64</v>
      </c>
      <c r="P116" s="3000" t="s">
        <v>3163</v>
      </c>
    </row>
    <row r="117" spans="1:16" hidden="1">
      <c r="A117" s="3000" t="s">
        <v>3589</v>
      </c>
      <c r="B117" s="3000" t="s">
        <v>3103</v>
      </c>
      <c r="C117" s="3000" t="s">
        <v>3112</v>
      </c>
      <c r="D117" s="3000" t="s">
        <v>3113</v>
      </c>
      <c r="E117" s="3000">
        <v>16113</v>
      </c>
      <c r="F117" s="3000" t="s">
        <v>3114</v>
      </c>
      <c r="G117" s="3000">
        <v>139607</v>
      </c>
      <c r="H117" s="3000" t="s">
        <v>3562</v>
      </c>
      <c r="I117" s="3000" t="s">
        <v>3142</v>
      </c>
      <c r="J117" s="3000" t="s">
        <v>3590</v>
      </c>
      <c r="K117" s="3000" t="s">
        <v>3248</v>
      </c>
      <c r="L117" s="3000">
        <v>32500</v>
      </c>
      <c r="M117" s="3000">
        <v>155.19999999999999</v>
      </c>
      <c r="N117" s="3000">
        <v>2327.88</v>
      </c>
      <c r="O117" s="3000">
        <v>33.020000000000003</v>
      </c>
      <c r="P117" s="3000" t="s">
        <v>3163</v>
      </c>
    </row>
    <row r="118" spans="1:16" hidden="1">
      <c r="A118" s="3000" t="s">
        <v>3139</v>
      </c>
      <c r="B118" s="3000" t="s">
        <v>3103</v>
      </c>
      <c r="C118" s="3000" t="s">
        <v>3104</v>
      </c>
      <c r="D118" s="3000" t="s">
        <v>3113</v>
      </c>
      <c r="E118" s="3000">
        <v>16111</v>
      </c>
      <c r="F118" s="3000" t="s">
        <v>3140</v>
      </c>
      <c r="G118" s="3000">
        <v>8156</v>
      </c>
      <c r="H118" s="3000" t="s">
        <v>3141</v>
      </c>
      <c r="I118" s="3000" t="s">
        <v>3142</v>
      </c>
      <c r="J118" s="3000" t="s">
        <v>3755</v>
      </c>
      <c r="K118" s="3000" t="s">
        <v>3143</v>
      </c>
      <c r="L118" s="3000">
        <v>15015</v>
      </c>
      <c r="M118" s="3000">
        <v>1227.32</v>
      </c>
      <c r="N118" s="3000">
        <v>5259.93</v>
      </c>
      <c r="O118" s="3000">
        <v>0</v>
      </c>
      <c r="P118" s="3000" t="s">
        <v>3138</v>
      </c>
    </row>
    <row r="119" spans="1:16" hidden="1">
      <c r="A119" s="3000" t="s">
        <v>3756</v>
      </c>
      <c r="B119" s="3000" t="s">
        <v>3103</v>
      </c>
      <c r="C119" s="3000" t="s">
        <v>3104</v>
      </c>
      <c r="D119" s="3000" t="s">
        <v>3113</v>
      </c>
      <c r="E119" s="3000">
        <v>16110</v>
      </c>
      <c r="F119" s="3000" t="s">
        <v>3123</v>
      </c>
      <c r="G119" s="3000">
        <v>157925</v>
      </c>
      <c r="H119" s="3000" t="s">
        <v>3757</v>
      </c>
      <c r="I119" s="3000" t="s">
        <v>3758</v>
      </c>
      <c r="J119" s="3000" t="s">
        <v>3759</v>
      </c>
      <c r="K119" s="3000" t="s">
        <v>3760</v>
      </c>
      <c r="L119" s="3000">
        <v>284000</v>
      </c>
      <c r="M119" s="3000">
        <v>1198.8800000000001</v>
      </c>
      <c r="N119" s="3000">
        <v>6485.35</v>
      </c>
      <c r="O119" s="3000">
        <v>83.97</v>
      </c>
      <c r="P119" s="3000" t="s">
        <v>3138</v>
      </c>
    </row>
    <row r="120" spans="1:16" hidden="1">
      <c r="A120" s="3000" t="s">
        <v>3761</v>
      </c>
      <c r="B120" s="3000" t="s">
        <v>3103</v>
      </c>
      <c r="C120" s="3000" t="s">
        <v>3104</v>
      </c>
      <c r="D120" s="3000" t="s">
        <v>3113</v>
      </c>
      <c r="E120" s="3000">
        <v>16109</v>
      </c>
      <c r="F120" s="3000" t="s">
        <v>3123</v>
      </c>
      <c r="G120" s="3000">
        <v>200112</v>
      </c>
      <c r="H120" s="3000" t="s">
        <v>3762</v>
      </c>
      <c r="I120" s="3000" t="s">
        <v>3758</v>
      </c>
      <c r="J120" s="3000" t="s">
        <v>3763</v>
      </c>
      <c r="K120" s="3000" t="s">
        <v>3764</v>
      </c>
      <c r="L120" s="3000">
        <v>333000</v>
      </c>
      <c r="M120" s="3000">
        <v>1109.3800000000001</v>
      </c>
      <c r="N120" s="3000">
        <v>6164.01</v>
      </c>
      <c r="O120" s="3000">
        <v>71.430000000000007</v>
      </c>
      <c r="P120" s="3000" t="s">
        <v>3138</v>
      </c>
    </row>
    <row r="121" spans="1:16" hidden="1">
      <c r="A121" s="3000" t="s">
        <v>3765</v>
      </c>
      <c r="B121" s="3000" t="s">
        <v>3103</v>
      </c>
      <c r="C121" s="3000" t="s">
        <v>3104</v>
      </c>
      <c r="D121" s="3000" t="s">
        <v>3113</v>
      </c>
      <c r="E121" s="3000">
        <v>16106</v>
      </c>
      <c r="F121" s="3000" t="s">
        <v>3652</v>
      </c>
      <c r="G121" s="3000">
        <v>221522</v>
      </c>
      <c r="H121" s="3000" t="s">
        <v>3766</v>
      </c>
      <c r="I121" s="3000" t="s">
        <v>3767</v>
      </c>
      <c r="J121" s="3000" t="s">
        <v>3768</v>
      </c>
      <c r="K121" s="3000" t="s">
        <v>3408</v>
      </c>
      <c r="L121" s="3000">
        <v>422000</v>
      </c>
      <c r="M121" s="3000">
        <v>1270</v>
      </c>
      <c r="N121" s="3000">
        <v>7437.03</v>
      </c>
      <c r="O121" s="3000">
        <v>103.89</v>
      </c>
      <c r="P121" s="3000" t="s">
        <v>3138</v>
      </c>
    </row>
    <row r="122" spans="1:16" hidden="1">
      <c r="A122" s="3000" t="s">
        <v>3892</v>
      </c>
      <c r="B122" s="3000" t="s">
        <v>3103</v>
      </c>
      <c r="C122" s="3000" t="s">
        <v>3104</v>
      </c>
      <c r="D122" s="3000" t="s">
        <v>3113</v>
      </c>
      <c r="E122" s="3000">
        <v>16108</v>
      </c>
      <c r="F122" s="3000" t="s">
        <v>3893</v>
      </c>
      <c r="G122" s="3000">
        <v>26311</v>
      </c>
      <c r="H122" s="3000" t="s">
        <v>3894</v>
      </c>
      <c r="I122" s="3000" t="s">
        <v>3767</v>
      </c>
      <c r="J122" s="3000" t="s">
        <v>3895</v>
      </c>
      <c r="K122" s="3000" t="s">
        <v>3896</v>
      </c>
      <c r="L122" s="3000">
        <v>63200</v>
      </c>
      <c r="M122" s="3000">
        <v>1601.36</v>
      </c>
      <c r="N122" s="3000">
        <v>6862.93</v>
      </c>
      <c r="O122" s="3000">
        <v>126.13</v>
      </c>
      <c r="P122" s="3000" t="s">
        <v>3138</v>
      </c>
    </row>
    <row r="123" spans="1:16" hidden="1">
      <c r="A123" s="3000" t="s">
        <v>3769</v>
      </c>
      <c r="B123" s="3000" t="s">
        <v>3103</v>
      </c>
      <c r="C123" s="3000" t="s">
        <v>3104</v>
      </c>
      <c r="D123" s="3000" t="s">
        <v>3113</v>
      </c>
      <c r="E123" s="3000">
        <v>16107</v>
      </c>
      <c r="F123" s="3000" t="s">
        <v>3652</v>
      </c>
      <c r="G123" s="3000">
        <v>221130</v>
      </c>
      <c r="H123" s="3000" t="s">
        <v>3770</v>
      </c>
      <c r="I123" s="3000" t="s">
        <v>3767</v>
      </c>
      <c r="J123" s="3000" t="s">
        <v>3771</v>
      </c>
      <c r="K123" s="3000" t="s">
        <v>3772</v>
      </c>
      <c r="L123" s="3000">
        <v>444000</v>
      </c>
      <c r="M123" s="3000">
        <v>1338.58</v>
      </c>
      <c r="N123" s="3000">
        <v>7380.44</v>
      </c>
      <c r="O123" s="3000">
        <v>116.4</v>
      </c>
      <c r="P123" s="3000" t="s">
        <v>3138</v>
      </c>
    </row>
    <row r="124" spans="1:16" hidden="1">
      <c r="A124" s="3000" t="s">
        <v>3773</v>
      </c>
      <c r="B124" s="3000" t="s">
        <v>3103</v>
      </c>
      <c r="C124" s="3000" t="s">
        <v>3104</v>
      </c>
      <c r="D124" s="3000" t="s">
        <v>3113</v>
      </c>
      <c r="E124" s="3000">
        <v>16105</v>
      </c>
      <c r="F124" s="3000" t="s">
        <v>3774</v>
      </c>
      <c r="G124" s="3000">
        <v>207435</v>
      </c>
      <c r="H124" s="3000" t="s">
        <v>3265</v>
      </c>
      <c r="I124" s="3000" t="s">
        <v>3423</v>
      </c>
      <c r="J124" s="3000" t="s">
        <v>3775</v>
      </c>
      <c r="K124" s="3000" t="s">
        <v>3776</v>
      </c>
      <c r="L124" s="3000">
        <v>182000</v>
      </c>
      <c r="M124" s="3000">
        <v>584.91999999999996</v>
      </c>
      <c r="N124" s="3000">
        <v>5718.78</v>
      </c>
      <c r="O124" s="3000">
        <v>22.71</v>
      </c>
      <c r="P124" s="3000" t="s">
        <v>3149</v>
      </c>
    </row>
    <row r="125" spans="1:16" hidden="1">
      <c r="A125" s="3000" t="s">
        <v>3777</v>
      </c>
      <c r="B125" s="3000" t="s">
        <v>3103</v>
      </c>
      <c r="C125" s="3000" t="s">
        <v>3104</v>
      </c>
      <c r="D125" s="3000" t="s">
        <v>3113</v>
      </c>
      <c r="E125" s="3000">
        <v>16104</v>
      </c>
      <c r="F125" s="3000" t="s">
        <v>3778</v>
      </c>
      <c r="G125" s="3000">
        <v>224265</v>
      </c>
      <c r="H125" s="3000" t="s">
        <v>3237</v>
      </c>
      <c r="I125" s="3000" t="s">
        <v>3423</v>
      </c>
      <c r="J125" s="3000" t="s">
        <v>3779</v>
      </c>
      <c r="K125" s="3000" t="s">
        <v>3780</v>
      </c>
      <c r="L125" s="3000">
        <v>298000</v>
      </c>
      <c r="M125" s="3000">
        <v>885.86</v>
      </c>
      <c r="N125" s="3000">
        <v>5382.9</v>
      </c>
      <c r="O125" s="3000">
        <v>62.77</v>
      </c>
      <c r="P125" s="3000" t="s">
        <v>3149</v>
      </c>
    </row>
    <row r="126" spans="1:16" hidden="1">
      <c r="A126" s="3000" t="s">
        <v>3897</v>
      </c>
      <c r="B126" s="3000" t="s">
        <v>3103</v>
      </c>
      <c r="C126" s="3000" t="s">
        <v>3104</v>
      </c>
      <c r="D126" s="3000" t="s">
        <v>3113</v>
      </c>
      <c r="E126" s="3000">
        <v>16099</v>
      </c>
      <c r="F126" s="3000" t="s">
        <v>3898</v>
      </c>
      <c r="G126" s="3000">
        <v>145869</v>
      </c>
      <c r="H126" s="3000" t="s">
        <v>3899</v>
      </c>
      <c r="I126" s="3000" t="s">
        <v>3900</v>
      </c>
      <c r="J126" s="3000" t="s">
        <v>3901</v>
      </c>
      <c r="K126" s="3000" t="s">
        <v>3902</v>
      </c>
      <c r="L126" s="3000">
        <v>30704</v>
      </c>
      <c r="M126" s="3000">
        <v>140.33000000000001</v>
      </c>
      <c r="N126" s="3000">
        <v>1315.56</v>
      </c>
      <c r="O126" s="3000">
        <v>0</v>
      </c>
      <c r="P126" s="3000" t="s">
        <v>3138</v>
      </c>
    </row>
    <row r="127" spans="1:16" hidden="1">
      <c r="A127" s="3000" t="s">
        <v>3591</v>
      </c>
      <c r="B127" s="3000" t="s">
        <v>3103</v>
      </c>
      <c r="C127" s="3000" t="s">
        <v>3112</v>
      </c>
      <c r="D127" s="3000" t="s">
        <v>3113</v>
      </c>
      <c r="E127" s="3000">
        <v>16097</v>
      </c>
      <c r="F127" s="3000" t="s">
        <v>3114</v>
      </c>
      <c r="G127" s="3000">
        <v>63835</v>
      </c>
      <c r="H127" s="3000" t="s">
        <v>3265</v>
      </c>
      <c r="I127" s="3000" t="s">
        <v>3307</v>
      </c>
      <c r="J127" s="3000" t="s">
        <v>3592</v>
      </c>
      <c r="K127" s="3000" t="s">
        <v>3479</v>
      </c>
      <c r="L127" s="3000">
        <v>67500</v>
      </c>
      <c r="M127" s="3000">
        <v>704.94</v>
      </c>
      <c r="N127" s="3000">
        <v>7049.39</v>
      </c>
      <c r="O127" s="3000">
        <v>46.87</v>
      </c>
      <c r="P127" s="3000" t="s">
        <v>3163</v>
      </c>
    </row>
    <row r="128" spans="1:16" hidden="1">
      <c r="A128" s="3000" t="s">
        <v>3144</v>
      </c>
      <c r="B128" s="3000" t="s">
        <v>3103</v>
      </c>
      <c r="C128" s="3000" t="s">
        <v>3104</v>
      </c>
      <c r="D128" s="3000" t="s">
        <v>3113</v>
      </c>
      <c r="E128" s="3000">
        <v>16089</v>
      </c>
      <c r="F128" s="3000" t="s">
        <v>3145</v>
      </c>
      <c r="G128" s="3000">
        <v>48961</v>
      </c>
      <c r="H128" s="3000" t="s">
        <v>3146</v>
      </c>
      <c r="I128" s="3000" t="s">
        <v>3147</v>
      </c>
      <c r="J128" s="3000" t="s">
        <v>3781</v>
      </c>
      <c r="K128" s="3000" t="s">
        <v>3148</v>
      </c>
      <c r="L128" s="3000">
        <v>364056</v>
      </c>
      <c r="M128" s="3000">
        <v>4957.09</v>
      </c>
      <c r="N128" s="3000">
        <v>7088.31</v>
      </c>
      <c r="O128" s="3000">
        <v>0</v>
      </c>
      <c r="P128" s="3000" t="s">
        <v>3149</v>
      </c>
    </row>
    <row r="129" spans="1:16">
      <c r="A129" s="3000" t="s">
        <v>3593</v>
      </c>
      <c r="B129" s="3000" t="s">
        <v>3103</v>
      </c>
      <c r="C129" s="3000" t="s">
        <v>3112</v>
      </c>
      <c r="D129" s="3000" t="s">
        <v>3113</v>
      </c>
      <c r="E129" s="3000">
        <v>16082</v>
      </c>
      <c r="F129" s="3000" t="s">
        <v>3114</v>
      </c>
      <c r="G129" s="2997">
        <v>24322</v>
      </c>
      <c r="H129" s="2997" t="s">
        <v>3136</v>
      </c>
      <c r="I129" s="3000" t="s">
        <v>3594</v>
      </c>
      <c r="J129" s="3000" t="s">
        <v>3595</v>
      </c>
      <c r="K129" s="3000" t="s">
        <v>3596</v>
      </c>
      <c r="L129" s="3000">
        <v>9600</v>
      </c>
      <c r="M129" s="3000">
        <v>263.14</v>
      </c>
      <c r="N129" s="3000">
        <v>1315.68</v>
      </c>
      <c r="O129" s="3000">
        <v>31.56</v>
      </c>
      <c r="P129" s="3000" t="s">
        <v>3163</v>
      </c>
    </row>
    <row r="130" spans="1:16" hidden="1">
      <c r="A130" s="3000" t="s">
        <v>3903</v>
      </c>
      <c r="B130" s="3000" t="s">
        <v>3103</v>
      </c>
      <c r="C130" s="3000" t="s">
        <v>3112</v>
      </c>
      <c r="D130" s="3000" t="s">
        <v>3113</v>
      </c>
      <c r="E130" s="3000">
        <v>16076</v>
      </c>
      <c r="F130" s="3000" t="s">
        <v>3904</v>
      </c>
      <c r="G130" s="3000">
        <v>45396</v>
      </c>
      <c r="H130" s="3000" t="s">
        <v>3905</v>
      </c>
      <c r="I130" s="3000" t="s">
        <v>3906</v>
      </c>
      <c r="J130" s="3000" t="s">
        <v>3907</v>
      </c>
      <c r="K130" s="3000" t="s">
        <v>3908</v>
      </c>
      <c r="L130" s="3000">
        <v>45500</v>
      </c>
      <c r="M130" s="3000">
        <v>668.19</v>
      </c>
      <c r="N130" s="3000">
        <v>2838.42</v>
      </c>
      <c r="O130" s="3000">
        <v>57.69</v>
      </c>
      <c r="P130" s="3000" t="s">
        <v>3909</v>
      </c>
    </row>
    <row r="131" spans="1:16" hidden="1">
      <c r="A131" s="3000" t="s">
        <v>3782</v>
      </c>
      <c r="B131" s="3000" t="s">
        <v>3103</v>
      </c>
      <c r="C131" s="3000" t="s">
        <v>3104</v>
      </c>
      <c r="D131" s="3000" t="s">
        <v>3113</v>
      </c>
      <c r="E131" s="3000">
        <v>16074</v>
      </c>
      <c r="F131" s="3000" t="s">
        <v>3123</v>
      </c>
      <c r="G131" s="3000">
        <v>182809</v>
      </c>
      <c r="H131" s="3000" t="s">
        <v>3770</v>
      </c>
      <c r="I131" s="3000" t="s">
        <v>3215</v>
      </c>
      <c r="J131" s="3000" t="s">
        <v>3783</v>
      </c>
      <c r="K131" s="3000" t="s">
        <v>3784</v>
      </c>
      <c r="L131" s="3000">
        <v>59804</v>
      </c>
      <c r="M131" s="3000">
        <v>218.09</v>
      </c>
      <c r="N131" s="3000">
        <v>1203.4000000000001</v>
      </c>
      <c r="O131" s="3000">
        <v>0</v>
      </c>
      <c r="P131" s="3000" t="s">
        <v>3138</v>
      </c>
    </row>
    <row r="132" spans="1:16" hidden="1">
      <c r="A132" s="3000" t="s">
        <v>3785</v>
      </c>
      <c r="B132" s="3000" t="s">
        <v>3103</v>
      </c>
      <c r="C132" s="3000" t="s">
        <v>3104</v>
      </c>
      <c r="D132" s="3000" t="s">
        <v>3113</v>
      </c>
      <c r="E132" s="3000">
        <v>16064</v>
      </c>
      <c r="F132" s="3000" t="s">
        <v>3786</v>
      </c>
      <c r="G132" s="3000">
        <v>186241</v>
      </c>
      <c r="H132" s="3000" t="s">
        <v>3787</v>
      </c>
      <c r="I132" s="3000" t="s">
        <v>3425</v>
      </c>
      <c r="J132" s="3000" t="s">
        <v>3788</v>
      </c>
      <c r="K132" s="3000" t="s">
        <v>3430</v>
      </c>
      <c r="L132" s="3000">
        <v>31796</v>
      </c>
      <c r="M132" s="3000">
        <v>113.82</v>
      </c>
      <c r="N132" s="3000">
        <v>1230.1300000000001</v>
      </c>
      <c r="O132" s="3000">
        <v>0</v>
      </c>
      <c r="P132" s="3000" t="s">
        <v>3138</v>
      </c>
    </row>
    <row r="133" spans="1:16" hidden="1">
      <c r="A133" s="3000" t="s">
        <v>3789</v>
      </c>
      <c r="B133" s="3000" t="s">
        <v>3103</v>
      </c>
      <c r="C133" s="3000" t="s">
        <v>3112</v>
      </c>
      <c r="D133" s="3000" t="s">
        <v>3113</v>
      </c>
      <c r="E133" s="3000">
        <v>16062</v>
      </c>
      <c r="F133" s="3000" t="s">
        <v>3790</v>
      </c>
      <c r="G133" s="3000">
        <v>111980</v>
      </c>
      <c r="H133" s="3000" t="s">
        <v>3791</v>
      </c>
      <c r="I133" s="3000" t="s">
        <v>3425</v>
      </c>
      <c r="J133" s="3000" t="s">
        <v>3792</v>
      </c>
      <c r="K133" s="3000" t="s">
        <v>3430</v>
      </c>
      <c r="L133" s="3000">
        <v>21584</v>
      </c>
      <c r="M133" s="3000">
        <v>128.5</v>
      </c>
      <c r="N133" s="3000">
        <v>1046.6500000000001</v>
      </c>
      <c r="O133" s="3000">
        <v>0</v>
      </c>
      <c r="P133" s="3000" t="s">
        <v>3163</v>
      </c>
    </row>
    <row r="134" spans="1:16" hidden="1">
      <c r="A134" s="3000" t="s">
        <v>3793</v>
      </c>
      <c r="B134" s="3000" t="s">
        <v>3103</v>
      </c>
      <c r="C134" s="3000" t="s">
        <v>3112</v>
      </c>
      <c r="D134" s="3000" t="s">
        <v>3113</v>
      </c>
      <c r="E134" s="3000">
        <v>16063</v>
      </c>
      <c r="F134" s="3000" t="s">
        <v>3790</v>
      </c>
      <c r="G134" s="3000">
        <v>167341</v>
      </c>
      <c r="H134" s="3000" t="s">
        <v>3794</v>
      </c>
      <c r="I134" s="3000" t="s">
        <v>3425</v>
      </c>
      <c r="J134" s="3000" t="s">
        <v>3795</v>
      </c>
      <c r="K134" s="3000" t="s">
        <v>3430</v>
      </c>
      <c r="L134" s="3000">
        <v>37272</v>
      </c>
      <c r="M134" s="3000">
        <v>148.49</v>
      </c>
      <c r="N134" s="3000">
        <v>938.34</v>
      </c>
      <c r="O134" s="3000">
        <v>0</v>
      </c>
      <c r="P134" s="3000" t="s">
        <v>3163</v>
      </c>
    </row>
    <row r="135" spans="1:16">
      <c r="A135" s="3000" t="s">
        <v>3910</v>
      </c>
      <c r="B135" s="3000" t="s">
        <v>3103</v>
      </c>
      <c r="C135" s="3000" t="s">
        <v>3112</v>
      </c>
      <c r="D135" s="3000" t="s">
        <v>3113</v>
      </c>
      <c r="E135" s="3000">
        <v>16065</v>
      </c>
      <c r="F135" s="3000" t="s">
        <v>3114</v>
      </c>
      <c r="G135" s="2997">
        <v>148653</v>
      </c>
      <c r="H135" s="2997" t="s">
        <v>3911</v>
      </c>
      <c r="I135" s="3000" t="s">
        <v>3425</v>
      </c>
      <c r="J135" s="3000" t="s">
        <v>3912</v>
      </c>
      <c r="K135" s="3000" t="s">
        <v>3430</v>
      </c>
      <c r="L135" s="3000">
        <v>44875</v>
      </c>
      <c r="M135" s="3000">
        <v>201.25</v>
      </c>
      <c r="N135" s="3000">
        <v>822.08</v>
      </c>
      <c r="O135" s="3000">
        <v>0</v>
      </c>
      <c r="P135" s="3000" t="s">
        <v>3163</v>
      </c>
    </row>
    <row r="136" spans="1:16" hidden="1">
      <c r="A136" s="3000" t="s">
        <v>3913</v>
      </c>
      <c r="B136" s="3000" t="s">
        <v>3103</v>
      </c>
      <c r="C136" s="3000" t="s">
        <v>3104</v>
      </c>
      <c r="D136" s="3000" t="s">
        <v>3113</v>
      </c>
      <c r="E136" s="3000">
        <v>16061</v>
      </c>
      <c r="F136" s="3000" t="s">
        <v>3914</v>
      </c>
      <c r="G136" s="3000">
        <v>20852</v>
      </c>
      <c r="H136" s="3000" t="s">
        <v>3915</v>
      </c>
      <c r="I136" s="3000" t="s">
        <v>3219</v>
      </c>
      <c r="J136" s="3000" t="s">
        <v>3916</v>
      </c>
      <c r="K136" s="3000" t="s">
        <v>3917</v>
      </c>
      <c r="L136" s="3000">
        <v>23200</v>
      </c>
      <c r="M136" s="3000">
        <v>741.74</v>
      </c>
      <c r="N136" s="3000">
        <v>4023.17</v>
      </c>
      <c r="O136" s="3000">
        <v>60.48</v>
      </c>
      <c r="P136" s="3000" t="s">
        <v>3918</v>
      </c>
    </row>
    <row r="137" spans="1:16" hidden="1">
      <c r="A137" s="3000" t="s">
        <v>3150</v>
      </c>
      <c r="B137" s="3000" t="s">
        <v>3103</v>
      </c>
      <c r="C137" s="3000" t="s">
        <v>3104</v>
      </c>
      <c r="D137" s="3000" t="s">
        <v>3113</v>
      </c>
      <c r="E137" s="3000">
        <v>16055</v>
      </c>
      <c r="F137" s="3000" t="s">
        <v>3151</v>
      </c>
      <c r="G137" s="3000">
        <v>202639</v>
      </c>
      <c r="H137" s="3000" t="s">
        <v>3152</v>
      </c>
      <c r="I137" s="3000" t="s">
        <v>3153</v>
      </c>
      <c r="J137" s="3000" t="s">
        <v>3919</v>
      </c>
      <c r="K137" s="3000" t="s">
        <v>3154</v>
      </c>
      <c r="L137" s="3000">
        <v>340000</v>
      </c>
      <c r="M137" s="3000">
        <v>1118.57</v>
      </c>
      <c r="N137" s="3000">
        <v>4611.72</v>
      </c>
      <c r="O137" s="3000">
        <v>22.82</v>
      </c>
      <c r="P137" s="3000" t="s">
        <v>3155</v>
      </c>
    </row>
    <row r="138" spans="1:16" hidden="1">
      <c r="A138" s="3000" t="s">
        <v>3156</v>
      </c>
      <c r="B138" s="3000" t="s">
        <v>3103</v>
      </c>
      <c r="C138" s="3000" t="s">
        <v>3104</v>
      </c>
      <c r="D138" s="3000" t="s">
        <v>3113</v>
      </c>
      <c r="E138" s="3000">
        <v>16056</v>
      </c>
      <c r="F138" s="3000" t="s">
        <v>3157</v>
      </c>
      <c r="G138" s="3000">
        <v>175108</v>
      </c>
      <c r="H138" s="3000" t="s">
        <v>3158</v>
      </c>
      <c r="I138" s="3000" t="s">
        <v>3153</v>
      </c>
      <c r="J138" s="3000" t="s">
        <v>3920</v>
      </c>
      <c r="K138" s="3000" t="s">
        <v>3159</v>
      </c>
      <c r="L138" s="3000">
        <v>408000</v>
      </c>
      <c r="M138" s="3000">
        <v>1553.33</v>
      </c>
      <c r="N138" s="3000">
        <v>5915.6</v>
      </c>
      <c r="O138" s="3000">
        <v>36.49</v>
      </c>
      <c r="P138" s="3000" t="s">
        <v>3155</v>
      </c>
    </row>
    <row r="139" spans="1:16" hidden="1">
      <c r="A139" s="3000" t="s">
        <v>3921</v>
      </c>
      <c r="B139" s="3000" t="s">
        <v>3103</v>
      </c>
      <c r="C139" s="3000" t="s">
        <v>3104</v>
      </c>
      <c r="D139" s="3000" t="s">
        <v>3113</v>
      </c>
      <c r="E139" s="3000">
        <v>16058</v>
      </c>
      <c r="F139" s="3000" t="s">
        <v>3123</v>
      </c>
      <c r="G139" s="3000">
        <v>6492</v>
      </c>
      <c r="H139" s="3000" t="s">
        <v>3922</v>
      </c>
      <c r="I139" s="3000" t="s">
        <v>3153</v>
      </c>
      <c r="J139" s="3000" t="s">
        <v>3923</v>
      </c>
      <c r="K139" s="3000" t="s">
        <v>3924</v>
      </c>
      <c r="L139" s="3000">
        <v>7802</v>
      </c>
      <c r="M139" s="3000">
        <v>801.19</v>
      </c>
      <c r="N139" s="3000">
        <v>3162.55</v>
      </c>
      <c r="O139" s="3000">
        <v>0</v>
      </c>
      <c r="P139" s="3000" t="s">
        <v>3155</v>
      </c>
    </row>
    <row r="140" spans="1:16">
      <c r="A140" s="3000" t="s">
        <v>3160</v>
      </c>
      <c r="B140" s="3000" t="s">
        <v>3103</v>
      </c>
      <c r="C140" s="3000" t="s">
        <v>3112</v>
      </c>
      <c r="D140" s="3000" t="s">
        <v>3113</v>
      </c>
      <c r="E140" s="3000">
        <v>16053</v>
      </c>
      <c r="F140" s="3000" t="s">
        <v>3114</v>
      </c>
      <c r="G140" s="2997">
        <v>40621</v>
      </c>
      <c r="H140" s="2997" t="s">
        <v>3141</v>
      </c>
      <c r="I140" s="3000" t="s">
        <v>3161</v>
      </c>
      <c r="J140" s="3000" t="s">
        <v>3925</v>
      </c>
      <c r="K140" s="3000" t="s">
        <v>3162</v>
      </c>
      <c r="L140" s="3000">
        <v>97000</v>
      </c>
      <c r="M140" s="3000">
        <v>1591.95</v>
      </c>
      <c r="N140" s="3000">
        <v>6822.63</v>
      </c>
      <c r="O140" s="3000">
        <v>58.01</v>
      </c>
      <c r="P140" s="3000" t="s">
        <v>3163</v>
      </c>
    </row>
    <row r="141" spans="1:16" hidden="1">
      <c r="A141" s="3000" t="s">
        <v>3926</v>
      </c>
      <c r="B141" s="3000" t="s">
        <v>3103</v>
      </c>
      <c r="C141" s="3000" t="s">
        <v>3112</v>
      </c>
      <c r="D141" s="3000" t="s">
        <v>3113</v>
      </c>
      <c r="E141" s="3000">
        <v>16051</v>
      </c>
      <c r="F141" s="3000" t="s">
        <v>3114</v>
      </c>
      <c r="G141" s="3000">
        <v>59685</v>
      </c>
      <c r="H141" s="3000" t="s">
        <v>3927</v>
      </c>
      <c r="I141" s="3000" t="s">
        <v>3928</v>
      </c>
      <c r="J141" s="3000" t="s">
        <v>3929</v>
      </c>
      <c r="K141" s="3000" t="s">
        <v>3930</v>
      </c>
      <c r="L141" s="3000">
        <v>43000</v>
      </c>
      <c r="M141" s="3000">
        <v>480.3</v>
      </c>
      <c r="N141" s="3000">
        <v>4901.01</v>
      </c>
      <c r="O141" s="3000">
        <v>1.57</v>
      </c>
      <c r="P141" s="3000" t="s">
        <v>3163</v>
      </c>
    </row>
    <row r="142" spans="1:16" hidden="1">
      <c r="A142" s="3000" t="s">
        <v>3931</v>
      </c>
      <c r="B142" s="3000" t="s">
        <v>3103</v>
      </c>
      <c r="C142" s="3000" t="s">
        <v>3112</v>
      </c>
      <c r="D142" s="3000" t="s">
        <v>3113</v>
      </c>
      <c r="E142" s="3000">
        <v>16049</v>
      </c>
      <c r="F142" s="3000" t="s">
        <v>3904</v>
      </c>
      <c r="G142" s="3000">
        <v>20160</v>
      </c>
      <c r="H142" s="3000" t="s">
        <v>3261</v>
      </c>
      <c r="I142" s="3000" t="s">
        <v>3928</v>
      </c>
      <c r="J142" s="3000" t="s">
        <v>3932</v>
      </c>
      <c r="K142" s="3000" t="s">
        <v>3805</v>
      </c>
      <c r="L142" s="3000">
        <v>6533</v>
      </c>
      <c r="M142" s="3000">
        <v>216.04</v>
      </c>
      <c r="N142" s="3000">
        <v>1620.21</v>
      </c>
      <c r="O142" s="3000">
        <v>0</v>
      </c>
      <c r="P142" s="3000" t="s">
        <v>3163</v>
      </c>
    </row>
    <row r="143" spans="1:16" hidden="1">
      <c r="A143" s="3000" t="s">
        <v>3933</v>
      </c>
      <c r="B143" s="3000" t="s">
        <v>3103</v>
      </c>
      <c r="C143" s="3000" t="s">
        <v>3104</v>
      </c>
      <c r="D143" s="3000" t="s">
        <v>3113</v>
      </c>
      <c r="E143" s="3000">
        <v>16046</v>
      </c>
      <c r="F143" s="3000" t="s">
        <v>3934</v>
      </c>
      <c r="G143" s="3000">
        <v>150519</v>
      </c>
      <c r="H143" s="3000" t="s">
        <v>3935</v>
      </c>
      <c r="I143" s="3000" t="s">
        <v>3936</v>
      </c>
      <c r="J143" s="3000" t="s">
        <v>3937</v>
      </c>
      <c r="K143" s="3000" t="s">
        <v>3938</v>
      </c>
      <c r="L143" s="3000">
        <v>117000</v>
      </c>
      <c r="M143" s="3000">
        <v>518.21</v>
      </c>
      <c r="N143" s="3000">
        <v>2636.44</v>
      </c>
      <c r="O143" s="3000">
        <v>0.37</v>
      </c>
      <c r="P143" s="3000" t="s">
        <v>3138</v>
      </c>
    </row>
    <row r="144" spans="1:16" hidden="1">
      <c r="A144" s="3000" t="s">
        <v>3939</v>
      </c>
      <c r="B144" s="3000" t="s">
        <v>3103</v>
      </c>
      <c r="C144" s="3000" t="s">
        <v>3104</v>
      </c>
      <c r="D144" s="3000" t="s">
        <v>3113</v>
      </c>
      <c r="E144" s="3000">
        <v>16044</v>
      </c>
      <c r="F144" s="3000" t="s">
        <v>3123</v>
      </c>
      <c r="G144" s="3000">
        <v>100001</v>
      </c>
      <c r="H144" s="3000" t="s">
        <v>3237</v>
      </c>
      <c r="I144" s="3000" t="s">
        <v>3940</v>
      </c>
      <c r="J144" s="3000" t="s">
        <v>3941</v>
      </c>
      <c r="K144" s="3000" t="s">
        <v>3942</v>
      </c>
      <c r="L144" s="3000">
        <v>68255</v>
      </c>
      <c r="M144" s="3000">
        <v>455.03</v>
      </c>
      <c r="N144" s="3000">
        <v>2730.15</v>
      </c>
      <c r="O144" s="3000">
        <v>0</v>
      </c>
      <c r="P144" s="3000" t="s">
        <v>3149</v>
      </c>
    </row>
    <row r="145" spans="1:16" hidden="1">
      <c r="A145" s="3000" t="s">
        <v>3943</v>
      </c>
      <c r="B145" s="3000" t="s">
        <v>3103</v>
      </c>
      <c r="C145" s="3000" t="s">
        <v>3104</v>
      </c>
      <c r="D145" s="3000" t="s">
        <v>3113</v>
      </c>
      <c r="E145" s="3000">
        <v>16045</v>
      </c>
      <c r="F145" s="3000" t="s">
        <v>3123</v>
      </c>
      <c r="G145" s="3000">
        <v>165519</v>
      </c>
      <c r="H145" s="3000" t="s">
        <v>3899</v>
      </c>
      <c r="I145" s="3000" t="s">
        <v>3940</v>
      </c>
      <c r="J145" s="3000" t="s">
        <v>3944</v>
      </c>
      <c r="K145" s="3000" t="s">
        <v>3942</v>
      </c>
      <c r="L145" s="3000">
        <v>99338</v>
      </c>
      <c r="M145" s="3000">
        <v>400.11</v>
      </c>
      <c r="N145" s="3000">
        <v>3716.46</v>
      </c>
      <c r="O145" s="3000">
        <v>0</v>
      </c>
      <c r="P145" s="3000" t="s">
        <v>3149</v>
      </c>
    </row>
    <row r="146" spans="1:16" hidden="1">
      <c r="A146" s="3000" t="s">
        <v>3945</v>
      </c>
      <c r="B146" s="3000" t="s">
        <v>3103</v>
      </c>
      <c r="C146" s="3000" t="s">
        <v>3104</v>
      </c>
      <c r="D146" s="3000" t="s">
        <v>3113</v>
      </c>
      <c r="E146" s="3000">
        <v>16043</v>
      </c>
      <c r="F146" s="3000" t="s">
        <v>3123</v>
      </c>
      <c r="G146" s="3000">
        <v>163573</v>
      </c>
      <c r="H146" s="3000" t="s">
        <v>3946</v>
      </c>
      <c r="I146" s="3000" t="s">
        <v>3940</v>
      </c>
      <c r="J146" s="3000" t="s">
        <v>3947</v>
      </c>
      <c r="K146" s="3000" t="s">
        <v>3942</v>
      </c>
      <c r="L146" s="3000">
        <v>110764</v>
      </c>
      <c r="M146" s="3000">
        <v>451.44</v>
      </c>
      <c r="N146" s="3000">
        <v>2764.11</v>
      </c>
      <c r="O146" s="3000">
        <v>0</v>
      </c>
      <c r="P146" s="3000" t="s">
        <v>3149</v>
      </c>
    </row>
    <row r="147" spans="1:16" hidden="1">
      <c r="A147" s="3000" t="s">
        <v>3948</v>
      </c>
      <c r="B147" s="3000" t="s">
        <v>3103</v>
      </c>
      <c r="C147" s="3000" t="s">
        <v>3112</v>
      </c>
      <c r="D147" s="3000" t="s">
        <v>3113</v>
      </c>
      <c r="E147" s="3000">
        <v>16034</v>
      </c>
      <c r="F147" s="3000" t="s">
        <v>3114</v>
      </c>
      <c r="G147" s="3000">
        <v>147699</v>
      </c>
      <c r="H147" s="3000" t="s">
        <v>3241</v>
      </c>
      <c r="I147" s="3000" t="s">
        <v>3441</v>
      </c>
      <c r="J147" s="3000" t="s">
        <v>3949</v>
      </c>
      <c r="K147" s="3000" t="s">
        <v>3950</v>
      </c>
      <c r="L147" s="3000">
        <v>120000</v>
      </c>
      <c r="M147" s="3000">
        <v>541.64</v>
      </c>
      <c r="N147" s="3000">
        <v>4062.32</v>
      </c>
      <c r="O147" s="3000">
        <v>37.25</v>
      </c>
      <c r="P147" s="3000" t="s">
        <v>3110</v>
      </c>
    </row>
    <row r="148" spans="1:16" hidden="1">
      <c r="A148" s="3000" t="s">
        <v>3951</v>
      </c>
      <c r="B148" s="3000" t="s">
        <v>3103</v>
      </c>
      <c r="C148" s="3000" t="s">
        <v>3112</v>
      </c>
      <c r="D148" s="3000" t="s">
        <v>3113</v>
      </c>
      <c r="E148" s="3000">
        <v>16037</v>
      </c>
      <c r="F148" s="3000" t="s">
        <v>3729</v>
      </c>
      <c r="G148" s="3000">
        <v>156205</v>
      </c>
      <c r="H148" s="3000" t="s">
        <v>3952</v>
      </c>
      <c r="I148" s="3000" t="s">
        <v>3441</v>
      </c>
      <c r="J148" s="3000" t="s">
        <v>3953</v>
      </c>
      <c r="K148" s="3000" t="s">
        <v>3553</v>
      </c>
      <c r="L148" s="3000">
        <v>119000</v>
      </c>
      <c r="M148" s="3000">
        <v>507.88</v>
      </c>
      <c r="N148" s="3000">
        <v>7618.18</v>
      </c>
      <c r="O148" s="3000">
        <v>70.540000000000006</v>
      </c>
      <c r="P148" s="3000" t="s">
        <v>3110</v>
      </c>
    </row>
    <row r="149" spans="1:16" hidden="1">
      <c r="A149" s="3000" t="s">
        <v>3954</v>
      </c>
      <c r="B149" s="3000" t="s">
        <v>3103</v>
      </c>
      <c r="C149" s="3000" t="s">
        <v>3112</v>
      </c>
      <c r="D149" s="3000" t="s">
        <v>3113</v>
      </c>
      <c r="E149" s="3000">
        <v>16032</v>
      </c>
      <c r="F149" s="3000" t="s">
        <v>3114</v>
      </c>
      <c r="G149" s="3000">
        <v>19318</v>
      </c>
      <c r="H149" s="3000" t="s">
        <v>3955</v>
      </c>
      <c r="I149" s="3000" t="s">
        <v>3441</v>
      </c>
      <c r="J149" s="3000" t="s">
        <v>3956</v>
      </c>
      <c r="K149" s="3000" t="s">
        <v>3957</v>
      </c>
      <c r="L149" s="3000">
        <v>13407</v>
      </c>
      <c r="M149" s="3000">
        <v>462.68</v>
      </c>
      <c r="N149" s="3000">
        <v>2478.63</v>
      </c>
      <c r="O149" s="3000">
        <v>0</v>
      </c>
      <c r="P149" s="3000" t="s">
        <v>3110</v>
      </c>
    </row>
    <row r="150" spans="1:16" hidden="1">
      <c r="A150" s="3000" t="s">
        <v>3958</v>
      </c>
      <c r="B150" s="3000" t="s">
        <v>3103</v>
      </c>
      <c r="C150" s="3000" t="s">
        <v>3112</v>
      </c>
      <c r="D150" s="3000" t="s">
        <v>3113</v>
      </c>
      <c r="E150" s="3000">
        <v>16036</v>
      </c>
      <c r="F150" s="3000" t="s">
        <v>3114</v>
      </c>
      <c r="G150" s="3000">
        <v>144870</v>
      </c>
      <c r="H150" s="3000" t="s">
        <v>3241</v>
      </c>
      <c r="I150" s="3000" t="s">
        <v>3441</v>
      </c>
      <c r="J150" s="3000" t="s">
        <v>3959</v>
      </c>
      <c r="K150" s="3000" t="s">
        <v>3950</v>
      </c>
      <c r="L150" s="3000">
        <v>149000</v>
      </c>
      <c r="M150" s="3000">
        <v>685.67</v>
      </c>
      <c r="N150" s="3000">
        <v>5142.53</v>
      </c>
      <c r="O150" s="3000">
        <v>60.83</v>
      </c>
      <c r="P150" s="3000" t="s">
        <v>3110</v>
      </c>
    </row>
    <row r="151" spans="1:16" hidden="1">
      <c r="A151" s="3000" t="s">
        <v>3960</v>
      </c>
      <c r="B151" s="3000" t="s">
        <v>3103</v>
      </c>
      <c r="C151" s="3000" t="s">
        <v>3112</v>
      </c>
      <c r="D151" s="3000" t="s">
        <v>3113</v>
      </c>
      <c r="E151" s="3000">
        <v>16035</v>
      </c>
      <c r="F151" s="3000" t="s">
        <v>3114</v>
      </c>
      <c r="G151" s="3000">
        <v>124630</v>
      </c>
      <c r="H151" s="3000" t="s">
        <v>3241</v>
      </c>
      <c r="I151" s="3000" t="s">
        <v>3441</v>
      </c>
      <c r="J151" s="3000" t="s">
        <v>3961</v>
      </c>
      <c r="K151" s="3000" t="s">
        <v>3962</v>
      </c>
      <c r="L151" s="3000">
        <v>88000</v>
      </c>
      <c r="M151" s="3000">
        <v>470.73</v>
      </c>
      <c r="N151" s="3000">
        <v>3530.44</v>
      </c>
      <c r="O151" s="3000">
        <v>21.21</v>
      </c>
      <c r="P151" s="3000" t="s">
        <v>3110</v>
      </c>
    </row>
    <row r="152" spans="1:16" hidden="1">
      <c r="A152" s="3001" t="s">
        <v>3963</v>
      </c>
      <c r="B152" s="3001" t="s">
        <v>3103</v>
      </c>
      <c r="C152" s="3001" t="s">
        <v>3112</v>
      </c>
      <c r="D152" s="3001" t="s">
        <v>3113</v>
      </c>
      <c r="E152" s="3001">
        <v>16030</v>
      </c>
      <c r="F152" s="3001" t="s">
        <v>3114</v>
      </c>
      <c r="G152" s="3001">
        <v>117240</v>
      </c>
      <c r="H152" s="3001" t="s">
        <v>3302</v>
      </c>
      <c r="I152" s="3001" t="s">
        <v>3964</v>
      </c>
      <c r="J152" s="3001" t="s">
        <v>3965</v>
      </c>
      <c r="K152" s="3001" t="s">
        <v>3457</v>
      </c>
      <c r="L152" s="3001">
        <v>32593</v>
      </c>
      <c r="M152" s="3001">
        <v>185.33</v>
      </c>
      <c r="N152" s="3001">
        <v>1390</v>
      </c>
      <c r="O152" s="3001">
        <v>0</v>
      </c>
      <c r="P152" s="3001" t="s">
        <v>3163</v>
      </c>
    </row>
    <row r="153" spans="1:16" hidden="1">
      <c r="A153" s="3001" t="s">
        <v>3966</v>
      </c>
      <c r="B153" s="3001" t="s">
        <v>3103</v>
      </c>
      <c r="C153" s="3001" t="s">
        <v>3104</v>
      </c>
      <c r="D153" s="3001" t="s">
        <v>3113</v>
      </c>
      <c r="E153" s="3001">
        <v>16029</v>
      </c>
      <c r="F153" s="3001" t="s">
        <v>3967</v>
      </c>
      <c r="G153" s="3001">
        <v>11878</v>
      </c>
      <c r="H153" s="3001" t="s">
        <v>3968</v>
      </c>
      <c r="I153" s="3001" t="s">
        <v>3964</v>
      </c>
      <c r="J153" s="3001" t="s">
        <v>3969</v>
      </c>
      <c r="K153" s="3001" t="s">
        <v>3760</v>
      </c>
      <c r="L153" s="3001">
        <v>26000</v>
      </c>
      <c r="M153" s="3001">
        <v>1459.28</v>
      </c>
      <c r="N153" s="3001">
        <v>5472.3</v>
      </c>
      <c r="O153" s="3001">
        <v>62.87</v>
      </c>
      <c r="P153" s="3001" t="s">
        <v>3970</v>
      </c>
    </row>
    <row r="154" spans="1:16" hidden="1">
      <c r="A154" s="3001" t="s">
        <v>3971</v>
      </c>
      <c r="B154" s="3001" t="s">
        <v>3103</v>
      </c>
      <c r="C154" s="3001" t="s">
        <v>3112</v>
      </c>
      <c r="D154" s="3001" t="s">
        <v>3113</v>
      </c>
      <c r="E154" s="3001">
        <v>16027</v>
      </c>
      <c r="F154" s="3001" t="s">
        <v>3790</v>
      </c>
      <c r="G154" s="3001">
        <v>133461</v>
      </c>
      <c r="H154" s="3001" t="s">
        <v>3972</v>
      </c>
      <c r="I154" s="3001" t="s">
        <v>3973</v>
      </c>
      <c r="J154" s="3001" t="s">
        <v>3974</v>
      </c>
      <c r="K154" s="3001" t="s">
        <v>3394</v>
      </c>
      <c r="L154" s="3001">
        <v>35523</v>
      </c>
      <c r="M154" s="3001">
        <v>177.45</v>
      </c>
      <c r="N154" s="3001">
        <v>1182.97</v>
      </c>
      <c r="O154" s="3001">
        <v>0</v>
      </c>
      <c r="P154" s="3001" t="s">
        <v>3163</v>
      </c>
    </row>
    <row r="155" spans="1:16">
      <c r="A155" s="3001" t="s">
        <v>3975</v>
      </c>
      <c r="B155" s="3001" t="s">
        <v>3103</v>
      </c>
      <c r="C155" s="3001" t="s">
        <v>3112</v>
      </c>
      <c r="D155" s="3001" t="s">
        <v>3113</v>
      </c>
      <c r="E155" s="3001">
        <v>16026</v>
      </c>
      <c r="F155" s="3001" t="s">
        <v>3114</v>
      </c>
      <c r="G155" s="2997">
        <v>72982</v>
      </c>
      <c r="H155" s="2997" t="s">
        <v>3968</v>
      </c>
      <c r="I155" s="3001" t="s">
        <v>3973</v>
      </c>
      <c r="J155" s="3001" t="s">
        <v>3976</v>
      </c>
      <c r="K155" s="3001" t="s">
        <v>3394</v>
      </c>
      <c r="L155" s="3001">
        <v>28755</v>
      </c>
      <c r="M155" s="3001">
        <v>262.67</v>
      </c>
      <c r="N155" s="3001">
        <v>985</v>
      </c>
      <c r="O155" s="3001">
        <v>0</v>
      </c>
      <c r="P155" s="3001" t="s">
        <v>3163</v>
      </c>
    </row>
    <row r="156" spans="1:16">
      <c r="A156" s="3001" t="s">
        <v>3977</v>
      </c>
      <c r="B156" s="3001" t="s">
        <v>3103</v>
      </c>
      <c r="C156" s="3001" t="s">
        <v>3112</v>
      </c>
      <c r="D156" s="3001" t="s">
        <v>3113</v>
      </c>
      <c r="E156" s="3001">
        <v>16028</v>
      </c>
      <c r="F156" s="3001" t="s">
        <v>3790</v>
      </c>
      <c r="G156" s="2997">
        <v>165861</v>
      </c>
      <c r="H156" s="2997" t="s">
        <v>3978</v>
      </c>
      <c r="I156" s="3001" t="s">
        <v>3973</v>
      </c>
      <c r="J156" s="3001" t="s">
        <v>3979</v>
      </c>
      <c r="K156" s="3001" t="s">
        <v>3394</v>
      </c>
      <c r="L156" s="3001">
        <v>54634</v>
      </c>
      <c r="M156" s="3001">
        <v>219.6</v>
      </c>
      <c r="N156" s="3001">
        <v>1042.3900000000001</v>
      </c>
      <c r="O156" s="3001">
        <v>0</v>
      </c>
      <c r="P156" s="3001" t="s">
        <v>3163</v>
      </c>
    </row>
    <row r="157" spans="1:16">
      <c r="A157" s="3001" t="s">
        <v>3980</v>
      </c>
      <c r="B157" s="3001" t="s">
        <v>3103</v>
      </c>
      <c r="C157" s="3001" t="s">
        <v>3112</v>
      </c>
      <c r="D157" s="3001" t="s">
        <v>3113</v>
      </c>
      <c r="E157" s="3001">
        <v>16013</v>
      </c>
      <c r="F157" s="3001" t="s">
        <v>3114</v>
      </c>
      <c r="G157" s="2997">
        <v>109172</v>
      </c>
      <c r="H157" s="2997" t="s">
        <v>3981</v>
      </c>
      <c r="I157" s="3001" t="s">
        <v>3228</v>
      </c>
      <c r="J157" s="3001" t="s">
        <v>3982</v>
      </c>
      <c r="K157" s="3001" t="s">
        <v>3230</v>
      </c>
      <c r="L157" s="3001">
        <v>45795</v>
      </c>
      <c r="M157" s="3001">
        <v>279.64999999999998</v>
      </c>
      <c r="N157" s="3001">
        <v>1398.25</v>
      </c>
      <c r="O157" s="3001">
        <v>0</v>
      </c>
      <c r="P157" s="3001" t="s">
        <v>3110</v>
      </c>
    </row>
    <row r="158" spans="1:16" hidden="1">
      <c r="A158" s="3001" t="s">
        <v>3983</v>
      </c>
      <c r="B158" s="3001" t="s">
        <v>3103</v>
      </c>
      <c r="C158" s="3001" t="s">
        <v>3104</v>
      </c>
      <c r="D158" s="3001" t="s">
        <v>3113</v>
      </c>
      <c r="E158" s="3001">
        <v>16015</v>
      </c>
      <c r="F158" s="3001" t="s">
        <v>3145</v>
      </c>
      <c r="G158" s="3001">
        <v>9343</v>
      </c>
      <c r="H158" s="3001" t="s">
        <v>3984</v>
      </c>
      <c r="I158" s="3001" t="s">
        <v>3228</v>
      </c>
      <c r="J158" s="3001" t="s">
        <v>3985</v>
      </c>
      <c r="K158" s="3001" t="s">
        <v>3986</v>
      </c>
      <c r="L158" s="3001">
        <v>15371</v>
      </c>
      <c r="M158" s="3001">
        <v>1096.79</v>
      </c>
      <c r="N158" s="3001">
        <v>3852.9</v>
      </c>
      <c r="O158" s="3001">
        <v>0</v>
      </c>
      <c r="P158" s="3001" t="s">
        <v>3110</v>
      </c>
    </row>
    <row r="159" spans="1:16" hidden="1">
      <c r="A159" s="3001" t="s">
        <v>3987</v>
      </c>
      <c r="B159" s="3001" t="s">
        <v>3103</v>
      </c>
      <c r="C159" s="3001" t="s">
        <v>3112</v>
      </c>
      <c r="D159" s="3001" t="s">
        <v>3113</v>
      </c>
      <c r="E159" s="3001">
        <v>16018</v>
      </c>
      <c r="F159" s="3001" t="s">
        <v>3114</v>
      </c>
      <c r="G159" s="3001">
        <v>224940</v>
      </c>
      <c r="H159" s="3001" t="s">
        <v>3988</v>
      </c>
      <c r="I159" s="3001" t="s">
        <v>3228</v>
      </c>
      <c r="J159" s="3001" t="s">
        <v>3989</v>
      </c>
      <c r="K159" s="3001" t="s">
        <v>3930</v>
      </c>
      <c r="L159" s="3001">
        <v>255000</v>
      </c>
      <c r="M159" s="3001">
        <v>755.76</v>
      </c>
      <c r="N159" s="3001">
        <v>7608.28</v>
      </c>
      <c r="O159" s="3001">
        <v>63.39</v>
      </c>
      <c r="P159" s="3001" t="s">
        <v>3110</v>
      </c>
    </row>
    <row r="160" spans="1:16" hidden="1">
      <c r="A160" s="3001" t="s">
        <v>3990</v>
      </c>
      <c r="B160" s="3001" t="s">
        <v>3103</v>
      </c>
      <c r="C160" s="3001" t="s">
        <v>3112</v>
      </c>
      <c r="D160" s="3001" t="s">
        <v>3113</v>
      </c>
      <c r="E160" s="3001">
        <v>16017</v>
      </c>
      <c r="F160" s="3001" t="s">
        <v>3114</v>
      </c>
      <c r="G160" s="3001">
        <v>44713</v>
      </c>
      <c r="H160" s="3001" t="s">
        <v>3241</v>
      </c>
      <c r="I160" s="3001" t="s">
        <v>3228</v>
      </c>
      <c r="J160" s="3001" t="s">
        <v>3991</v>
      </c>
      <c r="K160" s="3001" t="s">
        <v>3992</v>
      </c>
      <c r="L160" s="3001">
        <v>14085</v>
      </c>
      <c r="M160" s="3001">
        <v>210.01</v>
      </c>
      <c r="N160" s="3001">
        <v>1575.04</v>
      </c>
      <c r="O160" s="3001">
        <v>0</v>
      </c>
      <c r="P160" s="3001" t="s">
        <v>3110</v>
      </c>
    </row>
    <row r="161" spans="1:16">
      <c r="A161" s="3001" t="s">
        <v>3993</v>
      </c>
      <c r="B161" s="3001" t="s">
        <v>3103</v>
      </c>
      <c r="C161" s="3001" t="s">
        <v>3112</v>
      </c>
      <c r="D161" s="3001" t="s">
        <v>3113</v>
      </c>
      <c r="E161" s="3001">
        <v>16014</v>
      </c>
      <c r="F161" s="3001" t="s">
        <v>3114</v>
      </c>
      <c r="G161" s="2997">
        <v>181387</v>
      </c>
      <c r="H161" s="2997" t="s">
        <v>3981</v>
      </c>
      <c r="I161" s="3001" t="s">
        <v>3228</v>
      </c>
      <c r="J161" s="3001" t="s">
        <v>3994</v>
      </c>
      <c r="K161" s="3001" t="s">
        <v>3230</v>
      </c>
      <c r="L161" s="3001">
        <v>77765</v>
      </c>
      <c r="M161" s="3001">
        <v>285.82</v>
      </c>
      <c r="N161" s="3001">
        <v>1429.07</v>
      </c>
      <c r="O161" s="3001">
        <v>0</v>
      </c>
      <c r="P161" s="3001" t="s">
        <v>3110</v>
      </c>
    </row>
    <row r="162" spans="1:16" hidden="1">
      <c r="A162" s="3001" t="s">
        <v>3995</v>
      </c>
      <c r="B162" s="3001" t="s">
        <v>3103</v>
      </c>
      <c r="C162" s="3001" t="s">
        <v>3104</v>
      </c>
      <c r="D162" s="3001" t="s">
        <v>3113</v>
      </c>
      <c r="E162" s="3001">
        <v>16011</v>
      </c>
      <c r="F162" s="3001" t="s">
        <v>3996</v>
      </c>
      <c r="G162" s="3001">
        <v>11527</v>
      </c>
      <c r="H162" s="3001" t="s">
        <v>3997</v>
      </c>
      <c r="I162" s="3001" t="s">
        <v>3998</v>
      </c>
      <c r="J162" s="3001" t="s">
        <v>3999</v>
      </c>
      <c r="K162" s="3001" t="s">
        <v>4000</v>
      </c>
      <c r="L162" s="3001">
        <v>3966</v>
      </c>
      <c r="M162" s="3001">
        <v>229.37</v>
      </c>
      <c r="N162" s="3001">
        <v>1720.3</v>
      </c>
      <c r="O162" s="3001">
        <v>0</v>
      </c>
      <c r="P162" s="3001" t="s">
        <v>3745</v>
      </c>
    </row>
    <row r="163" spans="1:16">
      <c r="A163" s="3001" t="s">
        <v>3164</v>
      </c>
      <c r="B163" s="3001" t="s">
        <v>3103</v>
      </c>
      <c r="C163" s="3001" t="s">
        <v>3112</v>
      </c>
      <c r="D163" s="3001" t="s">
        <v>3113</v>
      </c>
      <c r="E163" s="3001">
        <v>16006</v>
      </c>
      <c r="F163" s="3001" t="s">
        <v>3114</v>
      </c>
      <c r="G163" s="2997">
        <v>20123</v>
      </c>
      <c r="H163" s="2997" t="s">
        <v>3141</v>
      </c>
      <c r="I163" s="3001" t="s">
        <v>3165</v>
      </c>
      <c r="J163" s="3001" t="s">
        <v>4001</v>
      </c>
      <c r="K163" s="3001" t="s">
        <v>3166</v>
      </c>
      <c r="L163" s="3001">
        <v>9076</v>
      </c>
      <c r="M163" s="3001">
        <v>300.68</v>
      </c>
      <c r="N163" s="3001">
        <v>1288.6400000000001</v>
      </c>
      <c r="O163" s="3001">
        <v>0</v>
      </c>
      <c r="P163" s="3001" t="s">
        <v>3163</v>
      </c>
    </row>
    <row r="164" spans="1:16" hidden="1">
      <c r="A164" s="3001" t="s">
        <v>4002</v>
      </c>
      <c r="B164" s="3001" t="s">
        <v>3103</v>
      </c>
      <c r="C164" s="3001" t="s">
        <v>3104</v>
      </c>
      <c r="D164" s="3001" t="s">
        <v>3113</v>
      </c>
      <c r="E164" s="3001">
        <v>16002</v>
      </c>
      <c r="F164" s="3001" t="s">
        <v>4003</v>
      </c>
      <c r="G164" s="3001">
        <v>42310</v>
      </c>
      <c r="H164" s="3001" t="s">
        <v>4004</v>
      </c>
      <c r="I164" s="3001" t="s">
        <v>4005</v>
      </c>
      <c r="J164" s="3001" t="s">
        <v>4006</v>
      </c>
      <c r="K164" s="3001" t="s">
        <v>4007</v>
      </c>
      <c r="L164" s="3001">
        <v>36644</v>
      </c>
      <c r="M164" s="3001">
        <v>577.39</v>
      </c>
      <c r="N164" s="3001">
        <v>2500</v>
      </c>
      <c r="O164" s="3001">
        <v>0</v>
      </c>
      <c r="P164" s="3001" t="s">
        <v>4008</v>
      </c>
    </row>
    <row r="165" spans="1:16" hidden="1">
      <c r="A165" s="3001" t="s">
        <v>4009</v>
      </c>
      <c r="B165" s="3001" t="s">
        <v>3103</v>
      </c>
      <c r="C165" s="3001" t="s">
        <v>3112</v>
      </c>
      <c r="D165" s="3001" t="s">
        <v>3113</v>
      </c>
      <c r="E165" s="3001">
        <v>16001</v>
      </c>
      <c r="F165" s="3001" t="s">
        <v>3114</v>
      </c>
      <c r="G165" s="3001">
        <v>5348</v>
      </c>
      <c r="H165" s="3001" t="s">
        <v>4010</v>
      </c>
      <c r="I165" s="3001" t="s">
        <v>4005</v>
      </c>
      <c r="J165" s="3001" t="s">
        <v>4011</v>
      </c>
      <c r="K165" s="3001" t="s">
        <v>4012</v>
      </c>
      <c r="L165" s="3001">
        <v>888</v>
      </c>
      <c r="M165" s="3001">
        <v>110.7</v>
      </c>
      <c r="N165" s="3001">
        <v>1276.77</v>
      </c>
      <c r="O165" s="3001">
        <v>0</v>
      </c>
      <c r="P165" s="3001" t="s">
        <v>3163</v>
      </c>
    </row>
    <row r="166" spans="1:16">
      <c r="A166" s="3001" t="s">
        <v>4013</v>
      </c>
      <c r="B166" s="3001" t="s">
        <v>3103</v>
      </c>
      <c r="C166" s="3001" t="s">
        <v>3112</v>
      </c>
      <c r="D166" s="3001" t="s">
        <v>3113</v>
      </c>
      <c r="E166" s="3001">
        <v>15167</v>
      </c>
      <c r="F166" s="3001" t="s">
        <v>3114</v>
      </c>
      <c r="G166" s="2997">
        <v>56431</v>
      </c>
      <c r="H166" s="2997" t="s">
        <v>4014</v>
      </c>
      <c r="I166" s="3001" t="s">
        <v>3324</v>
      </c>
      <c r="J166" s="3001" t="s">
        <v>4015</v>
      </c>
      <c r="K166" s="3001" t="s">
        <v>3412</v>
      </c>
      <c r="L166" s="3001">
        <v>55698</v>
      </c>
      <c r="M166" s="3001">
        <v>658.01</v>
      </c>
      <c r="N166" s="3001">
        <v>2353.5100000000002</v>
      </c>
      <c r="O166" s="3001">
        <v>0</v>
      </c>
      <c r="P166" s="3001" t="s">
        <v>3163</v>
      </c>
    </row>
    <row r="167" spans="1:16" hidden="1">
      <c r="A167" s="3001" t="s">
        <v>4016</v>
      </c>
      <c r="B167" s="3001" t="s">
        <v>3103</v>
      </c>
      <c r="C167" s="3001" t="s">
        <v>3104</v>
      </c>
      <c r="D167" s="3001" t="s">
        <v>3113</v>
      </c>
      <c r="E167" s="3001">
        <v>15163</v>
      </c>
      <c r="F167" s="3001" t="s">
        <v>3967</v>
      </c>
      <c r="G167" s="3001">
        <v>36388</v>
      </c>
      <c r="H167" s="3001" t="s">
        <v>4014</v>
      </c>
      <c r="I167" s="3001" t="s">
        <v>3324</v>
      </c>
      <c r="J167" s="3001" t="s">
        <v>4017</v>
      </c>
      <c r="K167" s="3001" t="s">
        <v>3154</v>
      </c>
      <c r="L167" s="3001">
        <v>44500</v>
      </c>
      <c r="M167" s="3001">
        <v>815.29</v>
      </c>
      <c r="N167" s="3001">
        <v>2911.75</v>
      </c>
      <c r="O167" s="3001">
        <v>2.16</v>
      </c>
      <c r="P167" s="3001" t="s">
        <v>4018</v>
      </c>
    </row>
    <row r="168" spans="1:16">
      <c r="A168" s="3001" t="s">
        <v>4019</v>
      </c>
      <c r="B168" s="3001" t="s">
        <v>3103</v>
      </c>
      <c r="C168" s="3001" t="s">
        <v>3112</v>
      </c>
      <c r="D168" s="3001" t="s">
        <v>3113</v>
      </c>
      <c r="E168" s="3001">
        <v>15166</v>
      </c>
      <c r="F168" s="3001" t="s">
        <v>3114</v>
      </c>
      <c r="G168" s="2997">
        <v>9977</v>
      </c>
      <c r="H168" s="2997" t="s">
        <v>4020</v>
      </c>
      <c r="I168" s="3001" t="s">
        <v>3324</v>
      </c>
      <c r="J168" s="3001" t="s">
        <v>4021</v>
      </c>
      <c r="K168" s="3001" t="s">
        <v>4022</v>
      </c>
      <c r="L168" s="3001">
        <v>18200</v>
      </c>
      <c r="M168" s="3001">
        <v>1216.1300000000001</v>
      </c>
      <c r="N168" s="3001">
        <v>3648.38</v>
      </c>
      <c r="O168" s="3001">
        <v>31.24</v>
      </c>
      <c r="P168" s="3001" t="s">
        <v>3163</v>
      </c>
    </row>
    <row r="169" spans="1:16" hidden="1">
      <c r="A169" s="3001" t="s">
        <v>4023</v>
      </c>
      <c r="B169" s="3001" t="s">
        <v>3103</v>
      </c>
      <c r="C169" s="3001" t="s">
        <v>3104</v>
      </c>
      <c r="D169" s="3001" t="s">
        <v>3113</v>
      </c>
      <c r="E169" s="3001">
        <v>15154</v>
      </c>
      <c r="F169" s="3001" t="s">
        <v>3157</v>
      </c>
      <c r="G169" s="3001">
        <v>53254</v>
      </c>
      <c r="H169" s="3001" t="s">
        <v>4024</v>
      </c>
      <c r="I169" s="3001" t="s">
        <v>3449</v>
      </c>
      <c r="J169" s="3001" t="s">
        <v>4025</v>
      </c>
      <c r="K169" s="3001" t="s">
        <v>3230</v>
      </c>
      <c r="L169" s="3001">
        <v>26093</v>
      </c>
      <c r="M169" s="3001">
        <v>326.64999999999998</v>
      </c>
      <c r="N169" s="3001">
        <v>1633.08</v>
      </c>
      <c r="O169" s="3001">
        <v>0</v>
      </c>
      <c r="P169" s="3001" t="s">
        <v>4018</v>
      </c>
    </row>
    <row r="170" spans="1:16" hidden="1">
      <c r="A170" s="3001" t="s">
        <v>4026</v>
      </c>
      <c r="B170" s="3001" t="s">
        <v>3103</v>
      </c>
      <c r="C170" s="3001" t="s">
        <v>3104</v>
      </c>
      <c r="D170" s="3001" t="s">
        <v>3113</v>
      </c>
      <c r="E170" s="3001">
        <v>15157</v>
      </c>
      <c r="F170" s="3001" t="s">
        <v>3123</v>
      </c>
      <c r="G170" s="3001">
        <v>172848</v>
      </c>
      <c r="H170" s="3001" t="s">
        <v>4027</v>
      </c>
      <c r="I170" s="3001" t="s">
        <v>3449</v>
      </c>
      <c r="J170" s="3001" t="s">
        <v>4028</v>
      </c>
      <c r="K170" s="3001" t="s">
        <v>4029</v>
      </c>
      <c r="L170" s="3001">
        <v>202600</v>
      </c>
      <c r="M170" s="3001">
        <v>781.42</v>
      </c>
      <c r="N170" s="3001">
        <v>3014.4</v>
      </c>
      <c r="O170" s="3001">
        <v>0</v>
      </c>
      <c r="P170" s="3001" t="s">
        <v>4018</v>
      </c>
    </row>
    <row r="171" spans="1:16" hidden="1">
      <c r="A171" s="3001" t="s">
        <v>4030</v>
      </c>
      <c r="B171" s="3001" t="s">
        <v>3103</v>
      </c>
      <c r="C171" s="3001" t="s">
        <v>3104</v>
      </c>
      <c r="D171" s="3001" t="s">
        <v>3113</v>
      </c>
      <c r="E171" s="3001">
        <v>15158</v>
      </c>
      <c r="F171" s="3001" t="s">
        <v>4031</v>
      </c>
      <c r="G171" s="3001">
        <v>137234</v>
      </c>
      <c r="H171" s="3001" t="s">
        <v>4032</v>
      </c>
      <c r="I171" s="3001" t="s">
        <v>3449</v>
      </c>
      <c r="J171" s="3001" t="s">
        <v>4033</v>
      </c>
      <c r="K171" s="3001" t="s">
        <v>4029</v>
      </c>
      <c r="L171" s="3001">
        <v>106747</v>
      </c>
      <c r="M171" s="3001">
        <v>518.55999999999995</v>
      </c>
      <c r="N171" s="3001">
        <v>3400.9</v>
      </c>
      <c r="O171" s="3001">
        <v>0</v>
      </c>
      <c r="P171" s="3001" t="s">
        <v>4018</v>
      </c>
    </row>
    <row r="172" spans="1:16" hidden="1">
      <c r="A172" s="3001" t="s">
        <v>4034</v>
      </c>
      <c r="B172" s="3001" t="s">
        <v>3103</v>
      </c>
      <c r="C172" s="3001" t="s">
        <v>3104</v>
      </c>
      <c r="D172" s="3001" t="s">
        <v>3113</v>
      </c>
      <c r="E172" s="3001">
        <v>15156</v>
      </c>
      <c r="F172" s="3001" t="s">
        <v>4031</v>
      </c>
      <c r="G172" s="3001">
        <v>208370</v>
      </c>
      <c r="H172" s="3001" t="s">
        <v>4035</v>
      </c>
      <c r="I172" s="3001" t="s">
        <v>3449</v>
      </c>
      <c r="J172" s="3001" t="s">
        <v>4036</v>
      </c>
      <c r="K172" s="3001" t="s">
        <v>4029</v>
      </c>
      <c r="L172" s="3001">
        <v>143609</v>
      </c>
      <c r="M172" s="3001">
        <v>459.47</v>
      </c>
      <c r="N172" s="3001">
        <v>3413.86</v>
      </c>
      <c r="O172" s="3001">
        <v>0</v>
      </c>
      <c r="P172" s="3001" t="s">
        <v>4018</v>
      </c>
    </row>
    <row r="173" spans="1:16" hidden="1">
      <c r="A173" s="3001" t="s">
        <v>4037</v>
      </c>
      <c r="B173" s="3001" t="s">
        <v>3103</v>
      </c>
      <c r="C173" s="3001" t="s">
        <v>3104</v>
      </c>
      <c r="D173" s="3001" t="s">
        <v>3113</v>
      </c>
      <c r="E173" s="3001">
        <v>15147</v>
      </c>
      <c r="F173" s="3001" t="s">
        <v>4038</v>
      </c>
      <c r="G173" s="3001">
        <v>209654</v>
      </c>
      <c r="H173" s="3001" t="s">
        <v>4039</v>
      </c>
      <c r="I173" s="3001" t="s">
        <v>4040</v>
      </c>
      <c r="J173" s="3001" t="s">
        <v>4041</v>
      </c>
      <c r="K173" s="3001" t="s">
        <v>3154</v>
      </c>
      <c r="L173" s="3001">
        <v>183880</v>
      </c>
      <c r="M173" s="3001">
        <v>584.71</v>
      </c>
      <c r="N173" s="3001">
        <v>3021.42</v>
      </c>
      <c r="O173" s="3001">
        <v>0</v>
      </c>
      <c r="P173" s="3001" t="s">
        <v>4018</v>
      </c>
    </row>
    <row r="174" spans="1:16" hidden="1">
      <c r="A174" s="3001" t="s">
        <v>4042</v>
      </c>
      <c r="B174" s="3001" t="s">
        <v>3103</v>
      </c>
      <c r="C174" s="3001" t="s">
        <v>3104</v>
      </c>
      <c r="D174" s="3001" t="s">
        <v>3113</v>
      </c>
      <c r="E174" s="3001">
        <v>15149</v>
      </c>
      <c r="F174" s="3001" t="s">
        <v>4003</v>
      </c>
      <c r="G174" s="3001">
        <v>128014</v>
      </c>
      <c r="H174" s="3001" t="s">
        <v>4043</v>
      </c>
      <c r="I174" s="3001" t="s">
        <v>4040</v>
      </c>
      <c r="J174" s="3001" t="s">
        <v>4044</v>
      </c>
      <c r="K174" s="3001" t="s">
        <v>4045</v>
      </c>
      <c r="L174" s="3001">
        <v>57742</v>
      </c>
      <c r="M174" s="3001">
        <v>300.70999999999998</v>
      </c>
      <c r="N174" s="3001">
        <v>1487.23</v>
      </c>
      <c r="O174" s="3001">
        <v>0</v>
      </c>
      <c r="P174" s="3001" t="s">
        <v>4018</v>
      </c>
    </row>
    <row r="175" spans="1:16" hidden="1">
      <c r="A175" s="3001" t="s">
        <v>4046</v>
      </c>
      <c r="B175" s="3001" t="s">
        <v>3103</v>
      </c>
      <c r="C175" s="3001" t="s">
        <v>3104</v>
      </c>
      <c r="D175" s="3001" t="s">
        <v>3113</v>
      </c>
      <c r="E175" s="3001">
        <v>15148</v>
      </c>
      <c r="F175" s="3001" t="s">
        <v>4047</v>
      </c>
      <c r="G175" s="3001">
        <v>174406</v>
      </c>
      <c r="H175" s="3001" t="s">
        <v>4048</v>
      </c>
      <c r="I175" s="3001" t="s">
        <v>4040</v>
      </c>
      <c r="J175" s="3001" t="s">
        <v>4049</v>
      </c>
      <c r="K175" s="3001" t="s">
        <v>3154</v>
      </c>
      <c r="L175" s="3001">
        <v>149583</v>
      </c>
      <c r="M175" s="3001">
        <v>571.78</v>
      </c>
      <c r="N175" s="3001">
        <v>3000.01</v>
      </c>
      <c r="O175" s="3001">
        <v>0</v>
      </c>
      <c r="P175" s="3001" t="s">
        <v>4018</v>
      </c>
    </row>
    <row r="176" spans="1:16" hidden="1">
      <c r="A176" s="3001" t="s">
        <v>4050</v>
      </c>
      <c r="B176" s="3001" t="s">
        <v>3103</v>
      </c>
      <c r="C176" s="3001" t="s">
        <v>3104</v>
      </c>
      <c r="D176" s="3001" t="s">
        <v>3113</v>
      </c>
      <c r="E176" s="3001">
        <v>15145</v>
      </c>
      <c r="F176" s="3001" t="s">
        <v>4003</v>
      </c>
      <c r="G176" s="3001">
        <v>12912</v>
      </c>
      <c r="H176" s="3001" t="s">
        <v>4051</v>
      </c>
      <c r="I176" s="3001" t="s">
        <v>3328</v>
      </c>
      <c r="J176" s="3001" t="s">
        <v>4052</v>
      </c>
      <c r="K176" s="3001" t="s">
        <v>4053</v>
      </c>
      <c r="L176" s="3001">
        <v>34500</v>
      </c>
      <c r="M176" s="3001">
        <v>1781.29</v>
      </c>
      <c r="N176" s="3001">
        <v>4858.0600000000004</v>
      </c>
      <c r="O176" s="3001">
        <v>81.260000000000005</v>
      </c>
      <c r="P176" s="3001" t="s">
        <v>4018</v>
      </c>
    </row>
    <row r="177" spans="1:16" hidden="1">
      <c r="A177" s="3001" t="s">
        <v>4054</v>
      </c>
      <c r="B177" s="3001" t="s">
        <v>3103</v>
      </c>
      <c r="C177" s="3001" t="s">
        <v>3104</v>
      </c>
      <c r="D177" s="3001" t="s">
        <v>3113</v>
      </c>
      <c r="E177" s="3001">
        <v>15144</v>
      </c>
      <c r="F177" s="3001" t="s">
        <v>4055</v>
      </c>
      <c r="G177" s="3001">
        <v>65390</v>
      </c>
      <c r="H177" s="3001" t="s">
        <v>3757</v>
      </c>
      <c r="I177" s="3001" t="s">
        <v>3328</v>
      </c>
      <c r="J177" s="3001" t="s">
        <v>4056</v>
      </c>
      <c r="K177" s="3001" t="s">
        <v>4057</v>
      </c>
      <c r="L177" s="3001">
        <v>29345</v>
      </c>
      <c r="M177" s="3001">
        <v>299.18</v>
      </c>
      <c r="N177" s="3001">
        <v>1625.43</v>
      </c>
      <c r="O177" s="3001">
        <v>0</v>
      </c>
      <c r="P177" s="3001" t="s">
        <v>4018</v>
      </c>
    </row>
    <row r="178" spans="1:16" hidden="1">
      <c r="A178" s="3001" t="s">
        <v>4058</v>
      </c>
      <c r="B178" s="3001" t="s">
        <v>3103</v>
      </c>
      <c r="C178" s="3001" t="s">
        <v>3104</v>
      </c>
      <c r="D178" s="3001" t="s">
        <v>3113</v>
      </c>
      <c r="E178" s="3001">
        <v>15142</v>
      </c>
      <c r="F178" s="3001" t="s">
        <v>4003</v>
      </c>
      <c r="G178" s="3001">
        <v>64822</v>
      </c>
      <c r="H178" s="3001" t="s">
        <v>4059</v>
      </c>
      <c r="I178" s="3001" t="s">
        <v>4060</v>
      </c>
      <c r="J178" s="3001" t="s">
        <v>4061</v>
      </c>
      <c r="K178" s="3001" t="s">
        <v>4045</v>
      </c>
      <c r="L178" s="3001">
        <v>33449</v>
      </c>
      <c r="M178" s="3001">
        <v>344.01</v>
      </c>
      <c r="N178" s="3001">
        <v>1720.09</v>
      </c>
      <c r="O178" s="3001">
        <v>0</v>
      </c>
      <c r="P178" s="3001" t="s">
        <v>4062</v>
      </c>
    </row>
    <row r="179" spans="1:16" hidden="1">
      <c r="A179" s="3001" t="s">
        <v>4063</v>
      </c>
      <c r="B179" s="3001" t="s">
        <v>3103</v>
      </c>
      <c r="C179" s="3001" t="s">
        <v>3104</v>
      </c>
      <c r="D179" s="3001" t="s">
        <v>3113</v>
      </c>
      <c r="E179" s="3001">
        <v>15138</v>
      </c>
      <c r="F179" s="3001" t="s">
        <v>4003</v>
      </c>
      <c r="G179" s="3001">
        <v>120546</v>
      </c>
      <c r="H179" s="3001" t="s">
        <v>4064</v>
      </c>
      <c r="I179" s="3001" t="s">
        <v>4065</v>
      </c>
      <c r="J179" s="3001" t="s">
        <v>4066</v>
      </c>
      <c r="K179" s="3001" t="s">
        <v>4045</v>
      </c>
      <c r="L179" s="3001">
        <v>51783</v>
      </c>
      <c r="M179" s="3001">
        <v>286.38</v>
      </c>
      <c r="N179" s="3001">
        <v>1509.55</v>
      </c>
      <c r="O179" s="3001">
        <v>0</v>
      </c>
      <c r="P179" s="3001" t="s">
        <v>4018</v>
      </c>
    </row>
    <row r="180" spans="1:16" hidden="1">
      <c r="A180" s="3001" t="s">
        <v>4067</v>
      </c>
      <c r="B180" s="3001" t="s">
        <v>3103</v>
      </c>
      <c r="C180" s="3001" t="s">
        <v>3104</v>
      </c>
      <c r="D180" s="3001" t="s">
        <v>3113</v>
      </c>
      <c r="E180" s="3001">
        <v>15129</v>
      </c>
      <c r="F180" s="3001" t="s">
        <v>4003</v>
      </c>
      <c r="G180" s="3001">
        <v>79518</v>
      </c>
      <c r="H180" s="3001" t="s">
        <v>3955</v>
      </c>
      <c r="I180" s="3001" t="s">
        <v>3242</v>
      </c>
      <c r="J180" s="3001" t="s">
        <v>4068</v>
      </c>
      <c r="K180" s="3001" t="s">
        <v>4045</v>
      </c>
      <c r="L180" s="3001">
        <v>29886</v>
      </c>
      <c r="M180" s="3001">
        <v>250.56</v>
      </c>
      <c r="N180" s="3001">
        <v>1342.27</v>
      </c>
      <c r="O180" s="3001">
        <v>0</v>
      </c>
      <c r="P180" s="3001" t="s">
        <v>3110</v>
      </c>
    </row>
    <row r="181" spans="1:16" hidden="1">
      <c r="A181" s="3001" t="s">
        <v>4069</v>
      </c>
      <c r="B181" s="3001" t="s">
        <v>3103</v>
      </c>
      <c r="C181" s="3001" t="s">
        <v>3112</v>
      </c>
      <c r="D181" s="3001" t="s">
        <v>3113</v>
      </c>
      <c r="E181" s="3001">
        <v>15133</v>
      </c>
      <c r="F181" s="3001" t="s">
        <v>3114</v>
      </c>
      <c r="G181" s="3001">
        <v>16174</v>
      </c>
      <c r="H181" s="3001" t="s">
        <v>4070</v>
      </c>
      <c r="I181" s="3001" t="s">
        <v>3242</v>
      </c>
      <c r="J181" s="3001" t="s">
        <v>4071</v>
      </c>
      <c r="K181" s="3001" t="s">
        <v>4072</v>
      </c>
      <c r="L181" s="3001">
        <v>5419</v>
      </c>
      <c r="M181" s="3001">
        <v>223.36</v>
      </c>
      <c r="N181" s="3001">
        <v>1861.34</v>
      </c>
      <c r="O181" s="3001">
        <v>0</v>
      </c>
      <c r="P181" s="3001" t="s">
        <v>3110</v>
      </c>
    </row>
    <row r="182" spans="1:16" hidden="1">
      <c r="A182" s="3001" t="s">
        <v>4073</v>
      </c>
      <c r="B182" s="3001" t="s">
        <v>3103</v>
      </c>
      <c r="C182" s="3001" t="s">
        <v>3112</v>
      </c>
      <c r="D182" s="3001" t="s">
        <v>3113</v>
      </c>
      <c r="E182" s="3001">
        <v>15135</v>
      </c>
      <c r="F182" s="3001" t="s">
        <v>3114</v>
      </c>
      <c r="G182" s="3001">
        <v>94844</v>
      </c>
      <c r="H182" s="3001" t="s">
        <v>4074</v>
      </c>
      <c r="I182" s="3001" t="s">
        <v>3242</v>
      </c>
      <c r="J182" s="3001" t="s">
        <v>4075</v>
      </c>
      <c r="K182" s="3001" t="s">
        <v>4076</v>
      </c>
      <c r="L182" s="3001">
        <v>20771</v>
      </c>
      <c r="M182" s="3001">
        <v>146</v>
      </c>
      <c r="N182" s="3001">
        <v>1460</v>
      </c>
      <c r="O182" s="3001">
        <v>0</v>
      </c>
      <c r="P182" s="3001" t="s">
        <v>3110</v>
      </c>
    </row>
    <row r="183" spans="1:16" hidden="1">
      <c r="A183" s="3001" t="s">
        <v>4077</v>
      </c>
      <c r="B183" s="3001" t="s">
        <v>3103</v>
      </c>
      <c r="C183" s="3001" t="s">
        <v>3112</v>
      </c>
      <c r="D183" s="3001" t="s">
        <v>3113</v>
      </c>
      <c r="E183" s="3001">
        <v>15136</v>
      </c>
      <c r="F183" s="3001" t="s">
        <v>3114</v>
      </c>
      <c r="G183" s="3001">
        <v>20791</v>
      </c>
      <c r="H183" s="3001" t="s">
        <v>3245</v>
      </c>
      <c r="I183" s="3001" t="s">
        <v>3242</v>
      </c>
      <c r="J183" s="3001" t="s">
        <v>4078</v>
      </c>
      <c r="K183" s="3001" t="s">
        <v>4079</v>
      </c>
      <c r="L183" s="3001">
        <v>7776</v>
      </c>
      <c r="M183" s="3001">
        <v>249.34</v>
      </c>
      <c r="N183" s="3001">
        <v>1496.01</v>
      </c>
      <c r="O183" s="3001">
        <v>0</v>
      </c>
      <c r="P183" s="3001" t="s">
        <v>3163</v>
      </c>
    </row>
    <row r="184" spans="1:16" hidden="1">
      <c r="A184" s="3001" t="s">
        <v>4080</v>
      </c>
      <c r="B184" s="3001" t="s">
        <v>3103</v>
      </c>
      <c r="C184" s="3001" t="s">
        <v>3112</v>
      </c>
      <c r="D184" s="3001" t="s">
        <v>3113</v>
      </c>
      <c r="E184" s="3001">
        <v>15130</v>
      </c>
      <c r="F184" s="3001" t="s">
        <v>3114</v>
      </c>
      <c r="G184" s="3001">
        <v>123989</v>
      </c>
      <c r="H184" s="3001" t="s">
        <v>3241</v>
      </c>
      <c r="I184" s="3001" t="s">
        <v>3242</v>
      </c>
      <c r="J184" s="3001" t="s">
        <v>4081</v>
      </c>
      <c r="K184" s="3001" t="s">
        <v>4045</v>
      </c>
      <c r="L184" s="3001">
        <v>34469</v>
      </c>
      <c r="M184" s="3001">
        <v>185.33</v>
      </c>
      <c r="N184" s="3001">
        <v>1390</v>
      </c>
      <c r="O184" s="3001">
        <v>0</v>
      </c>
      <c r="P184" s="3001" t="s">
        <v>3110</v>
      </c>
    </row>
    <row r="185" spans="1:16" hidden="1">
      <c r="A185" s="3001" t="s">
        <v>3489</v>
      </c>
      <c r="B185" s="3001" t="s">
        <v>3103</v>
      </c>
      <c r="C185" s="3001" t="s">
        <v>3112</v>
      </c>
      <c r="D185" s="3001" t="s">
        <v>3113</v>
      </c>
      <c r="E185" s="3001">
        <v>15125</v>
      </c>
      <c r="F185" s="3001" t="s">
        <v>3114</v>
      </c>
      <c r="G185" s="3001">
        <v>57543</v>
      </c>
      <c r="H185" s="3001" t="s">
        <v>3245</v>
      </c>
      <c r="I185" s="3001" t="s">
        <v>4082</v>
      </c>
      <c r="J185" s="3001" t="s">
        <v>4083</v>
      </c>
      <c r="K185" s="3001" t="s">
        <v>4045</v>
      </c>
      <c r="L185" s="3001">
        <v>21291</v>
      </c>
      <c r="M185" s="3001">
        <v>246.67</v>
      </c>
      <c r="N185" s="3001">
        <v>1480</v>
      </c>
      <c r="O185" s="3001">
        <v>0</v>
      </c>
      <c r="P185" s="3001" t="s">
        <v>3110</v>
      </c>
    </row>
    <row r="186" spans="1:16" hidden="1">
      <c r="A186" s="3001" t="s">
        <v>4084</v>
      </c>
      <c r="B186" s="3001" t="s">
        <v>3103</v>
      </c>
      <c r="C186" s="3001" t="s">
        <v>3104</v>
      </c>
      <c r="D186" s="3001" t="s">
        <v>3113</v>
      </c>
      <c r="E186" s="3001">
        <v>15123</v>
      </c>
      <c r="F186" s="3001" t="s">
        <v>4085</v>
      </c>
      <c r="G186" s="3001">
        <v>35959</v>
      </c>
      <c r="H186" s="3001" t="s">
        <v>3241</v>
      </c>
      <c r="I186" s="3001" t="s">
        <v>4082</v>
      </c>
      <c r="J186" s="3001" t="s">
        <v>4086</v>
      </c>
      <c r="K186" s="3001" t="s">
        <v>4045</v>
      </c>
      <c r="L186" s="3001">
        <v>10213</v>
      </c>
      <c r="M186" s="3001">
        <v>189.35</v>
      </c>
      <c r="N186" s="3001">
        <v>1420.08</v>
      </c>
      <c r="O186" s="3001">
        <v>0</v>
      </c>
      <c r="P186" s="3001" t="s">
        <v>3110</v>
      </c>
    </row>
    <row r="187" spans="1:16" hidden="1">
      <c r="A187" s="3001" t="s">
        <v>4087</v>
      </c>
      <c r="B187" s="3001" t="s">
        <v>3103</v>
      </c>
      <c r="C187" s="3001" t="s">
        <v>3104</v>
      </c>
      <c r="D187" s="3001" t="s">
        <v>3113</v>
      </c>
      <c r="E187" s="3001">
        <v>15124</v>
      </c>
      <c r="F187" s="3001" t="s">
        <v>4003</v>
      </c>
      <c r="G187" s="3001">
        <v>87451</v>
      </c>
      <c r="H187" s="3001" t="s">
        <v>4088</v>
      </c>
      <c r="I187" s="3001" t="s">
        <v>4082</v>
      </c>
      <c r="J187" s="3001" t="s">
        <v>4089</v>
      </c>
      <c r="K187" s="3001" t="s">
        <v>4045</v>
      </c>
      <c r="L187" s="3001">
        <v>35441</v>
      </c>
      <c r="M187" s="3001">
        <v>270.18</v>
      </c>
      <c r="N187" s="3001">
        <v>1500.99</v>
      </c>
      <c r="O187" s="3001">
        <v>0</v>
      </c>
      <c r="P187" s="3001" t="s">
        <v>3110</v>
      </c>
    </row>
    <row r="188" spans="1:16" hidden="1">
      <c r="A188" s="3001" t="s">
        <v>4090</v>
      </c>
      <c r="B188" s="3001" t="s">
        <v>3103</v>
      </c>
      <c r="C188" s="3001" t="s">
        <v>3104</v>
      </c>
      <c r="D188" s="3001" t="s">
        <v>3113</v>
      </c>
      <c r="E188" s="3001">
        <v>15122</v>
      </c>
      <c r="F188" s="3001" t="s">
        <v>4091</v>
      </c>
      <c r="G188" s="3001">
        <v>91307</v>
      </c>
      <c r="H188" s="3001" t="s">
        <v>4092</v>
      </c>
      <c r="I188" s="3001" t="s">
        <v>4093</v>
      </c>
      <c r="J188" s="3001" t="s">
        <v>4094</v>
      </c>
      <c r="K188" s="3001" t="s">
        <v>4045</v>
      </c>
      <c r="L188" s="3001">
        <v>53507</v>
      </c>
      <c r="M188" s="3001">
        <v>390.67</v>
      </c>
      <c r="N188" s="3001">
        <v>1674.31</v>
      </c>
      <c r="O188" s="3001">
        <v>0</v>
      </c>
      <c r="P188" s="3001" t="s">
        <v>3110</v>
      </c>
    </row>
    <row r="189" spans="1:16" hidden="1">
      <c r="A189" s="3001" t="s">
        <v>3659</v>
      </c>
      <c r="B189" s="3001" t="s">
        <v>3103</v>
      </c>
      <c r="C189" s="3001" t="s">
        <v>3104</v>
      </c>
      <c r="D189" s="3001" t="s">
        <v>3113</v>
      </c>
      <c r="E189" s="3001">
        <v>15121</v>
      </c>
      <c r="F189" s="3001" t="s">
        <v>4003</v>
      </c>
      <c r="G189" s="3001">
        <v>74455</v>
      </c>
      <c r="H189" s="3001" t="s">
        <v>4095</v>
      </c>
      <c r="I189" s="3001" t="s">
        <v>4093</v>
      </c>
      <c r="J189" s="3001" t="s">
        <v>4096</v>
      </c>
      <c r="K189" s="3001" t="s">
        <v>4045</v>
      </c>
      <c r="L189" s="3001">
        <v>29146</v>
      </c>
      <c r="M189" s="3001">
        <v>260.97000000000003</v>
      </c>
      <c r="N189" s="3001">
        <v>1535.13</v>
      </c>
      <c r="O189" s="3001">
        <v>0</v>
      </c>
      <c r="P189" s="3001" t="s">
        <v>3110</v>
      </c>
    </row>
    <row r="190" spans="1:16" hidden="1">
      <c r="A190" s="3001" t="s">
        <v>3945</v>
      </c>
      <c r="B190" s="3001" t="s">
        <v>3103</v>
      </c>
      <c r="C190" s="3001" t="s">
        <v>3104</v>
      </c>
      <c r="D190" s="3001" t="s">
        <v>3113</v>
      </c>
      <c r="E190" s="3001">
        <v>15112</v>
      </c>
      <c r="F190" s="3001" t="s">
        <v>3123</v>
      </c>
      <c r="G190" s="3001">
        <v>163573</v>
      </c>
      <c r="H190" s="3001" t="s">
        <v>4097</v>
      </c>
      <c r="I190" s="3001" t="s">
        <v>3251</v>
      </c>
      <c r="J190" s="3001" t="s">
        <v>4098</v>
      </c>
      <c r="K190" s="3001" t="s">
        <v>4099</v>
      </c>
      <c r="L190" s="3001">
        <v>108214</v>
      </c>
      <c r="M190" s="3001">
        <v>441.04</v>
      </c>
      <c r="N190" s="3001">
        <v>2700.48</v>
      </c>
      <c r="O190" s="3001">
        <v>0</v>
      </c>
      <c r="P190" s="3001" t="s">
        <v>3138</v>
      </c>
    </row>
    <row r="191" spans="1:16" hidden="1">
      <c r="A191" s="3001" t="s">
        <v>3943</v>
      </c>
      <c r="B191" s="3001" t="s">
        <v>3103</v>
      </c>
      <c r="C191" s="3001" t="s">
        <v>3104</v>
      </c>
      <c r="D191" s="3001" t="s">
        <v>3113</v>
      </c>
      <c r="E191" s="3001">
        <v>15114</v>
      </c>
      <c r="F191" s="3001" t="s">
        <v>3123</v>
      </c>
      <c r="G191" s="3001">
        <v>165512</v>
      </c>
      <c r="H191" s="3001" t="s">
        <v>4100</v>
      </c>
      <c r="I191" s="3001" t="s">
        <v>3251</v>
      </c>
      <c r="J191" s="3001" t="s">
        <v>4101</v>
      </c>
      <c r="K191" s="3001" t="s">
        <v>4099</v>
      </c>
      <c r="L191" s="3001">
        <v>99326</v>
      </c>
      <c r="M191" s="3001">
        <v>400.08</v>
      </c>
      <c r="N191" s="3001">
        <v>3716.01</v>
      </c>
      <c r="O191" s="3001">
        <v>0</v>
      </c>
      <c r="P191" s="3001" t="s">
        <v>3138</v>
      </c>
    </row>
    <row r="192" spans="1:16" hidden="1">
      <c r="A192" s="3001" t="s">
        <v>3939</v>
      </c>
      <c r="B192" s="3001" t="s">
        <v>3103</v>
      </c>
      <c r="C192" s="3001" t="s">
        <v>3104</v>
      </c>
      <c r="D192" s="3001" t="s">
        <v>3113</v>
      </c>
      <c r="E192" s="3001">
        <v>15113</v>
      </c>
      <c r="F192" s="3001" t="s">
        <v>3123</v>
      </c>
      <c r="G192" s="3001">
        <v>100001</v>
      </c>
      <c r="H192" s="3001" t="s">
        <v>4102</v>
      </c>
      <c r="I192" s="3001" t="s">
        <v>3251</v>
      </c>
      <c r="J192" s="3001" t="s">
        <v>4103</v>
      </c>
      <c r="K192" s="3001" t="s">
        <v>4099</v>
      </c>
      <c r="L192" s="3001">
        <v>67605</v>
      </c>
      <c r="M192" s="3001">
        <v>450.7</v>
      </c>
      <c r="N192" s="3001">
        <v>2704.15</v>
      </c>
      <c r="O192" s="3001">
        <v>0</v>
      </c>
      <c r="P192" s="3001" t="s">
        <v>3138</v>
      </c>
    </row>
    <row r="193" spans="1:16" hidden="1">
      <c r="A193" s="3001" t="s">
        <v>3167</v>
      </c>
      <c r="B193" s="3001" t="s">
        <v>3103</v>
      </c>
      <c r="C193" s="3001" t="s">
        <v>3104</v>
      </c>
      <c r="D193" s="3001" t="s">
        <v>3113</v>
      </c>
      <c r="E193" s="3001">
        <v>15111</v>
      </c>
      <c r="F193" s="3001" t="s">
        <v>3123</v>
      </c>
      <c r="G193" s="3001">
        <v>9547</v>
      </c>
      <c r="H193" s="3001" t="s">
        <v>3168</v>
      </c>
      <c r="I193" s="3001" t="s">
        <v>3169</v>
      </c>
      <c r="J193" s="3001" t="s">
        <v>4104</v>
      </c>
      <c r="K193" s="3001" t="s">
        <v>3170</v>
      </c>
      <c r="L193" s="3001">
        <v>41098</v>
      </c>
      <c r="M193" s="3001">
        <v>2869.87</v>
      </c>
      <c r="N193" s="3001">
        <v>5337.39</v>
      </c>
      <c r="O193" s="3001">
        <v>0</v>
      </c>
      <c r="P193" s="3001" t="s">
        <v>3138</v>
      </c>
    </row>
    <row r="194" spans="1:16" hidden="1">
      <c r="A194" s="3001" t="s">
        <v>4105</v>
      </c>
      <c r="B194" s="3001" t="s">
        <v>3103</v>
      </c>
      <c r="C194" s="3001" t="s">
        <v>3112</v>
      </c>
      <c r="D194" s="3001" t="s">
        <v>3113</v>
      </c>
      <c r="E194" s="3001">
        <v>15103</v>
      </c>
      <c r="F194" s="3001" t="s">
        <v>3114</v>
      </c>
      <c r="G194" s="3001">
        <v>129790</v>
      </c>
      <c r="H194" s="3001" t="s">
        <v>4100</v>
      </c>
      <c r="I194" s="3001" t="s">
        <v>3364</v>
      </c>
      <c r="J194" s="3001" t="s">
        <v>4106</v>
      </c>
      <c r="K194" s="3001" t="s">
        <v>3366</v>
      </c>
      <c r="L194" s="3001">
        <v>29238</v>
      </c>
      <c r="M194" s="3001">
        <v>150.18</v>
      </c>
      <c r="N194" s="3001">
        <v>1407.95</v>
      </c>
      <c r="O194" s="3001">
        <v>0</v>
      </c>
      <c r="P194" s="3001" t="s">
        <v>3163</v>
      </c>
    </row>
    <row r="195" spans="1:16" hidden="1">
      <c r="A195" s="3001" t="s">
        <v>4107</v>
      </c>
      <c r="B195" s="3001" t="s">
        <v>3103</v>
      </c>
      <c r="C195" s="3001" t="s">
        <v>3104</v>
      </c>
      <c r="D195" s="3001" t="s">
        <v>3105</v>
      </c>
      <c r="E195" s="3001">
        <v>15093</v>
      </c>
      <c r="F195" s="3001" t="s">
        <v>3157</v>
      </c>
      <c r="G195" s="3001">
        <v>76425</v>
      </c>
      <c r="H195" s="3001" t="s">
        <v>4108</v>
      </c>
      <c r="I195" s="3001" t="s">
        <v>3257</v>
      </c>
      <c r="J195" s="3001" t="s">
        <v>4109</v>
      </c>
      <c r="K195" s="3001" t="s">
        <v>4045</v>
      </c>
      <c r="L195" s="3001">
        <v>14216</v>
      </c>
      <c r="M195" s="3001">
        <v>124.01</v>
      </c>
      <c r="N195" s="3001">
        <v>1771.54</v>
      </c>
      <c r="O195" s="3001">
        <v>0</v>
      </c>
      <c r="P195" s="3001" t="s">
        <v>3745</v>
      </c>
    </row>
    <row r="196" spans="1:16" hidden="1">
      <c r="A196" s="3001" t="s">
        <v>4110</v>
      </c>
      <c r="B196" s="3001" t="s">
        <v>3103</v>
      </c>
      <c r="C196" s="3001" t="s">
        <v>3104</v>
      </c>
      <c r="D196" s="3001" t="s">
        <v>3105</v>
      </c>
      <c r="E196" s="3001">
        <v>15094</v>
      </c>
      <c r="F196" s="3001" t="s">
        <v>3123</v>
      </c>
      <c r="G196" s="3001">
        <v>192433</v>
      </c>
      <c r="H196" s="3001" t="s">
        <v>4032</v>
      </c>
      <c r="I196" s="3001" t="s">
        <v>3257</v>
      </c>
      <c r="J196" s="3001" t="s">
        <v>4111</v>
      </c>
      <c r="K196" s="3001" t="s">
        <v>4045</v>
      </c>
      <c r="L196" s="3001">
        <v>64323</v>
      </c>
      <c r="M196" s="3001">
        <v>222.84</v>
      </c>
      <c r="N196" s="3001">
        <v>1453.42</v>
      </c>
      <c r="O196" s="3001">
        <v>0</v>
      </c>
      <c r="P196" s="3001" t="s">
        <v>3745</v>
      </c>
    </row>
    <row r="197" spans="1:16" hidden="1">
      <c r="A197" s="3001" t="s">
        <v>4112</v>
      </c>
      <c r="B197" s="3001" t="s">
        <v>3103</v>
      </c>
      <c r="C197" s="3001" t="s">
        <v>3104</v>
      </c>
      <c r="D197" s="3001" t="s">
        <v>3105</v>
      </c>
      <c r="E197" s="3001">
        <v>15095</v>
      </c>
      <c r="F197" s="3001" t="s">
        <v>3157</v>
      </c>
      <c r="G197" s="3001">
        <v>90907</v>
      </c>
      <c r="H197" s="3001" t="s">
        <v>4113</v>
      </c>
      <c r="I197" s="3001" t="s">
        <v>3257</v>
      </c>
      <c r="J197" s="3001" t="s">
        <v>4114</v>
      </c>
      <c r="K197" s="3001" t="s">
        <v>4045</v>
      </c>
      <c r="L197" s="3001">
        <v>28765</v>
      </c>
      <c r="M197" s="3001">
        <v>210.95</v>
      </c>
      <c r="N197" s="3001">
        <v>1638.31</v>
      </c>
      <c r="O197" s="3001">
        <v>0</v>
      </c>
      <c r="P197" s="3001" t="s">
        <v>3745</v>
      </c>
    </row>
    <row r="198" spans="1:16" hidden="1">
      <c r="A198" s="3001" t="s">
        <v>4115</v>
      </c>
      <c r="B198" s="3001" t="s">
        <v>3103</v>
      </c>
      <c r="C198" s="3001" t="s">
        <v>3104</v>
      </c>
      <c r="D198" s="3001" t="s">
        <v>3105</v>
      </c>
      <c r="E198" s="3001">
        <v>15091</v>
      </c>
      <c r="F198" s="3001" t="s">
        <v>3123</v>
      </c>
      <c r="G198" s="3001">
        <v>199371</v>
      </c>
      <c r="H198" s="3001" t="s">
        <v>4116</v>
      </c>
      <c r="I198" s="3001" t="s">
        <v>3257</v>
      </c>
      <c r="J198" s="3001" t="s">
        <v>4117</v>
      </c>
      <c r="K198" s="3001" t="s">
        <v>4045</v>
      </c>
      <c r="L198" s="3001">
        <v>58544</v>
      </c>
      <c r="M198" s="3001">
        <v>195.76</v>
      </c>
      <c r="N198" s="3001">
        <v>1502.35</v>
      </c>
      <c r="O198" s="3001">
        <v>0</v>
      </c>
      <c r="P198" s="3001" t="s">
        <v>3745</v>
      </c>
    </row>
    <row r="199" spans="1:16">
      <c r="A199" s="3001" t="s">
        <v>4118</v>
      </c>
      <c r="B199" s="3001" t="s">
        <v>3103</v>
      </c>
      <c r="C199" s="3001" t="s">
        <v>3112</v>
      </c>
      <c r="D199" s="3001" t="s">
        <v>3105</v>
      </c>
      <c r="E199" s="3001">
        <v>15098</v>
      </c>
      <c r="F199" s="3001" t="s">
        <v>3114</v>
      </c>
      <c r="G199" s="2997">
        <v>23279</v>
      </c>
      <c r="H199" s="2997" t="s">
        <v>3136</v>
      </c>
      <c r="I199" s="3001" t="s">
        <v>3257</v>
      </c>
      <c r="J199" s="3001" t="s">
        <v>4119</v>
      </c>
      <c r="K199" s="3001" t="s">
        <v>4120</v>
      </c>
      <c r="L199" s="3001">
        <v>21956</v>
      </c>
      <c r="M199" s="3001">
        <v>628.78</v>
      </c>
      <c r="N199" s="3001">
        <v>3143.88</v>
      </c>
      <c r="O199" s="3001">
        <v>0</v>
      </c>
      <c r="P199" s="3001" t="s">
        <v>3163</v>
      </c>
    </row>
    <row r="200" spans="1:16" hidden="1">
      <c r="A200" s="3001" t="s">
        <v>4121</v>
      </c>
      <c r="B200" s="3001" t="s">
        <v>3103</v>
      </c>
      <c r="C200" s="3001" t="s">
        <v>3112</v>
      </c>
      <c r="D200" s="3001" t="s">
        <v>3113</v>
      </c>
      <c r="E200" s="3001">
        <v>15089</v>
      </c>
      <c r="F200" s="3001" t="s">
        <v>3114</v>
      </c>
      <c r="G200" s="3001">
        <v>14084</v>
      </c>
      <c r="H200" s="3001" t="s">
        <v>3261</v>
      </c>
      <c r="I200" s="3001" t="s">
        <v>4122</v>
      </c>
      <c r="J200" s="3001" t="s">
        <v>4123</v>
      </c>
      <c r="K200" s="3001" t="s">
        <v>3352</v>
      </c>
      <c r="L200" s="3001">
        <v>3381</v>
      </c>
      <c r="M200" s="3001">
        <v>160.04</v>
      </c>
      <c r="N200" s="3001">
        <v>1200.29</v>
      </c>
      <c r="O200" s="3001">
        <v>0</v>
      </c>
      <c r="P200" s="3001" t="s">
        <v>3163</v>
      </c>
    </row>
    <row r="201" spans="1:16" hidden="1">
      <c r="A201" s="3001" t="s">
        <v>4124</v>
      </c>
      <c r="B201" s="3001" t="s">
        <v>3103</v>
      </c>
      <c r="C201" s="3001" t="s">
        <v>3104</v>
      </c>
      <c r="D201" s="3001" t="s">
        <v>3113</v>
      </c>
      <c r="E201" s="3001">
        <v>15081</v>
      </c>
      <c r="F201" s="3001" t="s">
        <v>3157</v>
      </c>
      <c r="G201" s="3001">
        <v>61867</v>
      </c>
      <c r="H201" s="3001" t="s">
        <v>4125</v>
      </c>
      <c r="I201" s="3001" t="s">
        <v>4126</v>
      </c>
      <c r="J201" s="3001" t="s">
        <v>4127</v>
      </c>
      <c r="K201" s="3001" t="s">
        <v>3154</v>
      </c>
      <c r="L201" s="3001">
        <v>64000</v>
      </c>
      <c r="M201" s="3001">
        <v>689.65</v>
      </c>
      <c r="N201" s="3001">
        <v>2849</v>
      </c>
      <c r="O201" s="3001">
        <v>0</v>
      </c>
      <c r="P201" s="3001" t="s">
        <v>3918</v>
      </c>
    </row>
    <row r="202" spans="1:16" hidden="1">
      <c r="A202" s="3002" t="s">
        <v>4128</v>
      </c>
      <c r="B202" s="3002" t="s">
        <v>3103</v>
      </c>
      <c r="C202" s="3002" t="s">
        <v>3104</v>
      </c>
      <c r="D202" s="3002" t="s">
        <v>3113</v>
      </c>
      <c r="E202" s="3002">
        <v>15087</v>
      </c>
      <c r="F202" s="3002" t="s">
        <v>3157</v>
      </c>
      <c r="G202" s="3002">
        <v>112879</v>
      </c>
      <c r="H202" s="3002" t="s">
        <v>4129</v>
      </c>
      <c r="I202" s="3002" t="s">
        <v>4126</v>
      </c>
      <c r="J202" s="3002" t="s">
        <v>4130</v>
      </c>
      <c r="K202" s="3002" t="s">
        <v>4045</v>
      </c>
      <c r="L202" s="3002">
        <v>36688</v>
      </c>
      <c r="M202" s="3002">
        <v>216.68</v>
      </c>
      <c r="N202" s="3002">
        <v>1350.96</v>
      </c>
      <c r="O202" s="3002">
        <v>0</v>
      </c>
      <c r="P202" s="3002" t="s">
        <v>3918</v>
      </c>
    </row>
    <row r="203" spans="1:16" hidden="1">
      <c r="A203" s="3002" t="s">
        <v>4131</v>
      </c>
      <c r="B203" s="3002" t="s">
        <v>3103</v>
      </c>
      <c r="C203" s="3002" t="s">
        <v>3104</v>
      </c>
      <c r="D203" s="3002" t="s">
        <v>3113</v>
      </c>
      <c r="E203" s="3002">
        <v>15082</v>
      </c>
      <c r="F203" s="3002" t="s">
        <v>4132</v>
      </c>
      <c r="G203" s="3002">
        <v>120137</v>
      </c>
      <c r="H203" s="3002" t="s">
        <v>4133</v>
      </c>
      <c r="I203" s="3002" t="s">
        <v>4126</v>
      </c>
      <c r="J203" s="3002" t="s">
        <v>4134</v>
      </c>
      <c r="K203" s="3002" t="s">
        <v>3154</v>
      </c>
      <c r="L203" s="3002">
        <v>160592</v>
      </c>
      <c r="M203" s="3002">
        <v>891.16</v>
      </c>
      <c r="N203" s="3002">
        <v>3499.98</v>
      </c>
      <c r="O203" s="3002">
        <v>0</v>
      </c>
      <c r="P203" s="3002" t="s">
        <v>3918</v>
      </c>
    </row>
    <row r="204" spans="1:16" hidden="1">
      <c r="A204" s="3002" t="s">
        <v>4135</v>
      </c>
      <c r="B204" s="3002" t="s">
        <v>3103</v>
      </c>
      <c r="C204" s="3002" t="s">
        <v>3104</v>
      </c>
      <c r="D204" s="3002" t="s">
        <v>3113</v>
      </c>
      <c r="E204" s="3002">
        <v>15084</v>
      </c>
      <c r="F204" s="3002" t="s">
        <v>3157</v>
      </c>
      <c r="G204" s="3002">
        <v>112817</v>
      </c>
      <c r="H204" s="3002" t="s">
        <v>4136</v>
      </c>
      <c r="I204" s="3002" t="s">
        <v>4126</v>
      </c>
      <c r="J204" s="3002" t="s">
        <v>4137</v>
      </c>
      <c r="K204" s="3002" t="s">
        <v>4045</v>
      </c>
      <c r="L204" s="3002">
        <v>29569</v>
      </c>
      <c r="M204" s="3002">
        <v>174.73</v>
      </c>
      <c r="N204" s="3002">
        <v>1841.08</v>
      </c>
      <c r="O204" s="3002">
        <v>0</v>
      </c>
      <c r="P204" s="3002" t="s">
        <v>3918</v>
      </c>
    </row>
    <row r="205" spans="1:16" hidden="1">
      <c r="A205" s="3002" t="s">
        <v>4138</v>
      </c>
      <c r="B205" s="3002" t="s">
        <v>3103</v>
      </c>
      <c r="C205" s="3002" t="s">
        <v>3112</v>
      </c>
      <c r="D205" s="3002" t="s">
        <v>3113</v>
      </c>
      <c r="E205" s="3002">
        <v>15078</v>
      </c>
      <c r="F205" s="3002" t="s">
        <v>3114</v>
      </c>
      <c r="G205" s="3002">
        <v>54109</v>
      </c>
      <c r="H205" s="3002" t="s">
        <v>4102</v>
      </c>
      <c r="I205" s="3002" t="s">
        <v>4126</v>
      </c>
      <c r="J205" s="3002" t="s">
        <v>4139</v>
      </c>
      <c r="K205" s="3002" t="s">
        <v>4057</v>
      </c>
      <c r="L205" s="3002">
        <v>14772</v>
      </c>
      <c r="M205" s="3002">
        <v>182</v>
      </c>
      <c r="N205" s="3002">
        <v>1092</v>
      </c>
      <c r="O205" s="3002">
        <v>0</v>
      </c>
      <c r="P205" s="3002" t="s">
        <v>3163</v>
      </c>
    </row>
    <row r="206" spans="1:16" hidden="1">
      <c r="A206" s="3002" t="s">
        <v>4140</v>
      </c>
      <c r="B206" s="3002" t="s">
        <v>3103</v>
      </c>
      <c r="C206" s="3002" t="s">
        <v>3104</v>
      </c>
      <c r="D206" s="3002" t="s">
        <v>3113</v>
      </c>
      <c r="E206" s="3002">
        <v>15083</v>
      </c>
      <c r="F206" s="3002" t="s">
        <v>3157</v>
      </c>
      <c r="G206" s="3002">
        <v>18593</v>
      </c>
      <c r="H206" s="3002" t="s">
        <v>4141</v>
      </c>
      <c r="I206" s="3002" t="s">
        <v>4126</v>
      </c>
      <c r="J206" s="3002" t="s">
        <v>4142</v>
      </c>
      <c r="K206" s="3002" t="s">
        <v>4045</v>
      </c>
      <c r="L206" s="3002">
        <v>3180</v>
      </c>
      <c r="M206" s="3002">
        <v>114.02</v>
      </c>
      <c r="N206" s="3002">
        <v>1628.84</v>
      </c>
      <c r="O206" s="3002">
        <v>0</v>
      </c>
      <c r="P206" s="3002" t="s">
        <v>3918</v>
      </c>
    </row>
    <row r="207" spans="1:16" hidden="1">
      <c r="A207" s="3002" t="s">
        <v>4143</v>
      </c>
      <c r="B207" s="3002" t="s">
        <v>3103</v>
      </c>
      <c r="C207" s="3002" t="s">
        <v>3112</v>
      </c>
      <c r="D207" s="3002" t="s">
        <v>3113</v>
      </c>
      <c r="E207" s="3002">
        <v>15079</v>
      </c>
      <c r="F207" s="3002" t="s">
        <v>3114</v>
      </c>
      <c r="G207" s="3002">
        <v>32060</v>
      </c>
      <c r="H207" s="3002" t="s">
        <v>4144</v>
      </c>
      <c r="I207" s="3002" t="s">
        <v>4126</v>
      </c>
      <c r="J207" s="3002" t="s">
        <v>4145</v>
      </c>
      <c r="K207" s="3002" t="s">
        <v>4057</v>
      </c>
      <c r="L207" s="3002">
        <v>5996</v>
      </c>
      <c r="M207" s="3002">
        <v>124.68</v>
      </c>
      <c r="N207" s="3002">
        <v>1100.1400000000001</v>
      </c>
      <c r="O207" s="3002">
        <v>0</v>
      </c>
      <c r="P207" s="3002" t="s">
        <v>3163</v>
      </c>
    </row>
    <row r="208" spans="1:16" hidden="1">
      <c r="A208" s="3002" t="s">
        <v>4146</v>
      </c>
      <c r="B208" s="3002" t="s">
        <v>3103</v>
      </c>
      <c r="C208" s="3002" t="s">
        <v>3104</v>
      </c>
      <c r="D208" s="3002" t="s">
        <v>3113</v>
      </c>
      <c r="E208" s="3002">
        <v>15085</v>
      </c>
      <c r="F208" s="3002" t="s">
        <v>3157</v>
      </c>
      <c r="G208" s="3002">
        <v>135413</v>
      </c>
      <c r="H208" s="3002" t="s">
        <v>4102</v>
      </c>
      <c r="I208" s="3002" t="s">
        <v>4126</v>
      </c>
      <c r="J208" s="3002" t="s">
        <v>4147</v>
      </c>
      <c r="K208" s="3002" t="s">
        <v>4045</v>
      </c>
      <c r="L208" s="3002">
        <v>43796</v>
      </c>
      <c r="M208" s="3002">
        <v>215.62</v>
      </c>
      <c r="N208" s="3002">
        <v>1279.6600000000001</v>
      </c>
      <c r="O208" s="3002">
        <v>0</v>
      </c>
      <c r="P208" s="3002" t="s">
        <v>3918</v>
      </c>
    </row>
  </sheetData>
  <autoFilter ref="A1:P208">
    <filterColumn colId="5">
      <filters>
        <filter val="二类居住用地"/>
        <filter val="其他普通商品住房用地"/>
        <filter val="一类居住用地、二类居住用地"/>
      </filters>
    </filterColumn>
  </autoFilter>
  <phoneticPr fontId="143" type="noConversion"/>
  <hyperlinks>
    <hyperlink ref="Q32" r:id="rId1"/>
    <hyperlink ref="R32" r:id="rId2"/>
    <hyperlink ref="Q58" r:id="rId3"/>
    <hyperlink ref="Q70" r:id="rId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3"/>
  <sheetViews>
    <sheetView topLeftCell="A5" zoomScale="80" zoomScaleNormal="80" workbookViewId="0">
      <selection activeCell="G28" sqref="G2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2521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1394</v>
      </c>
      <c r="B2" s="671">
        <f>F66</f>
        <v>133311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1395</v>
      </c>
      <c r="B3" s="609">
        <f>ROUND(IF(D3="",B2*10000/'数据-汇总表'!E3,B2*10000/D3),0)</f>
        <v>3524</v>
      </c>
      <c r="C3" s="247" t="s">
        <v>2735</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2524</v>
      </c>
      <c r="B4" s="402"/>
      <c r="C4" s="3212" t="s">
        <v>2525</v>
      </c>
      <c r="D4" s="3225"/>
      <c r="E4" s="3226" t="s">
        <v>2526</v>
      </c>
      <c r="F4" s="3227"/>
      <c r="G4" s="3212" t="s">
        <v>2527</v>
      </c>
      <c r="H4" s="3225"/>
      <c r="I4" s="3212" t="s">
        <v>2528</v>
      </c>
      <c r="J4" s="3225"/>
      <c r="K4" s="610" t="s">
        <v>2529</v>
      </c>
      <c r="L4" s="1127"/>
      <c r="M4" s="1128"/>
      <c r="N4" s="1128"/>
      <c r="O4" s="1128"/>
      <c r="P4" s="3228" t="s">
        <v>2530</v>
      </c>
      <c r="Q4" s="3229"/>
      <c r="R4" s="3234" t="s">
        <v>2526</v>
      </c>
      <c r="S4" s="3235"/>
      <c r="T4" s="3234" t="s">
        <v>2527</v>
      </c>
      <c r="U4" s="3235"/>
      <c r="V4" s="3221" t="s">
        <v>2528</v>
      </c>
      <c r="W4" s="3221"/>
      <c r="X4" s="2950"/>
      <c r="Y4" s="3234" t="s">
        <v>2530</v>
      </c>
      <c r="Z4" s="3235"/>
      <c r="AA4" s="3222" t="s">
        <v>2526</v>
      </c>
      <c r="AB4" s="3223" t="s">
        <v>2527</v>
      </c>
      <c r="AC4" s="3222" t="s">
        <v>2528</v>
      </c>
    </row>
    <row r="5" spans="1:30" ht="45.75" customHeight="1">
      <c r="A5" s="404"/>
      <c r="B5" s="405"/>
      <c r="C5" s="3242" t="s">
        <v>2531</v>
      </c>
      <c r="D5" s="3243"/>
      <c r="E5" s="3249" t="str">
        <f>'土地案例（商业）'!A8</f>
        <v>九龙坡区大杨石组团H分区H10-2/02号宗地</v>
      </c>
      <c r="F5" s="3250"/>
      <c r="G5" s="3242" t="str">
        <f>'土地案例（商业）'!A10</f>
        <v>两江新区人和组团M分区M9-2/02号宗地</v>
      </c>
      <c r="H5" s="3243"/>
      <c r="I5" s="3242" t="str">
        <f>'土地案例（商业）'!A17</f>
        <v>江北区大石坝组团L分区L10-12/02(部分)号宗地</v>
      </c>
      <c r="J5" s="3243"/>
      <c r="K5" s="610"/>
      <c r="L5" s="1127"/>
      <c r="M5" s="1128"/>
      <c r="N5" s="1128"/>
      <c r="O5" s="1128"/>
      <c r="P5" s="3230"/>
      <c r="Q5" s="3231"/>
      <c r="R5" s="3236"/>
      <c r="S5" s="3237"/>
      <c r="T5" s="3236"/>
      <c r="U5" s="3237"/>
      <c r="V5" s="3221"/>
      <c r="W5" s="3221"/>
      <c r="X5" s="2950"/>
      <c r="Y5" s="3236"/>
      <c r="Z5" s="3237"/>
      <c r="AA5" s="3223"/>
      <c r="AB5" s="3223"/>
      <c r="AC5" s="3223"/>
    </row>
    <row r="6" spans="1:30" ht="15.75" thickBot="1">
      <c r="A6" s="406"/>
      <c r="B6" s="407"/>
      <c r="C6" s="3240" t="s">
        <v>2535</v>
      </c>
      <c r="D6" s="3241"/>
      <c r="E6" s="3247">
        <f>'土地案例（商业）'!E8</f>
        <v>17147</v>
      </c>
      <c r="F6" s="3248"/>
      <c r="G6" s="3240">
        <f>'土地案例（商业）'!E10</f>
        <v>17101</v>
      </c>
      <c r="H6" s="3241"/>
      <c r="I6" s="3240">
        <f>'土地案例（商业）'!E17</f>
        <v>17042</v>
      </c>
      <c r="J6" s="3241"/>
      <c r="K6" s="610" t="s">
        <v>2536</v>
      </c>
      <c r="L6" s="1127"/>
      <c r="M6" s="1128"/>
      <c r="N6" s="1128"/>
      <c r="O6" s="1128"/>
      <c r="P6" s="3232"/>
      <c r="Q6" s="3233"/>
      <c r="R6" s="3236"/>
      <c r="S6" s="3237"/>
      <c r="T6" s="3238"/>
      <c r="U6" s="3239"/>
      <c r="V6" s="3221"/>
      <c r="W6" s="3221"/>
      <c r="X6" s="2950"/>
      <c r="Y6" s="3238"/>
      <c r="Z6" s="3239"/>
      <c r="AA6" s="3224"/>
      <c r="AB6" s="3224"/>
      <c r="AC6" s="3224"/>
    </row>
    <row r="7" spans="1:30" s="117" customFormat="1" ht="15.75" thickBot="1">
      <c r="A7" s="408" t="s">
        <v>2537</v>
      </c>
      <c r="B7" s="409"/>
      <c r="C7" s="410">
        <f>'数据-取费表'!B2</f>
        <v>43332</v>
      </c>
      <c r="D7" s="411">
        <v>100</v>
      </c>
      <c r="E7" s="412" t="str">
        <f>'土地案例（商业）'!I8</f>
        <v>2017-12-11</v>
      </c>
      <c r="F7" s="413">
        <f>SUMIF(70:70,YEAR(E7)&amp;"-"&amp;INT((MONTH(E7)+2)/3),71:71)</f>
        <v>97</v>
      </c>
      <c r="G7" s="2690" t="str">
        <f>'土地案例（商业）'!I10</f>
        <v>2017-08-17</v>
      </c>
      <c r="H7" s="411">
        <f>SUMIF(70:70,YEAR(G7)&amp;"-"&amp;INT((MONTH(G7)+2)/3),71:71)</f>
        <v>96</v>
      </c>
      <c r="I7" s="2690" t="str">
        <f>'土地案例（商业）'!I17</f>
        <v>2017-05-05</v>
      </c>
      <c r="J7" s="411">
        <f>SUMIF(70:70,YEAR(I7)&amp;"-"&amp;INT((MONTH(I7)+2)/3),71:71)</f>
        <v>95</v>
      </c>
      <c r="K7" s="611"/>
      <c r="L7" s="1129"/>
      <c r="M7" s="1130"/>
      <c r="N7" s="1130"/>
      <c r="O7" s="1130"/>
      <c r="P7" s="3244" t="s">
        <v>2538</v>
      </c>
      <c r="Q7" s="3246"/>
      <c r="R7" s="770" t="s">
        <v>17</v>
      </c>
      <c r="S7" s="771">
        <f t="shared" ref="S7:S15" si="0">F7</f>
        <v>97</v>
      </c>
      <c r="T7" s="770" t="s">
        <v>17</v>
      </c>
      <c r="U7" s="771">
        <f t="shared" ref="U7:U15" si="1">H7</f>
        <v>96</v>
      </c>
      <c r="V7" s="770" t="s">
        <v>17</v>
      </c>
      <c r="W7" s="771">
        <f t="shared" ref="W7:W15" si="2">J7</f>
        <v>95</v>
      </c>
      <c r="X7" s="772"/>
      <c r="Y7" s="3244" t="s">
        <v>2538</v>
      </c>
      <c r="Z7" s="3245"/>
      <c r="AA7" s="773">
        <f>D7/F7</f>
        <v>1.0309278350515463</v>
      </c>
      <c r="AB7" s="773">
        <f>D7/H7</f>
        <v>1.0416666666666667</v>
      </c>
      <c r="AC7" s="773">
        <f>D7/J7</f>
        <v>1.0526315789473684</v>
      </c>
    </row>
    <row r="8" spans="1:30" s="117" customFormat="1" ht="15.75" thickBot="1">
      <c r="A8" s="408" t="s">
        <v>2539</v>
      </c>
      <c r="B8" s="409"/>
      <c r="C8" s="414" t="s">
        <v>2540</v>
      </c>
      <c r="D8" s="411">
        <v>100</v>
      </c>
      <c r="E8" s="414" t="s">
        <v>3191</v>
      </c>
      <c r="F8" s="413">
        <f>SUMIF(73:73,E8,74:74)-SUMIF(73:73,C8,74:74)+100</f>
        <v>100</v>
      </c>
      <c r="G8" s="414" t="s">
        <v>3191</v>
      </c>
      <c r="H8" s="411">
        <f>SUMIF(73:73,G8,74:74)-SUMIF(73:73,C8,74:74)+100</f>
        <v>100</v>
      </c>
      <c r="I8" s="414" t="s">
        <v>3191</v>
      </c>
      <c r="J8" s="411">
        <f>SUMIF(73:73,I8,74:74)-SUMIF(73:73,C8,74:74)+100</f>
        <v>100</v>
      </c>
      <c r="K8" s="611"/>
      <c r="L8" s="1129"/>
      <c r="M8" s="1130"/>
      <c r="N8" s="1130"/>
      <c r="O8" s="1130"/>
      <c r="P8" s="3244" t="s">
        <v>2541</v>
      </c>
      <c r="Q8" s="3245"/>
      <c r="R8" s="770" t="s">
        <v>17</v>
      </c>
      <c r="S8" s="771">
        <f t="shared" si="0"/>
        <v>100</v>
      </c>
      <c r="T8" s="770" t="s">
        <v>17</v>
      </c>
      <c r="U8" s="771">
        <f t="shared" si="1"/>
        <v>100</v>
      </c>
      <c r="V8" s="770" t="s">
        <v>17</v>
      </c>
      <c r="W8" s="771">
        <f t="shared" si="2"/>
        <v>100</v>
      </c>
      <c r="X8" s="772"/>
      <c r="Y8" s="3244" t="s">
        <v>2541</v>
      </c>
      <c r="Z8" s="3245"/>
      <c r="AA8" s="773">
        <f t="shared" ref="AA8:AA45" si="3">D8/F8</f>
        <v>1</v>
      </c>
      <c r="AB8" s="773">
        <f t="shared" ref="AB8:AB45" si="4">D8/H8</f>
        <v>1</v>
      </c>
      <c r="AC8" s="773">
        <f t="shared" ref="AC8:AC45" si="5">D8/J8</f>
        <v>1</v>
      </c>
    </row>
    <row r="9" spans="1:30" s="117" customFormat="1" ht="28.5">
      <c r="A9" s="415" t="s">
        <v>2542</v>
      </c>
      <c r="B9" s="71" t="s">
        <v>2543</v>
      </c>
      <c r="C9" s="2693" t="s">
        <v>1377</v>
      </c>
      <c r="D9" s="135">
        <v>100</v>
      </c>
      <c r="E9" s="2693" t="s">
        <v>3207</v>
      </c>
      <c r="F9" s="135">
        <f>SUMIF(75:75,E9,76:76)-SUMIF(75:75,C9,76:76)+100</f>
        <v>100</v>
      </c>
      <c r="G9" s="2693" t="s">
        <v>3275</v>
      </c>
      <c r="H9" s="135">
        <f>SUMIF(75:75,G9,76:76)-SUMIF(75:75,C9,76:76)+100</f>
        <v>100</v>
      </c>
      <c r="I9" s="2693" t="s">
        <v>3207</v>
      </c>
      <c r="J9" s="135">
        <f>SUMIF(75:75,I9,76:76)-SUMIF(75:75,C9,76:76)+100</f>
        <v>100</v>
      </c>
      <c r="K9" s="611"/>
      <c r="L9" s="1129"/>
      <c r="M9" s="1130"/>
      <c r="N9" s="1130"/>
      <c r="O9" s="1131"/>
      <c r="P9" s="3215" t="s">
        <v>2544</v>
      </c>
      <c r="Q9" s="2936" t="str">
        <f t="shared" ref="Q9:Q15" si="6">B9</f>
        <v>用途</v>
      </c>
      <c r="R9" s="770" t="s">
        <v>17</v>
      </c>
      <c r="S9" s="771">
        <f t="shared" si="0"/>
        <v>100</v>
      </c>
      <c r="T9" s="770" t="s">
        <v>17</v>
      </c>
      <c r="U9" s="771">
        <f t="shared" si="1"/>
        <v>100</v>
      </c>
      <c r="V9" s="770" t="s">
        <v>17</v>
      </c>
      <c r="W9" s="771">
        <f t="shared" si="2"/>
        <v>100</v>
      </c>
      <c r="X9" s="772"/>
      <c r="Y9" s="3059" t="s">
        <v>2545</v>
      </c>
      <c r="Z9" s="2937" t="str">
        <f t="shared" ref="Z9:Z15" si="7">Q9</f>
        <v>用途</v>
      </c>
      <c r="AA9" s="773">
        <f t="shared" si="3"/>
        <v>1</v>
      </c>
      <c r="AB9" s="773">
        <f t="shared" si="4"/>
        <v>1</v>
      </c>
      <c r="AC9" s="773">
        <f t="shared" si="5"/>
        <v>1</v>
      </c>
    </row>
    <row r="10" spans="1:30" s="427" customFormat="1" ht="27">
      <c r="A10" s="421"/>
      <c r="B10" s="2942" t="s">
        <v>2546</v>
      </c>
      <c r="C10" s="432">
        <f>项目基本情况!F16</f>
        <v>0</v>
      </c>
      <c r="D10" s="136">
        <v>100</v>
      </c>
      <c r="E10" s="2988" t="s">
        <v>3368</v>
      </c>
      <c r="F10" s="136">
        <f>ROUND(100/'数据-取费表'!G16,0)</f>
        <v>108</v>
      </c>
      <c r="G10" s="2988" t="s">
        <v>3368</v>
      </c>
      <c r="H10" s="136">
        <f>ROUND(100/'数据-取费表'!G16,0)</f>
        <v>108</v>
      </c>
      <c r="I10" s="2988" t="s">
        <v>3368</v>
      </c>
      <c r="J10" s="136">
        <f>ROUND(100/'数据-取费表'!G16,0)</f>
        <v>108</v>
      </c>
      <c r="K10" s="672"/>
      <c r="L10" s="1132"/>
      <c r="M10" s="1133"/>
      <c r="N10" s="1133"/>
      <c r="O10" s="1134"/>
      <c r="P10" s="3215"/>
      <c r="Q10" s="2936" t="str">
        <f t="shared" si="6"/>
        <v>土地使用年限（年）</v>
      </c>
      <c r="R10" s="770" t="s">
        <v>17</v>
      </c>
      <c r="S10" s="771">
        <f t="shared" si="0"/>
        <v>108</v>
      </c>
      <c r="T10" s="770" t="s">
        <v>17</v>
      </c>
      <c r="U10" s="771">
        <f t="shared" si="1"/>
        <v>108</v>
      </c>
      <c r="V10" s="770" t="s">
        <v>17</v>
      </c>
      <c r="W10" s="771">
        <f t="shared" si="2"/>
        <v>108</v>
      </c>
      <c r="X10" s="772"/>
      <c r="Y10" s="3059"/>
      <c r="Z10" s="2937" t="str">
        <f t="shared" si="7"/>
        <v>土地使用年限（年）</v>
      </c>
      <c r="AA10" s="773">
        <f t="shared" si="3"/>
        <v>0.92592592592592593</v>
      </c>
      <c r="AB10" s="773">
        <f t="shared" si="4"/>
        <v>0.92592592592592593</v>
      </c>
      <c r="AC10" s="773">
        <f t="shared" si="5"/>
        <v>0.92592592592592593</v>
      </c>
    </row>
    <row r="11" spans="1:30" ht="15.75" thickBot="1">
      <c r="A11" s="428"/>
      <c r="B11" s="2942" t="s">
        <v>2547</v>
      </c>
      <c r="C11" s="429">
        <f>'数据-汇总表'!I6</f>
        <v>8.8699999999999992</v>
      </c>
      <c r="D11" s="136">
        <v>100</v>
      </c>
      <c r="E11" s="429">
        <v>6</v>
      </c>
      <c r="F11" s="136">
        <f>LOOKUP(E11,80:80,81:81)-LOOKUP(C11,80:80,81:81)+100</f>
        <v>102</v>
      </c>
      <c r="G11" s="430">
        <v>4.5</v>
      </c>
      <c r="H11" s="136">
        <f>LOOKUP(G11,80:80,81:81)-LOOKUP(C11,80:80,81:81)+100</f>
        <v>104</v>
      </c>
      <c r="I11" s="429">
        <v>4.5</v>
      </c>
      <c r="J11" s="136">
        <f>LOOKUP(I11,80:80,81:81)-LOOKUP(C11,80:80,81:81)+100</f>
        <v>104</v>
      </c>
      <c r="K11" s="673">
        <v>2</v>
      </c>
      <c r="L11" s="1135"/>
      <c r="M11" s="1128"/>
      <c r="N11" s="1128"/>
      <c r="O11" s="1136"/>
      <c r="P11" s="3215"/>
      <c r="Q11" s="2936" t="str">
        <f t="shared" si="6"/>
        <v>容积率</v>
      </c>
      <c r="R11" s="770" t="s">
        <v>17</v>
      </c>
      <c r="S11" s="771">
        <f t="shared" si="0"/>
        <v>102</v>
      </c>
      <c r="T11" s="770" t="s">
        <v>17</v>
      </c>
      <c r="U11" s="771">
        <f t="shared" si="1"/>
        <v>104</v>
      </c>
      <c r="V11" s="770" t="s">
        <v>17</v>
      </c>
      <c r="W11" s="771">
        <f t="shared" si="2"/>
        <v>104</v>
      </c>
      <c r="X11" s="772"/>
      <c r="Y11" s="3059"/>
      <c r="Z11" s="2937" t="str">
        <f t="shared" si="7"/>
        <v>容积率</v>
      </c>
      <c r="AA11" s="773">
        <f t="shared" si="3"/>
        <v>0.98039215686274506</v>
      </c>
      <c r="AB11" s="773">
        <f t="shared" si="4"/>
        <v>0.96153846153846156</v>
      </c>
      <c r="AC11" s="773">
        <f t="shared" si="5"/>
        <v>0.96153846153846156</v>
      </c>
    </row>
    <row r="12" spans="1:30" s="117" customFormat="1" ht="15.75" hidden="1" thickBot="1">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15"/>
      <c r="Q12" s="2936">
        <f t="shared" si="6"/>
        <v>0</v>
      </c>
      <c r="R12" s="770" t="s">
        <v>17</v>
      </c>
      <c r="S12" s="771">
        <f t="shared" si="0"/>
        <v>100</v>
      </c>
      <c r="T12" s="770" t="s">
        <v>17</v>
      </c>
      <c r="U12" s="771">
        <f t="shared" si="1"/>
        <v>100</v>
      </c>
      <c r="V12" s="770" t="s">
        <v>17</v>
      </c>
      <c r="W12" s="771">
        <f t="shared" si="2"/>
        <v>100</v>
      </c>
      <c r="X12" s="772"/>
      <c r="Y12" s="3059"/>
      <c r="Z12" s="2937">
        <f t="shared" si="7"/>
        <v>0</v>
      </c>
      <c r="AA12" s="773">
        <f>D12/F12</f>
        <v>1</v>
      </c>
      <c r="AB12" s="773">
        <f>D12/H12</f>
        <v>1</v>
      </c>
      <c r="AC12" s="773">
        <f>D12/J12</f>
        <v>1</v>
      </c>
    </row>
    <row r="13" spans="1:30" ht="15.75" hidden="1" thickBot="1">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15"/>
      <c r="Q13" s="2936">
        <f t="shared" si="6"/>
        <v>0</v>
      </c>
      <c r="R13" s="770" t="s">
        <v>17</v>
      </c>
      <c r="S13" s="771">
        <f t="shared" si="0"/>
        <v>100</v>
      </c>
      <c r="T13" s="770" t="s">
        <v>17</v>
      </c>
      <c r="U13" s="771">
        <f t="shared" si="1"/>
        <v>100</v>
      </c>
      <c r="V13" s="770" t="s">
        <v>17</v>
      </c>
      <c r="W13" s="771">
        <f t="shared" si="2"/>
        <v>100</v>
      </c>
      <c r="X13" s="772"/>
      <c r="Y13" s="3059"/>
      <c r="Z13" s="2937">
        <f t="shared" si="7"/>
        <v>0</v>
      </c>
      <c r="AA13" s="773">
        <f>D13/F13</f>
        <v>1</v>
      </c>
      <c r="AB13" s="773">
        <f>D13/H13</f>
        <v>1</v>
      </c>
      <c r="AC13" s="773">
        <f>D13/J13</f>
        <v>1</v>
      </c>
    </row>
    <row r="14" spans="1:30" ht="15.75" hidden="1"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15"/>
      <c r="Q14" s="2936">
        <f t="shared" si="6"/>
        <v>0</v>
      </c>
      <c r="R14" s="770" t="s">
        <v>17</v>
      </c>
      <c r="S14" s="771">
        <f t="shared" si="0"/>
        <v>100</v>
      </c>
      <c r="T14" s="770" t="s">
        <v>17</v>
      </c>
      <c r="U14" s="771">
        <f t="shared" si="1"/>
        <v>100</v>
      </c>
      <c r="V14" s="770" t="s">
        <v>17</v>
      </c>
      <c r="W14" s="771">
        <f t="shared" si="2"/>
        <v>100</v>
      </c>
      <c r="X14" s="772"/>
      <c r="Y14" s="3059"/>
      <c r="Z14" s="2937">
        <f t="shared" si="7"/>
        <v>0</v>
      </c>
      <c r="AA14" s="773">
        <f>D14/F14</f>
        <v>1</v>
      </c>
      <c r="AB14" s="773">
        <f>D14/H14</f>
        <v>1</v>
      </c>
      <c r="AC14" s="773">
        <f>D14/J14</f>
        <v>1</v>
      </c>
    </row>
    <row r="15" spans="1:30" ht="57">
      <c r="A15" s="440" t="s">
        <v>2548</v>
      </c>
      <c r="B15" s="69" t="s">
        <v>2084</v>
      </c>
      <c r="C15" s="2597" t="str">
        <f>估价对象房地状况!C15</f>
        <v>周边居住用地比例、居住小区规模和社区发展完善程度</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17" t="s">
        <v>2549</v>
      </c>
      <c r="Q15" s="2948" t="str">
        <f t="shared" si="6"/>
        <v>居住社区成熟度</v>
      </c>
      <c r="R15" s="774" t="s">
        <v>17</v>
      </c>
      <c r="S15" s="775">
        <f t="shared" si="0"/>
        <v>100</v>
      </c>
      <c r="T15" s="774" t="s">
        <v>17</v>
      </c>
      <c r="U15" s="775">
        <f t="shared" si="1"/>
        <v>100</v>
      </c>
      <c r="V15" s="774" t="s">
        <v>17</v>
      </c>
      <c r="W15" s="775">
        <f t="shared" si="2"/>
        <v>100</v>
      </c>
      <c r="X15" s="2950"/>
      <c r="Y15" s="3217" t="s">
        <v>2549</v>
      </c>
      <c r="Z15" s="2951" t="str">
        <f t="shared" si="7"/>
        <v>居住社区成熟度</v>
      </c>
      <c r="AA15" s="2949">
        <f t="shared" si="3"/>
        <v>1</v>
      </c>
      <c r="AB15" s="2949">
        <f t="shared" si="4"/>
        <v>1</v>
      </c>
      <c r="AC15" s="2949">
        <f t="shared" si="5"/>
        <v>1</v>
      </c>
    </row>
    <row r="16" spans="1:30" ht="15">
      <c r="A16" s="428"/>
      <c r="B16" s="446"/>
      <c r="C16" s="447"/>
      <c r="D16" s="448"/>
      <c r="E16" s="2599"/>
      <c r="F16" s="448"/>
      <c r="G16" s="2599"/>
      <c r="H16" s="450"/>
      <c r="I16" s="2598"/>
      <c r="J16" s="448"/>
      <c r="K16" s="672"/>
      <c r="L16" s="1137"/>
      <c r="M16" s="1128"/>
      <c r="N16" s="1128"/>
      <c r="O16" s="1136"/>
      <c r="P16" s="3218"/>
      <c r="Q16" s="2948"/>
      <c r="R16" s="774"/>
      <c r="S16" s="775"/>
      <c r="T16" s="774"/>
      <c r="U16" s="775"/>
      <c r="V16" s="774"/>
      <c r="W16" s="775"/>
      <c r="X16" s="2950"/>
      <c r="Y16" s="3218"/>
      <c r="Z16" s="2951"/>
      <c r="AA16" s="2949">
        <v>1</v>
      </c>
      <c r="AB16" s="2949">
        <v>1</v>
      </c>
      <c r="AC16" s="2949">
        <v>1</v>
      </c>
    </row>
    <row r="17" spans="1:29" ht="28.5">
      <c r="A17" s="428"/>
      <c r="B17" s="451" t="s">
        <v>2642</v>
      </c>
      <c r="C17" s="2658" t="str">
        <f>估价对象房地状况!C16</f>
        <v>XX商圈，周边商业氛围，人流量</v>
      </c>
      <c r="D17" s="450">
        <v>100</v>
      </c>
      <c r="E17" s="452"/>
      <c r="F17" s="450">
        <f>SUMIF(90:90,E18,91:91)-SUMIF(90:90,C18,91:91)+100</f>
        <v>90</v>
      </c>
      <c r="G17" s="452"/>
      <c r="H17" s="455">
        <f>SUMIF(90:90,G18,91:91)-SUMIF(90:90,C18,91:91)+100</f>
        <v>90</v>
      </c>
      <c r="I17" s="454"/>
      <c r="J17" s="455">
        <f>SUMIF(90:90,I18,91:91)-SUMIF(90:90,C18,91:91)+100</f>
        <v>95</v>
      </c>
      <c r="K17" s="673">
        <v>5</v>
      </c>
      <c r="L17" s="1137"/>
      <c r="M17" s="1128"/>
      <c r="N17" s="1128"/>
      <c r="O17" s="1136"/>
      <c r="P17" s="3218"/>
      <c r="Q17" s="2948" t="str">
        <f>B17</f>
        <v>商业繁华度</v>
      </c>
      <c r="R17" s="774" t="s">
        <v>17</v>
      </c>
      <c r="S17" s="775">
        <f>F17</f>
        <v>90</v>
      </c>
      <c r="T17" s="774" t="s">
        <v>17</v>
      </c>
      <c r="U17" s="775">
        <f>H17</f>
        <v>90</v>
      </c>
      <c r="V17" s="774" t="s">
        <v>17</v>
      </c>
      <c r="W17" s="775">
        <f>J17</f>
        <v>95</v>
      </c>
      <c r="X17" s="2950"/>
      <c r="Y17" s="3218"/>
      <c r="Z17" s="2951" t="str">
        <f>Q17</f>
        <v>商业繁华度</v>
      </c>
      <c r="AA17" s="2949">
        <f t="shared" si="3"/>
        <v>1.1111111111111112</v>
      </c>
      <c r="AB17" s="2949">
        <f t="shared" si="4"/>
        <v>1.1111111111111112</v>
      </c>
      <c r="AC17" s="2949">
        <f t="shared" si="5"/>
        <v>1.0526315789473684</v>
      </c>
    </row>
    <row r="18" spans="1:29" ht="15">
      <c r="A18" s="428"/>
      <c r="B18" s="456"/>
      <c r="C18" s="2602" t="s">
        <v>3193</v>
      </c>
      <c r="D18" s="450"/>
      <c r="E18" s="2604" t="s">
        <v>3192</v>
      </c>
      <c r="F18" s="450"/>
      <c r="G18" s="2604" t="s">
        <v>3192</v>
      </c>
      <c r="H18" s="448"/>
      <c r="I18" s="2603" t="s">
        <v>3176</v>
      </c>
      <c r="J18" s="448"/>
      <c r="K18" s="672"/>
      <c r="L18" s="1137"/>
      <c r="M18" s="1128"/>
      <c r="N18" s="1128"/>
      <c r="O18" s="1136"/>
      <c r="P18" s="3218"/>
      <c r="Q18" s="2948"/>
      <c r="R18" s="774"/>
      <c r="S18" s="775"/>
      <c r="T18" s="774"/>
      <c r="U18" s="775"/>
      <c r="V18" s="774"/>
      <c r="W18" s="775"/>
      <c r="X18" s="2950"/>
      <c r="Y18" s="3218"/>
      <c r="Z18" s="2951"/>
      <c r="AA18" s="2949">
        <v>1</v>
      </c>
      <c r="AB18" s="2949">
        <v>1</v>
      </c>
      <c r="AC18" s="2949">
        <v>1</v>
      </c>
    </row>
    <row r="19" spans="1:29" ht="42.75">
      <c r="A19" s="428"/>
      <c r="B19" s="451" t="s">
        <v>2676</v>
      </c>
      <c r="C19" s="2658" t="str">
        <f>估价对象房地状况!C17</f>
        <v>XX商圈，周边办公楼项目，入驻率</v>
      </c>
      <c r="D19" s="455">
        <v>100</v>
      </c>
      <c r="E19" s="457"/>
      <c r="F19" s="455">
        <f>SUMIF(92:92,E20,93:93)-SUMIF(92:92,C20,93:93)+100</f>
        <v>90</v>
      </c>
      <c r="G19" s="457"/>
      <c r="H19" s="450">
        <f>SUMIF(92:92,G20,93:93)-SUMIF(92:92,C20,93:93)+100</f>
        <v>90</v>
      </c>
      <c r="I19" s="459"/>
      <c r="J19" s="450">
        <f>SUMIF(92:92,I20,93:93)-SUMIF(92:92,C20,93:93)+100</f>
        <v>95</v>
      </c>
      <c r="K19" s="673">
        <v>5</v>
      </c>
      <c r="L19" s="1137"/>
      <c r="M19" s="1128"/>
      <c r="N19" s="1128"/>
      <c r="O19" s="1136"/>
      <c r="P19" s="3218"/>
      <c r="Q19" s="2948" t="str">
        <f>B19</f>
        <v>办公集聚程度</v>
      </c>
      <c r="R19" s="774" t="s">
        <v>17</v>
      </c>
      <c r="S19" s="775">
        <f>F19</f>
        <v>90</v>
      </c>
      <c r="T19" s="774" t="s">
        <v>17</v>
      </c>
      <c r="U19" s="775">
        <f>H19</f>
        <v>90</v>
      </c>
      <c r="V19" s="774" t="s">
        <v>17</v>
      </c>
      <c r="W19" s="775">
        <f>J19</f>
        <v>95</v>
      </c>
      <c r="X19" s="2950"/>
      <c r="Y19" s="3218"/>
      <c r="Z19" s="2951" t="str">
        <f>Q19</f>
        <v>办公集聚程度</v>
      </c>
      <c r="AA19" s="2949">
        <f t="shared" si="3"/>
        <v>1.1111111111111112</v>
      </c>
      <c r="AB19" s="2949">
        <f t="shared" si="4"/>
        <v>1.1111111111111112</v>
      </c>
      <c r="AC19" s="2949">
        <f t="shared" si="5"/>
        <v>1.0526315789473684</v>
      </c>
    </row>
    <row r="20" spans="1:29" ht="15">
      <c r="A20" s="428"/>
      <c r="B20" s="456"/>
      <c r="C20" s="447" t="s">
        <v>3193</v>
      </c>
      <c r="D20" s="448"/>
      <c r="E20" s="2599" t="s">
        <v>3192</v>
      </c>
      <c r="F20" s="448"/>
      <c r="G20" s="2599" t="s">
        <v>3192</v>
      </c>
      <c r="H20" s="448"/>
      <c r="I20" s="2598" t="s">
        <v>3176</v>
      </c>
      <c r="J20" s="448"/>
      <c r="K20" s="672"/>
      <c r="L20" s="1137"/>
      <c r="M20" s="1128"/>
      <c r="N20" s="1128"/>
      <c r="O20" s="1136"/>
      <c r="P20" s="3218"/>
      <c r="Q20" s="2948"/>
      <c r="R20" s="774"/>
      <c r="S20" s="775"/>
      <c r="T20" s="774"/>
      <c r="U20" s="775"/>
      <c r="V20" s="774"/>
      <c r="W20" s="775"/>
      <c r="X20" s="2950"/>
      <c r="Y20" s="3218"/>
      <c r="Z20" s="2951"/>
      <c r="AA20" s="2949">
        <v>1</v>
      </c>
      <c r="AB20" s="2949">
        <v>1</v>
      </c>
      <c r="AC20" s="2949">
        <v>1</v>
      </c>
    </row>
    <row r="21" spans="1:29" ht="71.25">
      <c r="A21" s="428"/>
      <c r="B21" s="451" t="s">
        <v>2698</v>
      </c>
      <c r="C21" s="2601" t="str">
        <f>估价对象房地状况!C18</f>
        <v>周边道路状况、公共交通通达情况、停车便捷程度（地铁三号线观音桥</v>
      </c>
      <c r="D21" s="450">
        <v>100</v>
      </c>
      <c r="E21" s="2992" t="s">
        <v>4216</v>
      </c>
      <c r="F21" s="455">
        <f>SUMIF(94:94,E22,95:95)-SUMIF(94:94,C22,95:95)+100</f>
        <v>90</v>
      </c>
      <c r="G21" s="452"/>
      <c r="H21" s="450">
        <f>SUMIF(94:94,G22,95:95)-SUMIF(94:94,C22,95:95)+100</f>
        <v>90</v>
      </c>
      <c r="I21" s="454" t="s">
        <v>4215</v>
      </c>
      <c r="J21" s="450">
        <f>SUMIF(94:94,I22,95:95)-SUMIF(94:94,C22,95:95)+100</f>
        <v>90</v>
      </c>
      <c r="K21" s="673">
        <v>5</v>
      </c>
      <c r="L21" s="1137"/>
      <c r="M21" s="1128"/>
      <c r="N21" s="1128"/>
      <c r="O21" s="1136"/>
      <c r="P21" s="3218"/>
      <c r="Q21" s="2948" t="str">
        <f>B21</f>
        <v>交通便捷度</v>
      </c>
      <c r="R21" s="774" t="s">
        <v>17</v>
      </c>
      <c r="S21" s="775">
        <f>F21</f>
        <v>90</v>
      </c>
      <c r="T21" s="774" t="s">
        <v>17</v>
      </c>
      <c r="U21" s="775">
        <f>H21</f>
        <v>90</v>
      </c>
      <c r="V21" s="774" t="s">
        <v>17</v>
      </c>
      <c r="W21" s="775">
        <f>J21</f>
        <v>90</v>
      </c>
      <c r="X21" s="2950"/>
      <c r="Y21" s="3218"/>
      <c r="Z21" s="2951" t="str">
        <f>Q21</f>
        <v>交通便捷度</v>
      </c>
      <c r="AA21" s="2949">
        <f t="shared" si="3"/>
        <v>1.1111111111111112</v>
      </c>
      <c r="AB21" s="2949">
        <f t="shared" si="4"/>
        <v>1.1111111111111112</v>
      </c>
      <c r="AC21" s="2949">
        <f t="shared" si="5"/>
        <v>1.1111111111111112</v>
      </c>
    </row>
    <row r="22" spans="1:29" ht="15">
      <c r="A22" s="428"/>
      <c r="B22" s="1381"/>
      <c r="C22" s="447" t="s">
        <v>3193</v>
      </c>
      <c r="D22" s="450"/>
      <c r="E22" s="3351" t="s">
        <v>3192</v>
      </c>
      <c r="F22" s="448"/>
      <c r="G22" s="3351" t="s">
        <v>3192</v>
      </c>
      <c r="H22" s="448"/>
      <c r="I22" s="3352" t="s">
        <v>3192</v>
      </c>
      <c r="J22" s="448"/>
      <c r="K22" s="672"/>
      <c r="L22" s="1137"/>
      <c r="M22" s="1128"/>
      <c r="N22" s="1128"/>
      <c r="O22" s="1136"/>
      <c r="P22" s="3218"/>
      <c r="Q22" s="2948"/>
      <c r="R22" s="774"/>
      <c r="S22" s="775"/>
      <c r="T22" s="774"/>
      <c r="U22" s="775"/>
      <c r="V22" s="774"/>
      <c r="W22" s="775"/>
      <c r="X22" s="2950"/>
      <c r="Y22" s="3218"/>
      <c r="Z22" s="2951"/>
      <c r="AA22" s="2949">
        <v>1</v>
      </c>
      <c r="AB22" s="2949">
        <v>1</v>
      </c>
      <c r="AC22" s="2949">
        <v>1</v>
      </c>
    </row>
    <row r="23" spans="1:29" ht="15">
      <c r="A23" s="404"/>
      <c r="B23" s="451" t="s">
        <v>2736</v>
      </c>
      <c r="C23" s="1386">
        <f>估价对象房地状况!C19</f>
        <v>0</v>
      </c>
      <c r="D23" s="455">
        <v>100</v>
      </c>
      <c r="E23" s="452"/>
      <c r="F23" s="455">
        <f>SUMIF(96:96,E24,97:97)-SUMIF(96:96,C24,97:97)+100</f>
        <v>100</v>
      </c>
      <c r="G23" s="452"/>
      <c r="H23" s="455">
        <f>SUMIF(96:96,G24,97:97)-SUMIF(96:96,C24,97:97)+100</f>
        <v>100</v>
      </c>
      <c r="I23" s="454"/>
      <c r="J23" s="455">
        <f>SUMIF(96:96,I24,97:97)-SUMIF(96:96,C24,97:97)+100</f>
        <v>100</v>
      </c>
      <c r="K23" s="673">
        <v>5</v>
      </c>
      <c r="L23" s="1137"/>
      <c r="M23" s="1128"/>
      <c r="N23" s="1128"/>
      <c r="O23" s="1136"/>
      <c r="P23" s="3218"/>
      <c r="Q23" s="2948" t="str">
        <f t="shared" ref="Q23:Q37" si="8">B23</f>
        <v>区域土地利用方向</v>
      </c>
      <c r="R23" s="774" t="s">
        <v>17</v>
      </c>
      <c r="S23" s="775">
        <f>F23</f>
        <v>100</v>
      </c>
      <c r="T23" s="774" t="s">
        <v>17</v>
      </c>
      <c r="U23" s="775">
        <f>H23</f>
        <v>100</v>
      </c>
      <c r="V23" s="774" t="s">
        <v>17</v>
      </c>
      <c r="W23" s="775">
        <f>J23</f>
        <v>100</v>
      </c>
      <c r="X23" s="2950"/>
      <c r="Y23" s="3218"/>
      <c r="Z23" s="2951" t="str">
        <f>Q23</f>
        <v>区域土地利用方向</v>
      </c>
      <c r="AA23" s="2949">
        <f t="shared" si="3"/>
        <v>1</v>
      </c>
      <c r="AB23" s="2949">
        <f t="shared" si="4"/>
        <v>1</v>
      </c>
      <c r="AC23" s="2949">
        <f t="shared" si="5"/>
        <v>1</v>
      </c>
    </row>
    <row r="24" spans="1:29" ht="15">
      <c r="A24" s="404"/>
      <c r="B24" s="456"/>
      <c r="C24" s="616" t="s">
        <v>3176</v>
      </c>
      <c r="D24" s="448"/>
      <c r="E24" s="616" t="s">
        <v>3176</v>
      </c>
      <c r="F24" s="448"/>
      <c r="G24" s="616" t="s">
        <v>3176</v>
      </c>
      <c r="H24" s="448"/>
      <c r="I24" s="616" t="s">
        <v>3176</v>
      </c>
      <c r="J24" s="448"/>
      <c r="K24" s="806"/>
      <c r="L24" s="1137"/>
      <c r="M24" s="1128"/>
      <c r="N24" s="1128"/>
      <c r="O24" s="1136"/>
      <c r="P24" s="3218"/>
      <c r="Q24" s="2948"/>
      <c r="R24" s="774"/>
      <c r="S24" s="775"/>
      <c r="T24" s="774"/>
      <c r="U24" s="775"/>
      <c r="V24" s="774"/>
      <c r="W24" s="775"/>
      <c r="X24" s="2950"/>
      <c r="Y24" s="3218"/>
      <c r="Z24" s="2951"/>
      <c r="AA24" s="2949"/>
      <c r="AB24" s="2949"/>
      <c r="AC24" s="2949"/>
    </row>
    <row r="25" spans="1:29" ht="27">
      <c r="A25" s="404"/>
      <c r="B25" s="1381" t="s">
        <v>2737</v>
      </c>
      <c r="C25" s="2658">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37"/>
      <c r="M25" s="1128"/>
      <c r="N25" s="1128"/>
      <c r="O25" s="1136"/>
      <c r="P25" s="3218"/>
      <c r="Q25" s="2948" t="str">
        <f t="shared" si="8"/>
        <v>自然及人文环境状况</v>
      </c>
      <c r="R25" s="774" t="s">
        <v>17</v>
      </c>
      <c r="S25" s="775">
        <f>F25</f>
        <v>100</v>
      </c>
      <c r="T25" s="774" t="s">
        <v>17</v>
      </c>
      <c r="U25" s="775">
        <f>H25</f>
        <v>100</v>
      </c>
      <c r="V25" s="774" t="s">
        <v>17</v>
      </c>
      <c r="W25" s="775">
        <f>J25</f>
        <v>100</v>
      </c>
      <c r="X25" s="2950"/>
      <c r="Y25" s="3218"/>
      <c r="Z25" s="2951" t="str">
        <f>Q25</f>
        <v>自然及人文环境状况</v>
      </c>
      <c r="AA25" s="2949">
        <f t="shared" si="3"/>
        <v>1</v>
      </c>
      <c r="AB25" s="2949">
        <f t="shared" si="4"/>
        <v>1</v>
      </c>
      <c r="AC25" s="2949">
        <f t="shared" si="5"/>
        <v>1</v>
      </c>
    </row>
    <row r="26" spans="1:29" ht="15">
      <c r="A26" s="404"/>
      <c r="B26" s="456"/>
      <c r="C26" s="447" t="s">
        <v>3176</v>
      </c>
      <c r="D26" s="448"/>
      <c r="E26" s="2605" t="s">
        <v>3176</v>
      </c>
      <c r="F26" s="448"/>
      <c r="G26" s="2605" t="s">
        <v>3176</v>
      </c>
      <c r="H26" s="448"/>
      <c r="I26" s="2605" t="s">
        <v>3176</v>
      </c>
      <c r="J26" s="448"/>
      <c r="K26" s="672"/>
      <c r="L26" s="1137"/>
      <c r="M26" s="1128"/>
      <c r="N26" s="1128"/>
      <c r="O26" s="1136"/>
      <c r="P26" s="3218"/>
      <c r="Q26" s="2948"/>
      <c r="R26" s="774"/>
      <c r="S26" s="775"/>
      <c r="T26" s="774"/>
      <c r="U26" s="775"/>
      <c r="V26" s="774"/>
      <c r="W26" s="775"/>
      <c r="X26" s="2950"/>
      <c r="Y26" s="3218"/>
      <c r="Z26" s="2951"/>
      <c r="AA26" s="2949">
        <v>1</v>
      </c>
      <c r="AB26" s="2949">
        <v>1</v>
      </c>
      <c r="AC26" s="2949">
        <v>1</v>
      </c>
    </row>
    <row r="27" spans="1:29" s="117" customFormat="1" ht="15">
      <c r="A27" s="649"/>
      <c r="B27" s="1381" t="s">
        <v>2643</v>
      </c>
      <c r="C27" s="2601">
        <f>估价对象房地状况!C21</f>
        <v>0</v>
      </c>
      <c r="D27" s="450">
        <v>100</v>
      </c>
      <c r="E27" s="452"/>
      <c r="F27" s="450">
        <f>SUMIF(100:100,E28,101:101)-SUMIF(100:100,C28,101:101)+100</f>
        <v>100</v>
      </c>
      <c r="G27" s="452"/>
      <c r="H27" s="450">
        <f>SUMIF(100:100,G28,101:101)-SUMIF(100:100,C28,101:101)+100</f>
        <v>95</v>
      </c>
      <c r="I27" s="454"/>
      <c r="J27" s="450">
        <f>SUMIF(100:100,I28,101:101)-SUMIF(100:100,C28,101:101)+100</f>
        <v>100</v>
      </c>
      <c r="K27" s="673">
        <v>5</v>
      </c>
      <c r="L27" s="1129"/>
      <c r="M27" s="1130"/>
      <c r="N27" s="1130"/>
      <c r="O27" s="1131"/>
      <c r="P27" s="3218"/>
      <c r="Q27" s="2936" t="str">
        <f t="shared" si="8"/>
        <v>公共配套设施</v>
      </c>
      <c r="R27" s="770" t="s">
        <v>17</v>
      </c>
      <c r="S27" s="771">
        <f>F27</f>
        <v>100</v>
      </c>
      <c r="T27" s="770" t="s">
        <v>17</v>
      </c>
      <c r="U27" s="771">
        <f>H27</f>
        <v>95</v>
      </c>
      <c r="V27" s="770" t="s">
        <v>17</v>
      </c>
      <c r="W27" s="771">
        <f>J27</f>
        <v>100</v>
      </c>
      <c r="X27" s="772"/>
      <c r="Y27" s="3218"/>
      <c r="Z27" s="2937" t="str">
        <f>Q27</f>
        <v>公共配套设施</v>
      </c>
      <c r="AA27" s="2949">
        <f>D27/F27</f>
        <v>1</v>
      </c>
      <c r="AB27" s="2949">
        <f>D27/H27</f>
        <v>1.0526315789473684</v>
      </c>
      <c r="AC27" s="2949">
        <f>D27/J27</f>
        <v>1</v>
      </c>
    </row>
    <row r="28" spans="1:29" s="117" customFormat="1" ht="15">
      <c r="A28" s="649"/>
      <c r="B28" s="456"/>
      <c r="C28" s="2694" t="s">
        <v>3176</v>
      </c>
      <c r="D28" s="448"/>
      <c r="E28" s="2605" t="s">
        <v>3176</v>
      </c>
      <c r="F28" s="448"/>
      <c r="G28" s="2605" t="s">
        <v>3192</v>
      </c>
      <c r="H28" s="448"/>
      <c r="I28" s="447" t="s">
        <v>3176</v>
      </c>
      <c r="J28" s="448"/>
      <c r="K28" s="672"/>
      <c r="L28" s="1129"/>
      <c r="M28" s="1130"/>
      <c r="N28" s="1130"/>
      <c r="O28" s="1131"/>
      <c r="P28" s="3218"/>
      <c r="Q28" s="2936"/>
      <c r="R28" s="770"/>
      <c r="S28" s="771"/>
      <c r="T28" s="770"/>
      <c r="U28" s="771"/>
      <c r="V28" s="770"/>
      <c r="W28" s="771"/>
      <c r="X28" s="772"/>
      <c r="Y28" s="3218"/>
      <c r="Z28" s="2937"/>
      <c r="AA28" s="2949">
        <v>1</v>
      </c>
      <c r="AB28" s="2949">
        <v>1</v>
      </c>
      <c r="AC28" s="2949">
        <v>1</v>
      </c>
    </row>
    <row r="29" spans="1:29" s="117" customFormat="1" ht="15">
      <c r="A29" s="649"/>
      <c r="B29" s="1381" t="s">
        <v>2644</v>
      </c>
      <c r="C29" s="260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29"/>
      <c r="M29" s="1130"/>
      <c r="N29" s="1130"/>
      <c r="O29" s="1131"/>
      <c r="P29" s="3218"/>
      <c r="Q29" s="2936" t="str">
        <f t="shared" ref="Q29" si="9">B29</f>
        <v>基础设施水平</v>
      </c>
      <c r="R29" s="770" t="s">
        <v>17</v>
      </c>
      <c r="S29" s="771">
        <f>F29</f>
        <v>100</v>
      </c>
      <c r="T29" s="770" t="s">
        <v>17</v>
      </c>
      <c r="U29" s="771">
        <f>H29</f>
        <v>100</v>
      </c>
      <c r="V29" s="770" t="s">
        <v>17</v>
      </c>
      <c r="W29" s="771">
        <f>J29</f>
        <v>100</v>
      </c>
      <c r="X29" s="772"/>
      <c r="Y29" s="3218"/>
      <c r="Z29" s="2937" t="str">
        <f>Q29</f>
        <v>基础设施水平</v>
      </c>
      <c r="AA29" s="2949">
        <f>D29/F29</f>
        <v>1</v>
      </c>
      <c r="AB29" s="2949">
        <f>D29/H29</f>
        <v>1</v>
      </c>
      <c r="AC29" s="2949">
        <f>D29/J29</f>
        <v>1</v>
      </c>
    </row>
    <row r="30" spans="1:29" s="117" customFormat="1" ht="15">
      <c r="A30" s="649"/>
      <c r="B30" s="456"/>
      <c r="C30" s="2694" t="s">
        <v>3367</v>
      </c>
      <c r="D30" s="448"/>
      <c r="E30" s="2694" t="s">
        <v>3367</v>
      </c>
      <c r="F30" s="448"/>
      <c r="G30" s="2694" t="s">
        <v>3367</v>
      </c>
      <c r="H30" s="448"/>
      <c r="I30" s="2694" t="s">
        <v>3367</v>
      </c>
      <c r="J30" s="448"/>
      <c r="K30" s="672"/>
      <c r="L30" s="1129"/>
      <c r="M30" s="1130"/>
      <c r="N30" s="1130"/>
      <c r="O30" s="1131"/>
      <c r="P30" s="3218"/>
      <c r="Q30" s="2936"/>
      <c r="R30" s="770"/>
      <c r="S30" s="771"/>
      <c r="T30" s="770"/>
      <c r="U30" s="771"/>
      <c r="V30" s="770"/>
      <c r="W30" s="771"/>
      <c r="X30" s="772"/>
      <c r="Y30" s="3218"/>
      <c r="Z30" s="2937"/>
      <c r="AA30" s="2949">
        <v>1</v>
      </c>
      <c r="AB30" s="2949">
        <v>1</v>
      </c>
      <c r="AC30" s="2949">
        <v>1</v>
      </c>
    </row>
    <row r="31" spans="1:29" ht="15" hidden="1">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8"/>
      <c r="Q31" s="2948" t="str">
        <f t="shared" si="8"/>
        <v>临街状况</v>
      </c>
      <c r="R31" s="774" t="s">
        <v>17</v>
      </c>
      <c r="S31" s="775">
        <f t="shared" ref="S31:S45" si="10">F31</f>
        <v>100</v>
      </c>
      <c r="T31" s="774" t="s">
        <v>17</v>
      </c>
      <c r="U31" s="775">
        <f t="shared" ref="U31:U45" si="11">H31</f>
        <v>100</v>
      </c>
      <c r="V31" s="774" t="s">
        <v>17</v>
      </c>
      <c r="W31" s="775">
        <f t="shared" ref="W31:W45" si="12">J31</f>
        <v>100</v>
      </c>
      <c r="X31" s="2950"/>
      <c r="Y31" s="3218"/>
      <c r="Z31" s="2951" t="str">
        <f t="shared" ref="Z31:Z45" si="13">Q31</f>
        <v>临街状况</v>
      </c>
      <c r="AA31" s="2949">
        <f t="shared" si="3"/>
        <v>1</v>
      </c>
      <c r="AB31" s="2949">
        <f t="shared" si="4"/>
        <v>1</v>
      </c>
      <c r="AC31" s="2949">
        <f t="shared" si="5"/>
        <v>1</v>
      </c>
    </row>
    <row r="32" spans="1:29" ht="27">
      <c r="A32" s="428"/>
      <c r="B32" s="1381" t="s">
        <v>2680</v>
      </c>
      <c r="C32" s="454" t="str">
        <f>'土地比较法-住宅'!C32</f>
        <v>江北一支路</v>
      </c>
      <c r="D32" s="450">
        <v>100</v>
      </c>
      <c r="E32" s="2992" t="s">
        <v>4213</v>
      </c>
      <c r="F32" s="450">
        <f>SUMIF(106:106,E33,107:107)-SUMIF(106:106,C33,107:107)+100</f>
        <v>100</v>
      </c>
      <c r="G32" s="2992" t="s">
        <v>4218</v>
      </c>
      <c r="H32" s="450">
        <f>SUMIF(106:106,G33,107:107)-SUMIF(106:106,C33,107:107)+100</f>
        <v>101</v>
      </c>
      <c r="I32" s="2991" t="s">
        <v>4217</v>
      </c>
      <c r="J32" s="450">
        <f>SUMIF(106:106,I33,107:107)-SUMIF(106:106,C33,107:107)+100</f>
        <v>100</v>
      </c>
      <c r="K32" s="673">
        <v>1</v>
      </c>
      <c r="L32" s="1137"/>
      <c r="M32" s="1128"/>
      <c r="N32" s="1128"/>
      <c r="O32" s="1136"/>
      <c r="P32" s="3218"/>
      <c r="Q32" s="2948" t="str">
        <f t="shared" si="8"/>
        <v>毗邻道路的类型与等级</v>
      </c>
      <c r="R32" s="774" t="s">
        <v>17</v>
      </c>
      <c r="S32" s="775">
        <f t="shared" si="10"/>
        <v>100</v>
      </c>
      <c r="T32" s="774" t="s">
        <v>17</v>
      </c>
      <c r="U32" s="775">
        <f t="shared" si="11"/>
        <v>101</v>
      </c>
      <c r="V32" s="774" t="s">
        <v>17</v>
      </c>
      <c r="W32" s="775">
        <f t="shared" si="12"/>
        <v>100</v>
      </c>
      <c r="X32" s="2950"/>
      <c r="Y32" s="3218"/>
      <c r="Z32" s="2951" t="str">
        <f t="shared" si="13"/>
        <v>毗邻道路的类型与等级</v>
      </c>
      <c r="AA32" s="2949">
        <f t="shared" si="3"/>
        <v>1</v>
      </c>
      <c r="AB32" s="2949">
        <f t="shared" si="4"/>
        <v>0.99009900990099009</v>
      </c>
      <c r="AC32" s="2949">
        <f t="shared" si="5"/>
        <v>1</v>
      </c>
    </row>
    <row r="33" spans="1:29" ht="15.75" thickBot="1">
      <c r="A33" s="428"/>
      <c r="B33" s="456"/>
      <c r="C33" s="447" t="s">
        <v>3182</v>
      </c>
      <c r="D33" s="448"/>
      <c r="E33" s="2605" t="s">
        <v>3182</v>
      </c>
      <c r="F33" s="448"/>
      <c r="G33" s="2605" t="s">
        <v>3180</v>
      </c>
      <c r="H33" s="448"/>
      <c r="I33" s="2996" t="s">
        <v>3182</v>
      </c>
      <c r="J33" s="448"/>
      <c r="K33" s="613"/>
      <c r="L33" s="1137"/>
      <c r="M33" s="1128"/>
      <c r="N33" s="1128"/>
      <c r="O33" s="1136"/>
      <c r="P33" s="3218"/>
      <c r="Q33" s="2948"/>
      <c r="R33" s="774"/>
      <c r="S33" s="775"/>
      <c r="T33" s="774"/>
      <c r="U33" s="775"/>
      <c r="V33" s="774"/>
      <c r="W33" s="775"/>
      <c r="X33" s="2950"/>
      <c r="Y33" s="3218"/>
      <c r="Z33" s="2951"/>
      <c r="AA33" s="2949">
        <v>1</v>
      </c>
      <c r="AB33" s="2949">
        <v>1</v>
      </c>
      <c r="AC33" s="2949">
        <v>1</v>
      </c>
    </row>
    <row r="34" spans="1:29" ht="15.75" hidden="1" thickBot="1">
      <c r="A34" s="428"/>
      <c r="B34" s="294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8"/>
      <c r="Q34" s="2948" t="str">
        <f t="shared" si="8"/>
        <v>土地级别</v>
      </c>
      <c r="R34" s="774" t="s">
        <v>17</v>
      </c>
      <c r="S34" s="775">
        <f t="shared" si="10"/>
        <v>100</v>
      </c>
      <c r="T34" s="774" t="s">
        <v>17</v>
      </c>
      <c r="U34" s="775">
        <f t="shared" si="11"/>
        <v>100</v>
      </c>
      <c r="V34" s="774" t="s">
        <v>17</v>
      </c>
      <c r="W34" s="775">
        <f t="shared" si="12"/>
        <v>100</v>
      </c>
      <c r="X34" s="2950"/>
      <c r="Y34" s="3218"/>
      <c r="Z34" s="2951" t="str">
        <f t="shared" si="13"/>
        <v>土地级别</v>
      </c>
      <c r="AA34" s="2949">
        <f t="shared" si="3"/>
        <v>1</v>
      </c>
      <c r="AB34" s="2949">
        <f t="shared" si="4"/>
        <v>1</v>
      </c>
      <c r="AC34" s="2949">
        <f t="shared" si="5"/>
        <v>1</v>
      </c>
    </row>
    <row r="35" spans="1:29" ht="15.75" hidden="1" thickBot="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8"/>
      <c r="Q35" s="2948">
        <f t="shared" si="8"/>
        <v>0</v>
      </c>
      <c r="R35" s="774" t="s">
        <v>17</v>
      </c>
      <c r="S35" s="775">
        <f t="shared" si="10"/>
        <v>100</v>
      </c>
      <c r="T35" s="774" t="s">
        <v>17</v>
      </c>
      <c r="U35" s="775">
        <f t="shared" si="11"/>
        <v>100</v>
      </c>
      <c r="V35" s="774" t="s">
        <v>17</v>
      </c>
      <c r="W35" s="775">
        <f t="shared" si="12"/>
        <v>100</v>
      </c>
      <c r="X35" s="2950"/>
      <c r="Y35" s="3218"/>
      <c r="Z35" s="2951">
        <f t="shared" si="13"/>
        <v>0</v>
      </c>
      <c r="AA35" s="2949">
        <f t="shared" si="3"/>
        <v>1</v>
      </c>
      <c r="AB35" s="2949">
        <f t="shared" si="4"/>
        <v>1</v>
      </c>
      <c r="AC35" s="2949">
        <f t="shared" si="5"/>
        <v>1</v>
      </c>
    </row>
    <row r="36" spans="1:29" ht="15.75" hidden="1" thickBot="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19" t="s">
        <v>2554</v>
      </c>
      <c r="Q36" s="2948">
        <f t="shared" si="8"/>
        <v>0</v>
      </c>
      <c r="R36" s="774" t="s">
        <v>17</v>
      </c>
      <c r="S36" s="775">
        <f t="shared" si="10"/>
        <v>100</v>
      </c>
      <c r="T36" s="774" t="s">
        <v>17</v>
      </c>
      <c r="U36" s="775">
        <f t="shared" si="11"/>
        <v>100</v>
      </c>
      <c r="V36" s="774" t="s">
        <v>17</v>
      </c>
      <c r="W36" s="775">
        <f t="shared" si="12"/>
        <v>100</v>
      </c>
      <c r="X36" s="2950"/>
      <c r="Y36" s="3220" t="s">
        <v>2554</v>
      </c>
      <c r="Z36" s="2951">
        <f t="shared" si="13"/>
        <v>0</v>
      </c>
      <c r="AA36" s="2949">
        <f t="shared" si="3"/>
        <v>1</v>
      </c>
      <c r="AB36" s="2949">
        <f t="shared" si="4"/>
        <v>1</v>
      </c>
      <c r="AC36" s="2949">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20"/>
      <c r="Q37" s="2948">
        <f t="shared" si="8"/>
        <v>0</v>
      </c>
      <c r="R37" s="777" t="s">
        <v>17</v>
      </c>
      <c r="S37" s="778">
        <f t="shared" si="10"/>
        <v>100</v>
      </c>
      <c r="T37" s="777" t="s">
        <v>17</v>
      </c>
      <c r="U37" s="778">
        <f t="shared" si="11"/>
        <v>100</v>
      </c>
      <c r="V37" s="777" t="s">
        <v>17</v>
      </c>
      <c r="W37" s="778">
        <f t="shared" si="12"/>
        <v>100</v>
      </c>
      <c r="X37" s="779"/>
      <c r="Y37" s="3220"/>
      <c r="Z37" s="780">
        <f t="shared" si="13"/>
        <v>0</v>
      </c>
      <c r="AA37" s="2949">
        <f t="shared" si="3"/>
        <v>1</v>
      </c>
      <c r="AB37" s="2949">
        <f t="shared" si="4"/>
        <v>1</v>
      </c>
      <c r="AC37" s="2949">
        <f t="shared" si="5"/>
        <v>1</v>
      </c>
    </row>
    <row r="38" spans="1:29" ht="15">
      <c r="A38" s="472" t="s">
        <v>2552</v>
      </c>
      <c r="B38" s="456" t="s">
        <v>2739</v>
      </c>
      <c r="C38" s="679">
        <f>'数据-汇总表'!D3</f>
        <v>25136</v>
      </c>
      <c r="D38" s="467">
        <v>100</v>
      </c>
      <c r="E38" s="679">
        <f>'土地案例（商业）'!G8</f>
        <v>7174</v>
      </c>
      <c r="F38" s="467">
        <f>LOOKUP(E38,117:117,118:118)-LOOKUP(C38,117:117,118:118)+100</f>
        <v>100</v>
      </c>
      <c r="G38" s="679">
        <f>'土地案例（商业）'!G10</f>
        <v>9241</v>
      </c>
      <c r="H38" s="467">
        <f>LOOKUP(G38,117:117,118:118)-LOOKUP(C38,117:117,118:118)+100</f>
        <v>100</v>
      </c>
      <c r="I38" s="530">
        <f>'土地案例（商业）'!G17</f>
        <v>5230</v>
      </c>
      <c r="J38" s="467">
        <f>LOOKUP(I38,117:117,118:118)-LOOKUP(C38,117:117,118:118)+100</f>
        <v>100</v>
      </c>
      <c r="K38" s="613"/>
      <c r="L38" s="1137"/>
      <c r="M38" s="1128"/>
      <c r="N38" s="1128"/>
      <c r="O38" s="1136"/>
      <c r="P38" s="3220"/>
      <c r="Q38" s="2948" t="str">
        <f>B38</f>
        <v>宗地面积</v>
      </c>
      <c r="R38" s="774" t="s">
        <v>17</v>
      </c>
      <c r="S38" s="775">
        <f t="shared" si="10"/>
        <v>100</v>
      </c>
      <c r="T38" s="774" t="s">
        <v>17</v>
      </c>
      <c r="U38" s="775">
        <f t="shared" si="11"/>
        <v>100</v>
      </c>
      <c r="V38" s="774" t="s">
        <v>17</v>
      </c>
      <c r="W38" s="775">
        <f t="shared" si="12"/>
        <v>100</v>
      </c>
      <c r="X38" s="2950"/>
      <c r="Y38" s="3220"/>
      <c r="Z38" s="2951" t="str">
        <f t="shared" si="13"/>
        <v>宗地面积</v>
      </c>
      <c r="AA38" s="2949">
        <f t="shared" si="3"/>
        <v>1</v>
      </c>
      <c r="AB38" s="2949">
        <f t="shared" si="4"/>
        <v>1</v>
      </c>
      <c r="AC38" s="2949">
        <f t="shared" si="5"/>
        <v>1</v>
      </c>
    </row>
    <row r="39" spans="1:29" ht="15">
      <c r="A39" s="472"/>
      <c r="B39" s="2942" t="s">
        <v>2740</v>
      </c>
      <c r="C39" s="2607" t="s">
        <v>3171</v>
      </c>
      <c r="D39" s="435">
        <v>100</v>
      </c>
      <c r="E39" s="2607" t="s">
        <v>3171</v>
      </c>
      <c r="F39" s="435">
        <f>SUMIF(119:119,E39,120:120)-SUMIF(119:119,C39,120:120)+100</f>
        <v>100</v>
      </c>
      <c r="G39" s="2607" t="s">
        <v>3171</v>
      </c>
      <c r="H39" s="435">
        <f>SUMIF(119:119,G39,120:120)-SUMIF(119:119,C39,120:120)+100</f>
        <v>100</v>
      </c>
      <c r="I39" s="2607" t="s">
        <v>3171</v>
      </c>
      <c r="J39" s="435">
        <f>SUMIF(119:119,I39,120:120)-SUMIF(119:119,C39,120:120)+100</f>
        <v>100</v>
      </c>
      <c r="K39" s="612">
        <v>2</v>
      </c>
      <c r="L39" s="1137"/>
      <c r="M39" s="1128"/>
      <c r="N39" s="1128"/>
      <c r="O39" s="1136"/>
      <c r="P39" s="3220"/>
      <c r="Q39" s="2948" t="str">
        <f t="shared" ref="Q39:Q45" si="14">B39</f>
        <v>宗地形状</v>
      </c>
      <c r="R39" s="774" t="s">
        <v>17</v>
      </c>
      <c r="S39" s="775">
        <f t="shared" si="10"/>
        <v>100</v>
      </c>
      <c r="T39" s="774" t="s">
        <v>17</v>
      </c>
      <c r="U39" s="775">
        <f t="shared" si="11"/>
        <v>100</v>
      </c>
      <c r="V39" s="774" t="s">
        <v>17</v>
      </c>
      <c r="W39" s="775">
        <f t="shared" si="12"/>
        <v>100</v>
      </c>
      <c r="X39" s="2950"/>
      <c r="Y39" s="3220"/>
      <c r="Z39" s="2951" t="str">
        <f t="shared" si="13"/>
        <v>宗地形状</v>
      </c>
      <c r="AA39" s="2949">
        <f t="shared" si="3"/>
        <v>1</v>
      </c>
      <c r="AB39" s="2949">
        <f t="shared" si="4"/>
        <v>1</v>
      </c>
      <c r="AC39" s="2949">
        <f t="shared" si="5"/>
        <v>1</v>
      </c>
    </row>
    <row r="40" spans="1:29" ht="15" hidden="1">
      <c r="A40" s="472"/>
      <c r="B40" s="2942" t="s">
        <v>2741</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7"/>
      <c r="M40" s="1128"/>
      <c r="N40" s="1128"/>
      <c r="O40" s="1136"/>
      <c r="P40" s="3220"/>
      <c r="Q40" s="2948" t="str">
        <f t="shared" si="14"/>
        <v>临街宽度及深度</v>
      </c>
      <c r="R40" s="774" t="s">
        <v>17</v>
      </c>
      <c r="S40" s="775">
        <f t="shared" si="10"/>
        <v>100</v>
      </c>
      <c r="T40" s="774" t="s">
        <v>17</v>
      </c>
      <c r="U40" s="775">
        <f t="shared" si="11"/>
        <v>100</v>
      </c>
      <c r="V40" s="774" t="s">
        <v>17</v>
      </c>
      <c r="W40" s="775">
        <f t="shared" si="12"/>
        <v>100</v>
      </c>
      <c r="X40" s="2950"/>
      <c r="Y40" s="3220"/>
      <c r="Z40" s="2951" t="str">
        <f t="shared" si="13"/>
        <v>临街宽度及深度</v>
      </c>
      <c r="AA40" s="2949">
        <f t="shared" si="3"/>
        <v>1</v>
      </c>
      <c r="AB40" s="2949">
        <f t="shared" si="4"/>
        <v>1</v>
      </c>
      <c r="AC40" s="2949">
        <f t="shared" si="5"/>
        <v>1</v>
      </c>
    </row>
    <row r="41" spans="1:29" s="117" customFormat="1" ht="15">
      <c r="A41" s="473"/>
      <c r="B41" s="2942" t="s">
        <v>2742</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9"/>
      <c r="M41" s="1130"/>
      <c r="N41" s="1130"/>
      <c r="O41" s="1131"/>
      <c r="P41" s="3220"/>
      <c r="Q41" s="2948" t="str">
        <f t="shared" si="14"/>
        <v>宗地开发程度</v>
      </c>
      <c r="R41" s="770" t="s">
        <v>17</v>
      </c>
      <c r="S41" s="771">
        <f t="shared" si="10"/>
        <v>100</v>
      </c>
      <c r="T41" s="770" t="s">
        <v>17</v>
      </c>
      <c r="U41" s="771">
        <f t="shared" si="11"/>
        <v>100</v>
      </c>
      <c r="V41" s="770" t="s">
        <v>17</v>
      </c>
      <c r="W41" s="771">
        <f t="shared" si="12"/>
        <v>100</v>
      </c>
      <c r="X41" s="772"/>
      <c r="Y41" s="3220"/>
      <c r="Z41" s="2937" t="str">
        <f t="shared" si="13"/>
        <v>宗地开发程度</v>
      </c>
      <c r="AA41" s="773">
        <f t="shared" si="3"/>
        <v>1</v>
      </c>
      <c r="AB41" s="773">
        <f t="shared" si="4"/>
        <v>1</v>
      </c>
      <c r="AC41" s="773">
        <f t="shared" si="5"/>
        <v>1</v>
      </c>
    </row>
    <row r="42" spans="1:29" ht="15.75" thickBot="1">
      <c r="A42" s="472"/>
      <c r="B42" s="2942" t="s">
        <v>2743</v>
      </c>
      <c r="C42" s="2607" t="s">
        <v>3176</v>
      </c>
      <c r="D42" s="435">
        <v>100</v>
      </c>
      <c r="E42" s="2607" t="s">
        <v>3176</v>
      </c>
      <c r="F42" s="435">
        <f>SUMIF(125:125,E42,126:126)-SUMIF(125:125,C42,126:126)+100</f>
        <v>100</v>
      </c>
      <c r="G42" s="2607" t="s">
        <v>3176</v>
      </c>
      <c r="H42" s="435">
        <f>SUMIF(125:125,G42,126:126)-SUMIF(125:125,C42,126:126)+100</f>
        <v>100</v>
      </c>
      <c r="I42" s="2607" t="s">
        <v>3176</v>
      </c>
      <c r="J42" s="435">
        <f>SUMIF(125:125,I42,126:126)-SUMIF(125:125,C42,126:126)+100</f>
        <v>100</v>
      </c>
      <c r="K42" s="612">
        <v>2</v>
      </c>
      <c r="L42" s="1137"/>
      <c r="M42" s="1128"/>
      <c r="N42" s="1128"/>
      <c r="O42" s="1136"/>
      <c r="P42" s="3220" t="s">
        <v>2554</v>
      </c>
      <c r="Q42" s="2948" t="str">
        <f t="shared" si="14"/>
        <v>工程地质条件</v>
      </c>
      <c r="R42" s="774" t="s">
        <v>17</v>
      </c>
      <c r="S42" s="775">
        <f t="shared" si="10"/>
        <v>100</v>
      </c>
      <c r="T42" s="774" t="s">
        <v>17</v>
      </c>
      <c r="U42" s="775">
        <f t="shared" si="11"/>
        <v>100</v>
      </c>
      <c r="V42" s="774" t="s">
        <v>17</v>
      </c>
      <c r="W42" s="775">
        <f t="shared" si="12"/>
        <v>100</v>
      </c>
      <c r="X42" s="2950"/>
      <c r="Y42" s="3220" t="s">
        <v>2554</v>
      </c>
      <c r="Z42" s="2951" t="str">
        <f t="shared" si="13"/>
        <v>工程地质条件</v>
      </c>
      <c r="AA42" s="2949">
        <f t="shared" si="3"/>
        <v>1</v>
      </c>
      <c r="AB42" s="2949">
        <f t="shared" si="4"/>
        <v>1</v>
      </c>
      <c r="AC42" s="2949">
        <f t="shared" si="5"/>
        <v>1</v>
      </c>
    </row>
    <row r="43" spans="1:29" ht="15.75" hidden="1" thickBot="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20"/>
      <c r="Q43" s="2948">
        <f t="shared" si="14"/>
        <v>0</v>
      </c>
      <c r="R43" s="774" t="s">
        <v>17</v>
      </c>
      <c r="S43" s="775">
        <f t="shared" si="10"/>
        <v>100</v>
      </c>
      <c r="T43" s="774" t="s">
        <v>17</v>
      </c>
      <c r="U43" s="775">
        <f t="shared" si="11"/>
        <v>100</v>
      </c>
      <c r="V43" s="774" t="s">
        <v>17</v>
      </c>
      <c r="W43" s="775">
        <f t="shared" si="12"/>
        <v>100</v>
      </c>
      <c r="X43" s="2950"/>
      <c r="Y43" s="3220"/>
      <c r="Z43" s="2951">
        <f t="shared" si="13"/>
        <v>0</v>
      </c>
      <c r="AA43" s="2949">
        <f t="shared" si="3"/>
        <v>1</v>
      </c>
      <c r="AB43" s="2949">
        <f t="shared" si="4"/>
        <v>1</v>
      </c>
      <c r="AC43" s="2949">
        <f t="shared" si="5"/>
        <v>1</v>
      </c>
    </row>
    <row r="44" spans="1:29" ht="15.75" hidden="1" thickBot="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20"/>
      <c r="Q44" s="2948">
        <f t="shared" si="14"/>
        <v>0</v>
      </c>
      <c r="R44" s="774" t="s">
        <v>17</v>
      </c>
      <c r="S44" s="775">
        <f t="shared" si="10"/>
        <v>100</v>
      </c>
      <c r="T44" s="774" t="s">
        <v>17</v>
      </c>
      <c r="U44" s="775">
        <f t="shared" si="11"/>
        <v>100</v>
      </c>
      <c r="V44" s="774" t="s">
        <v>17</v>
      </c>
      <c r="W44" s="775">
        <f t="shared" si="12"/>
        <v>100</v>
      </c>
      <c r="X44" s="2950"/>
      <c r="Y44" s="3220"/>
      <c r="Z44" s="2951">
        <f t="shared" si="13"/>
        <v>0</v>
      </c>
      <c r="AA44" s="2949">
        <f t="shared" si="3"/>
        <v>1</v>
      </c>
      <c r="AB44" s="2949">
        <f t="shared" si="4"/>
        <v>1</v>
      </c>
      <c r="AC44" s="2949">
        <f t="shared" si="5"/>
        <v>1</v>
      </c>
    </row>
    <row r="45" spans="1:29" s="471" customFormat="1" ht="15.75" hidden="1" thickBot="1">
      <c r="A45" s="468"/>
      <c r="B45" s="1384"/>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20"/>
      <c r="Q45" s="2948">
        <f t="shared" si="14"/>
        <v>0</v>
      </c>
      <c r="R45" s="777" t="s">
        <v>17</v>
      </c>
      <c r="S45" s="778">
        <f t="shared" si="10"/>
        <v>100</v>
      </c>
      <c r="T45" s="777" t="s">
        <v>17</v>
      </c>
      <c r="U45" s="778">
        <f t="shared" si="11"/>
        <v>100</v>
      </c>
      <c r="V45" s="777" t="s">
        <v>17</v>
      </c>
      <c r="W45" s="778">
        <f t="shared" si="12"/>
        <v>100</v>
      </c>
      <c r="X45" s="779"/>
      <c r="Y45" s="3220"/>
      <c r="Z45" s="780">
        <f t="shared" si="13"/>
        <v>0</v>
      </c>
      <c r="AA45" s="2949">
        <f t="shared" si="3"/>
        <v>1</v>
      </c>
      <c r="AB45" s="2949">
        <f t="shared" si="4"/>
        <v>1</v>
      </c>
      <c r="AC45" s="2949">
        <f t="shared" si="5"/>
        <v>1</v>
      </c>
    </row>
    <row r="46" spans="1:29" ht="15">
      <c r="A46" s="479" t="s">
        <v>2709</v>
      </c>
      <c r="B46" s="2698" t="s">
        <v>2744</v>
      </c>
      <c r="C46" s="682" t="s">
        <v>1</v>
      </c>
      <c r="D46" s="481"/>
      <c r="E46" s="482">
        <f>'土地案例（商业）'!N8</f>
        <v>4443.3500000000004</v>
      </c>
      <c r="F46" s="483"/>
      <c r="G46" s="484">
        <f>'土地案例（商业）'!N10</f>
        <v>4520.8500000000004</v>
      </c>
      <c r="H46" s="485"/>
      <c r="I46" s="482">
        <f>'土地案例（商业）'!N17</f>
        <v>4720.1899999999996</v>
      </c>
      <c r="J46" s="485"/>
      <c r="K46" s="783"/>
      <c r="L46" s="1140"/>
      <c r="M46" s="1141"/>
      <c r="N46" s="1128"/>
      <c r="O46" s="1141"/>
      <c r="P46" s="3215" t="str">
        <f>A46</f>
        <v>成交单价</v>
      </c>
      <c r="Q46" s="3215"/>
      <c r="R46" s="3221">
        <f>E46</f>
        <v>4443.3500000000004</v>
      </c>
      <c r="S46" s="3221"/>
      <c r="T46" s="3221">
        <f>G46</f>
        <v>4520.8500000000004</v>
      </c>
      <c r="U46" s="3221"/>
      <c r="V46" s="3221">
        <f>I46</f>
        <v>4720.1899999999996</v>
      </c>
      <c r="W46" s="3221"/>
      <c r="X46" s="759"/>
      <c r="Y46" s="781"/>
      <c r="Z46" s="759"/>
      <c r="AA46" s="759"/>
      <c r="AB46" s="759"/>
      <c r="AC46" s="759"/>
    </row>
    <row r="47" spans="1:29" ht="15.75" thickBot="1">
      <c r="A47" s="486" t="s">
        <v>2567</v>
      </c>
      <c r="B47" s="683"/>
      <c r="C47" s="490">
        <f>R48</f>
        <v>5715</v>
      </c>
      <c r="D47" s="489"/>
      <c r="E47" s="490">
        <f>R47</f>
        <v>5704</v>
      </c>
      <c r="F47" s="491"/>
      <c r="G47" s="488">
        <f>T47</f>
        <v>5994</v>
      </c>
      <c r="H47" s="489"/>
      <c r="I47" s="490">
        <f>V47</f>
        <v>5446</v>
      </c>
      <c r="J47" s="489"/>
      <c r="K47" s="784"/>
      <c r="L47" s="1140"/>
      <c r="M47" s="1141"/>
      <c r="N47" s="1141"/>
      <c r="O47" s="1141"/>
      <c r="P47" s="3215" t="str">
        <f>A47</f>
        <v>比较价值（元/平方米）</v>
      </c>
      <c r="Q47" s="3215"/>
      <c r="R47" s="3208">
        <f>ROUND(PRODUCT(R46,AA7:AA45),0)</f>
        <v>5704</v>
      </c>
      <c r="S47" s="3208"/>
      <c r="T47" s="3208">
        <f>ROUND(PRODUCT(T46,AB7:AB45),0)</f>
        <v>5994</v>
      </c>
      <c r="U47" s="3208"/>
      <c r="V47" s="3208">
        <f>ROUND(PRODUCT(V46,AC7:AC45),0)</f>
        <v>5446</v>
      </c>
      <c r="W47" s="3208"/>
      <c r="X47" s="759"/>
      <c r="Y47" s="759"/>
      <c r="Z47" s="759"/>
      <c r="AA47" s="759"/>
      <c r="AB47" s="759"/>
      <c r="AC47" s="759"/>
    </row>
    <row r="48" spans="1:29" ht="15.75" thickBot="1">
      <c r="A48" s="492" t="s">
        <v>2745</v>
      </c>
      <c r="B48" s="493"/>
      <c r="C48" s="494">
        <f>R48</f>
        <v>5715</v>
      </c>
      <c r="D48" s="494"/>
      <c r="E48" s="494"/>
      <c r="F48" s="494"/>
      <c r="G48" s="494"/>
      <c r="H48" s="494"/>
      <c r="I48" s="494"/>
      <c r="J48" s="494"/>
      <c r="K48" s="785"/>
      <c r="L48" s="1140"/>
      <c r="M48" s="1141"/>
      <c r="N48" s="1141"/>
      <c r="O48" s="1141"/>
      <c r="P48" s="3209" t="str">
        <f>A48</f>
        <v>估价对象XX用房的比较价值（楼面单价，元/平方米）</v>
      </c>
      <c r="Q48" s="3210"/>
      <c r="R48" s="3211">
        <f>ROUND(AVERAGE(R47:V47),0)</f>
        <v>5715</v>
      </c>
      <c r="S48" s="3211"/>
      <c r="T48" s="3211"/>
      <c r="U48" s="3211"/>
      <c r="V48" s="3211"/>
      <c r="W48" s="3211"/>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2569</v>
      </c>
      <c r="D51" s="498"/>
      <c r="E51" s="499">
        <f>IF(E46&lt;E47,E47/E46-1,E46/E47-1)</f>
        <v>0.2837161150933416</v>
      </c>
      <c r="F51" s="500" t="str">
        <f>IF(OR(E51&gt;=0.3,E51&lt;=-0.3),"超过30%","")</f>
        <v/>
      </c>
      <c r="G51" s="499">
        <f>IF(G46&lt;G47,G47/G46-1,G46/G47-1)</f>
        <v>0.32585686320050433</v>
      </c>
      <c r="H51" s="500" t="str">
        <f>IF(OR(G51&gt;=0.3,G51&lt;=-0.3),"超过30%","")</f>
        <v>超过30%</v>
      </c>
      <c r="I51" s="499">
        <f>IF(I46&lt;I47,I47/I46-1,I46/I47-1)</f>
        <v>0.15376711530679921</v>
      </c>
      <c r="J51" s="500" t="str">
        <f>IF(OR(I51&gt;=0.3,I51&lt;=-0.3),"超过30%","")</f>
        <v/>
      </c>
      <c r="K51" s="1102"/>
      <c r="L51" s="1103"/>
      <c r="M51" s="1141"/>
      <c r="N51" s="1141"/>
      <c r="O51" s="1141"/>
    </row>
    <row r="52" spans="1:15" ht="13.5" customHeight="1">
      <c r="A52" s="1141"/>
      <c r="B52" s="1141"/>
      <c r="C52" s="497" t="s">
        <v>2570</v>
      </c>
      <c r="D52" s="501"/>
      <c r="E52" s="499">
        <f>IF(E47&lt;G47,G47/E47-1,E47/G47-1)</f>
        <v>5.0841514726507775E-2</v>
      </c>
      <c r="F52" s="500" t="str">
        <f>IF(OR(E52&gt;=0.2,E52&lt;=-0.2),"超过20%","")</f>
        <v/>
      </c>
      <c r="G52" s="499">
        <f>IF(G47&lt;I47,I47/G47-1,G47/I47-1)</f>
        <v>0.10062431142122663</v>
      </c>
      <c r="H52" s="500" t="str">
        <f>IF(OR(G52&gt;=0.2,G52&lt;=-0.2),"超过20%","")</f>
        <v/>
      </c>
      <c r="I52" s="499">
        <f>IF(I47&lt;E47,E47/I47-1,I47/E47-1)</f>
        <v>4.7374219610723411E-2</v>
      </c>
      <c r="J52" s="500" t="str">
        <f>IF(OR(I52&gt;=0.2,I52&lt;=-0.2),"超过20%","")</f>
        <v/>
      </c>
      <c r="K52" s="1102"/>
      <c r="L52" s="1103"/>
      <c r="M52" s="1141"/>
      <c r="N52" s="1141"/>
      <c r="O52" s="1141"/>
    </row>
    <row r="53" spans="1:15" s="502" customFormat="1" ht="13.5" customHeight="1">
      <c r="A53" s="1142"/>
      <c r="B53" s="1142"/>
      <c r="C53" s="497" t="s">
        <v>2571</v>
      </c>
      <c r="D53" s="501"/>
      <c r="E53" s="499">
        <f>IF(E46&lt;G46,G46/E46-1,E46/G46-1)</f>
        <v>1.744179504202914E-2</v>
      </c>
      <c r="F53" s="500" t="str">
        <f>IF(OR(E53&gt;=0.3,E53&lt;=-0.3),"超过30%","")</f>
        <v/>
      </c>
      <c r="G53" s="499">
        <f>IF(G46&lt;I46,I46/G46-1,G46/I46-1)</f>
        <v>4.4093477996394403E-2</v>
      </c>
      <c r="H53" s="500" t="str">
        <f>IF(OR(G53&gt;=0.3,G53&lt;=-0.3),"超过30%","")</f>
        <v/>
      </c>
      <c r="I53" s="499">
        <f>IF(I46&lt;E46,E46/I46-1,I46/E46-1)</f>
        <v>6.230434244432681E-2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2746</v>
      </c>
      <c r="B55" s="685" t="s">
        <v>2747</v>
      </c>
      <c r="C55" s="2699" t="s">
        <v>4282</v>
      </c>
      <c r="D55" s="2700" t="s">
        <v>2749</v>
      </c>
      <c r="E55" s="2952" t="s">
        <v>2750</v>
      </c>
      <c r="F55" s="1104" t="s">
        <v>2751</v>
      </c>
      <c r="G55" s="3212" t="s">
        <v>2752</v>
      </c>
      <c r="H55" s="3213"/>
      <c r="I55" s="144" t="s">
        <v>2753</v>
      </c>
      <c r="J55" s="2701" t="str">
        <f>项目基本情况!F35</f>
        <v>重庆市</v>
      </c>
      <c r="K55" s="2702" t="s">
        <v>2754</v>
      </c>
      <c r="L55" s="1103"/>
      <c r="M55" s="1141"/>
      <c r="N55" s="1141"/>
      <c r="O55" s="1141"/>
    </row>
    <row r="56" spans="1:15" s="692" customFormat="1">
      <c r="A56" s="688" t="s">
        <v>2755</v>
      </c>
      <c r="B56" s="689">
        <f>C48</f>
        <v>5715</v>
      </c>
      <c r="C56" s="690">
        <v>1</v>
      </c>
      <c r="D56" s="1160">
        <v>1</v>
      </c>
      <c r="E56" s="690">
        <f>'数据-汇总表'!E8+'数据-汇总表'!E9</f>
        <v>214254.55</v>
      </c>
      <c r="F56" s="1100">
        <f t="shared" ref="F56:F65" si="15">ROUND(B56*E56/10000,0)</f>
        <v>122446</v>
      </c>
      <c r="G56" s="3214"/>
      <c r="H56" s="3215"/>
      <c r="I56" s="1105">
        <v>1</v>
      </c>
      <c r="J56" s="1108">
        <v>1</v>
      </c>
      <c r="K56" s="1142"/>
      <c r="L56" s="938"/>
      <c r="M56" s="938"/>
      <c r="N56" s="938"/>
      <c r="O56" s="938"/>
    </row>
    <row r="57" spans="1:15" s="692" customFormat="1">
      <c r="A57" s="693" t="s">
        <v>2756</v>
      </c>
      <c r="B57" s="262">
        <f>ROUND($C$48*C57*D57,0)</f>
        <v>4001</v>
      </c>
      <c r="C57" s="200">
        <f t="shared" ref="C57:C65" si="16">IF($C$55="北京市系数",I57,J57)</f>
        <v>0.7</v>
      </c>
      <c r="D57" s="1161">
        <v>1</v>
      </c>
      <c r="E57" s="3363">
        <v>17319.87</v>
      </c>
      <c r="F57" s="1100">
        <f t="shared" si="15"/>
        <v>6930</v>
      </c>
      <c r="G57" s="3216" t="s">
        <v>2757</v>
      </c>
      <c r="H57" s="1101">
        <f>项目基本情况!B37</f>
        <v>0</v>
      </c>
      <c r="I57" s="1105">
        <f>SUMIF(修正!A45:A56,H57,修正!B45:B56)</f>
        <v>0</v>
      </c>
      <c r="J57" s="1109">
        <v>0.7</v>
      </c>
      <c r="K57" s="1141"/>
      <c r="L57" s="938"/>
      <c r="M57" s="938"/>
      <c r="N57" s="938"/>
      <c r="O57" s="938"/>
    </row>
    <row r="58" spans="1:15" s="692" customFormat="1">
      <c r="A58" s="693" t="s">
        <v>2758</v>
      </c>
      <c r="B58" s="262">
        <f t="shared" ref="B58:B65" si="17">ROUND($C$48*C58*D58,0)</f>
        <v>2572</v>
      </c>
      <c r="C58" s="200">
        <f t="shared" si="16"/>
        <v>0.45</v>
      </c>
      <c r="D58" s="1161">
        <v>1</v>
      </c>
      <c r="E58" s="3363">
        <v>15298.45</v>
      </c>
      <c r="F58" s="1100">
        <f t="shared" si="15"/>
        <v>3935</v>
      </c>
      <c r="G58" s="3216"/>
      <c r="H58" s="1101">
        <f>项目基本情况!B37</f>
        <v>0</v>
      </c>
      <c r="I58" s="1105">
        <f>SUMIF(修正!A45:A56,H58,修正!C45:C56)</f>
        <v>0</v>
      </c>
      <c r="J58" s="1109">
        <v>0.45</v>
      </c>
      <c r="K58" s="1142"/>
      <c r="L58" s="938"/>
      <c r="M58" s="938"/>
      <c r="N58" s="938"/>
      <c r="O58" s="938"/>
    </row>
    <row r="59" spans="1:15" s="692" customFormat="1">
      <c r="A59" s="693" t="s">
        <v>2759</v>
      </c>
      <c r="B59" s="262">
        <f t="shared" si="17"/>
        <v>0</v>
      </c>
      <c r="C59" s="200">
        <f t="shared" si="16"/>
        <v>0</v>
      </c>
      <c r="D59" s="1161">
        <v>0.25</v>
      </c>
      <c r="E59" s="694"/>
      <c r="F59" s="1100">
        <f t="shared" si="15"/>
        <v>0</v>
      </c>
      <c r="G59" s="3216"/>
      <c r="H59" s="1101">
        <f>项目基本情况!B37</f>
        <v>0</v>
      </c>
      <c r="I59" s="1105">
        <f>SUMIF(修正!A45:A56,H59,修正!D45:D56)</f>
        <v>0</v>
      </c>
      <c r="J59" s="1109"/>
      <c r="K59" s="1141"/>
      <c r="L59" s="938"/>
      <c r="M59" s="938"/>
      <c r="N59" s="938"/>
      <c r="O59" s="938"/>
    </row>
    <row r="60" spans="1:15" s="692" customFormat="1">
      <c r="A60" s="693" t="s">
        <v>2760</v>
      </c>
      <c r="B60" s="262">
        <f t="shared" si="17"/>
        <v>0</v>
      </c>
      <c r="C60" s="200">
        <f t="shared" si="16"/>
        <v>0</v>
      </c>
      <c r="D60" s="1161">
        <v>0.25</v>
      </c>
      <c r="E60" s="694"/>
      <c r="F60" s="1100">
        <f t="shared" si="15"/>
        <v>0</v>
      </c>
      <c r="G60" s="3216"/>
      <c r="H60" s="1101">
        <f>项目基本情况!B37</f>
        <v>0</v>
      </c>
      <c r="I60" s="1105">
        <f>SUMIF(修正!A45:A56,H60,修正!E45:E56)</f>
        <v>0</v>
      </c>
      <c r="J60" s="1109"/>
      <c r="K60" s="1142"/>
      <c r="L60" s="938"/>
      <c r="M60" s="938"/>
      <c r="N60" s="938"/>
      <c r="O60" s="938"/>
    </row>
    <row r="61" spans="1:15" s="692" customFormat="1">
      <c r="A61" s="693" t="s">
        <v>2761</v>
      </c>
      <c r="B61" s="262">
        <f t="shared" si="17"/>
        <v>0</v>
      </c>
      <c r="C61" s="200">
        <f t="shared" si="16"/>
        <v>0</v>
      </c>
      <c r="D61" s="1161">
        <v>0.25</v>
      </c>
      <c r="E61" s="261">
        <f>'数据-汇总表'!E11</f>
        <v>0</v>
      </c>
      <c r="F61" s="1100">
        <f t="shared" si="15"/>
        <v>0</v>
      </c>
      <c r="G61" s="2953" t="s">
        <v>2762</v>
      </c>
      <c r="H61" s="1101">
        <f>项目基本情况!C37</f>
        <v>0</v>
      </c>
      <c r="I61" s="1105">
        <f>SUMIF(修正!A45:A56,H61,修正!F45:F56)</f>
        <v>0</v>
      </c>
      <c r="J61" s="1109"/>
      <c r="K61" s="1141"/>
      <c r="L61" s="938"/>
      <c r="M61" s="938"/>
      <c r="N61" s="938"/>
      <c r="O61" s="938"/>
    </row>
    <row r="62" spans="1:15" s="692" customFormat="1">
      <c r="A62" s="693" t="s">
        <v>2763</v>
      </c>
      <c r="B62" s="262">
        <f t="shared" si="17"/>
        <v>0</v>
      </c>
      <c r="C62" s="200">
        <f t="shared" si="16"/>
        <v>0</v>
      </c>
      <c r="D62" s="1161">
        <v>0.25</v>
      </c>
      <c r="E62" s="261">
        <f>'数据-汇总表'!E12</f>
        <v>0</v>
      </c>
      <c r="F62" s="1100">
        <f t="shared" si="15"/>
        <v>0</v>
      </c>
      <c r="G62" s="1106" t="s">
        <v>2764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2765</v>
      </c>
      <c r="B63" s="262">
        <f t="shared" si="17"/>
        <v>0</v>
      </c>
      <c r="C63" s="200">
        <f t="shared" si="16"/>
        <v>0</v>
      </c>
      <c r="D63" s="1161">
        <v>0.25</v>
      </c>
      <c r="E63" s="261">
        <f>'数据-汇总表'!E13</f>
        <v>0</v>
      </c>
      <c r="F63" s="1100">
        <f t="shared" si="15"/>
        <v>0</v>
      </c>
      <c r="G63" s="1106" t="s">
        <v>2766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2767</v>
      </c>
      <c r="B64" s="262">
        <f t="shared" si="17"/>
        <v>0</v>
      </c>
      <c r="C64" s="200">
        <f t="shared" si="16"/>
        <v>0</v>
      </c>
      <c r="D64" s="1161">
        <v>0.25</v>
      </c>
      <c r="E64" s="261">
        <f>'数据-汇总表'!E14</f>
        <v>115386.06</v>
      </c>
      <c r="F64" s="1100">
        <f t="shared" si="15"/>
        <v>0</v>
      </c>
      <c r="G64" s="2953" t="s">
        <v>2757</v>
      </c>
      <c r="H64" s="1101">
        <f>项目基本情况!B37</f>
        <v>0</v>
      </c>
      <c r="I64" s="1105">
        <f>SUMIF(修正!A45:A56,H64,修正!H45:H56)</f>
        <v>0</v>
      </c>
      <c r="J64" s="1109"/>
      <c r="K64" s="1142"/>
      <c r="L64" s="938"/>
      <c r="M64" s="938"/>
      <c r="N64" s="938"/>
      <c r="O64" s="938"/>
    </row>
    <row r="65" spans="1:17" s="692" customFormat="1" ht="15" thickBot="1">
      <c r="A65" s="693" t="s">
        <v>2768</v>
      </c>
      <c r="B65" s="262">
        <f t="shared" si="17"/>
        <v>0</v>
      </c>
      <c r="C65" s="200">
        <f t="shared" si="16"/>
        <v>0</v>
      </c>
      <c r="D65" s="1161">
        <v>0.25</v>
      </c>
      <c r="E65" s="261">
        <f>'数据-汇总表'!E15</f>
        <v>0</v>
      </c>
      <c r="F65" s="1100">
        <f t="shared" si="15"/>
        <v>0</v>
      </c>
      <c r="G65" s="2704" t="s">
        <v>2762</v>
      </c>
      <c r="H65" s="1111">
        <f>项目基本情况!C37</f>
        <v>0</v>
      </c>
      <c r="I65" s="1107">
        <f>SUMIF(修正!A45:A56,H65,修正!H45:H56)</f>
        <v>0</v>
      </c>
      <c r="J65" s="1110"/>
      <c r="K65" s="1141"/>
      <c r="L65" s="938"/>
      <c r="M65" s="938"/>
      <c r="N65" s="938"/>
      <c r="O65" s="938"/>
    </row>
    <row r="66" spans="1:17" s="692" customFormat="1" ht="13.5" thickBot="1">
      <c r="A66" s="695" t="s">
        <v>2769</v>
      </c>
      <c r="B66" s="696" t="s">
        <v>28</v>
      </c>
      <c r="C66" s="696" t="s">
        <v>29</v>
      </c>
      <c r="D66" s="696" t="s">
        <v>1029</v>
      </c>
      <c r="E66" s="696">
        <f>IF(B46="楼面地价",SUM(E56:E65),'数据-汇总表'!D3)</f>
        <v>362258.93</v>
      </c>
      <c r="F66" s="697">
        <f>IF(B46="楼面地价",SUM(F56:F65),ROUND(C48*E66/10000,0))</f>
        <v>133311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2572</v>
      </c>
      <c r="B69" s="759"/>
      <c r="C69" s="764"/>
      <c r="D69" s="764"/>
      <c r="E69" s="764"/>
      <c r="F69" s="765"/>
      <c r="G69" s="765"/>
      <c r="H69" s="764"/>
      <c r="I69" s="764"/>
      <c r="J69" s="1156"/>
      <c r="K69" s="1157"/>
      <c r="L69" s="1158"/>
      <c r="M69" s="1156"/>
      <c r="N69" s="1156"/>
      <c r="O69" s="1156"/>
      <c r="P69" s="503"/>
      <c r="Q69" s="504"/>
    </row>
    <row r="70" spans="1:17" s="508" customFormat="1" ht="15">
      <c r="A70" s="2705" t="s">
        <v>2770</v>
      </c>
      <c r="B70" s="1356"/>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6" t="s">
        <v>1377</v>
      </c>
      <c r="B71" s="332" t="str">
        <f>"北京市平均增长率"&amp;TEXT(SUMIF(基准地价修正!N21:N25,A71,基准地价修正!P21:P25),"0.00%")</f>
        <v>北京市平均增长率1.54%</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2574</v>
      </c>
      <c r="B72" s="516"/>
      <c r="C72" s="517">
        <v>1</v>
      </c>
      <c r="D72" s="518"/>
      <c r="E72" s="518"/>
      <c r="F72" s="518"/>
      <c r="G72" s="518"/>
      <c r="H72" s="518"/>
      <c r="I72" s="518"/>
      <c r="J72" s="518"/>
      <c r="K72" s="518"/>
      <c r="L72" s="518"/>
      <c r="M72" s="519"/>
      <c r="N72" s="518"/>
      <c r="O72" s="1159"/>
      <c r="P72" s="504"/>
      <c r="Q72" s="504"/>
    </row>
    <row r="73" spans="1:17" s="117" customFormat="1" ht="15">
      <c r="A73" s="521" t="s">
        <v>2539</v>
      </c>
      <c r="B73" s="510"/>
      <c r="C73" s="522" t="s">
        <v>2576</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ht="28.5">
      <c r="A75" s="527" t="s">
        <v>2577</v>
      </c>
      <c r="B75" s="528" t="s">
        <v>2543</v>
      </c>
      <c r="C75" s="2986" t="s">
        <v>3369</v>
      </c>
      <c r="D75" s="530" t="str">
        <f>'土地案例（商业）'!F8</f>
        <v>商业用地、商务用地</v>
      </c>
      <c r="E75" s="530" t="str">
        <f>'土地案例（商业）'!F10</f>
        <v>其它商务用地、防护绿地</v>
      </c>
      <c r="F75" s="530"/>
      <c r="G75" s="530"/>
      <c r="H75" s="530"/>
      <c r="I75" s="530"/>
      <c r="J75" s="530"/>
      <c r="K75" s="531"/>
      <c r="L75" s="532"/>
      <c r="M75" s="533"/>
      <c r="N75" s="1149"/>
      <c r="O75" s="1149"/>
      <c r="P75" s="45"/>
      <c r="Q75" s="504"/>
    </row>
    <row r="76" spans="1:17" ht="15.75" thickBot="1">
      <c r="A76" s="534"/>
      <c r="B76" s="535"/>
      <c r="C76" s="536">
        <v>100</v>
      </c>
      <c r="D76" s="536">
        <v>100</v>
      </c>
      <c r="E76" s="536">
        <v>100</v>
      </c>
      <c r="F76" s="536"/>
      <c r="G76" s="536"/>
      <c r="H76" s="536"/>
      <c r="I76" s="536"/>
      <c r="J76" s="536"/>
      <c r="K76" s="536"/>
      <c r="L76" s="536"/>
      <c r="M76" s="537"/>
      <c r="N76" s="1150"/>
      <c r="O76" s="1150"/>
      <c r="P76" s="45"/>
      <c r="Q76" s="504"/>
    </row>
    <row r="77" spans="1:17" ht="27.75" thickTop="1">
      <c r="A77" s="534"/>
      <c r="B77" s="538" t="s">
        <v>2546</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2547</v>
      </c>
      <c r="C79" s="547" t="str">
        <f>C80&amp;"（含）"&amp;"-"&amp;D80</f>
        <v>0（含）-2</v>
      </c>
      <c r="D79" s="547" t="str">
        <f t="shared" ref="D79:L79" si="21">D80&amp;"（含）"&amp;"-"&amp;E80</f>
        <v>2（含）-4</v>
      </c>
      <c r="E79" s="547" t="str">
        <f t="shared" si="21"/>
        <v>4（含）-6</v>
      </c>
      <c r="F79" s="547" t="str">
        <f t="shared" si="21"/>
        <v>6（含）-8</v>
      </c>
      <c r="G79" s="547" t="str">
        <f t="shared" si="21"/>
        <v>8（含）-10</v>
      </c>
      <c r="H79" s="547" t="str">
        <f t="shared" si="21"/>
        <v>10（含）-12</v>
      </c>
      <c r="I79" s="547" t="str">
        <f t="shared" si="21"/>
        <v>12（含）-14</v>
      </c>
      <c r="J79" s="547" t="str">
        <f t="shared" si="21"/>
        <v>14（含）-16</v>
      </c>
      <c r="K79" s="547" t="str">
        <f t="shared" si="21"/>
        <v>16（含）-18</v>
      </c>
      <c r="L79" s="547" t="str">
        <f t="shared" si="21"/>
        <v>18（含）-20</v>
      </c>
      <c r="M79" s="448" t="str">
        <f>M80&amp;"（含）"&amp;"-"&amp;P80</f>
        <v>20（含）-</v>
      </c>
      <c r="N79" s="1150"/>
      <c r="O79" s="1150"/>
      <c r="P79" s="45"/>
      <c r="Q79" s="504"/>
    </row>
    <row r="80" spans="1:17" ht="15">
      <c r="A80" s="534"/>
      <c r="B80" s="548"/>
      <c r="C80" s="549">
        <v>0</v>
      </c>
      <c r="D80" s="549">
        <f>C80+2</f>
        <v>2</v>
      </c>
      <c r="E80" s="549">
        <f t="shared" ref="E80:M80" si="22">D80+2</f>
        <v>4</v>
      </c>
      <c r="F80" s="549">
        <f t="shared" si="22"/>
        <v>6</v>
      </c>
      <c r="G80" s="549">
        <f t="shared" si="22"/>
        <v>8</v>
      </c>
      <c r="H80" s="549">
        <f t="shared" si="22"/>
        <v>10</v>
      </c>
      <c r="I80" s="549">
        <f t="shared" si="22"/>
        <v>12</v>
      </c>
      <c r="J80" s="549">
        <f t="shared" si="22"/>
        <v>14</v>
      </c>
      <c r="K80" s="549">
        <f t="shared" si="22"/>
        <v>16</v>
      </c>
      <c r="L80" s="549">
        <f t="shared" si="22"/>
        <v>18</v>
      </c>
      <c r="M80" s="549">
        <f t="shared" si="22"/>
        <v>20</v>
      </c>
      <c r="N80" s="1149"/>
      <c r="O80" s="1149"/>
      <c r="P80" s="45"/>
      <c r="Q80" s="504"/>
    </row>
    <row r="81" spans="1:17" ht="15.75" thickBot="1">
      <c r="A81" s="534"/>
      <c r="B81" s="535"/>
      <c r="C81" s="544">
        <v>100</v>
      </c>
      <c r="D81" s="544">
        <f t="shared" ref="D81:M81" si="23">IF($B$46="单位面积地价",C81+$K11,C81-$K11)</f>
        <v>98</v>
      </c>
      <c r="E81" s="544">
        <f t="shared" si="23"/>
        <v>96</v>
      </c>
      <c r="F81" s="544">
        <f t="shared" si="23"/>
        <v>94</v>
      </c>
      <c r="G81" s="544">
        <f t="shared" si="23"/>
        <v>92</v>
      </c>
      <c r="H81" s="544">
        <f t="shared" si="23"/>
        <v>90</v>
      </c>
      <c r="I81" s="544">
        <f t="shared" si="23"/>
        <v>88</v>
      </c>
      <c r="J81" s="544">
        <f t="shared" si="23"/>
        <v>86</v>
      </c>
      <c r="K81" s="544">
        <f t="shared" si="23"/>
        <v>84</v>
      </c>
      <c r="L81" s="544">
        <f t="shared" si="23"/>
        <v>82</v>
      </c>
      <c r="M81" s="544">
        <f t="shared" si="23"/>
        <v>80</v>
      </c>
      <c r="N81" s="1150"/>
      <c r="O81" s="1150"/>
      <c r="P81" s="45"/>
      <c r="Q81" s="504"/>
    </row>
    <row r="82" spans="1:17" s="471" customFormat="1" ht="16.5" hidden="1" thickTop="1" thickBot="1">
      <c r="A82" s="553"/>
      <c r="B82" s="538">
        <f>B12</f>
        <v>0</v>
      </c>
      <c r="C82" s="554"/>
      <c r="D82" s="554"/>
      <c r="E82" s="554"/>
      <c r="F82" s="554"/>
      <c r="G82" s="554"/>
      <c r="H82" s="555"/>
      <c r="I82" s="555"/>
      <c r="J82" s="555"/>
      <c r="K82" s="555"/>
      <c r="L82" s="556"/>
      <c r="M82" s="557"/>
      <c r="N82" s="1151"/>
      <c r="O82" s="1151"/>
      <c r="P82" s="558"/>
      <c r="Q82" s="559"/>
    </row>
    <row r="83" spans="1:17" s="471" customFormat="1" ht="16.5" hidden="1" thickTop="1" thickBot="1">
      <c r="A83" s="553"/>
      <c r="B83" s="543"/>
      <c r="C83" s="560"/>
      <c r="D83" s="536"/>
      <c r="E83" s="536"/>
      <c r="F83" s="536"/>
      <c r="G83" s="536"/>
      <c r="H83" s="536"/>
      <c r="I83" s="536"/>
      <c r="J83" s="536"/>
      <c r="K83" s="536"/>
      <c r="L83" s="536"/>
      <c r="M83" s="537"/>
      <c r="N83" s="1150"/>
      <c r="O83" s="1150"/>
      <c r="P83" s="558"/>
      <c r="Q83" s="559"/>
    </row>
    <row r="84" spans="1:17" s="471" customFormat="1" ht="16.5" hidden="1" thickTop="1" thickBot="1">
      <c r="A84" s="553"/>
      <c r="B84" s="538">
        <f>B13</f>
        <v>0</v>
      </c>
      <c r="C84" s="554"/>
      <c r="D84" s="554"/>
      <c r="E84" s="554"/>
      <c r="F84" s="554"/>
      <c r="G84" s="554"/>
      <c r="H84" s="555"/>
      <c r="I84" s="555"/>
      <c r="J84" s="555"/>
      <c r="K84" s="555"/>
      <c r="L84" s="556"/>
      <c r="M84" s="557"/>
      <c r="N84" s="1151"/>
      <c r="O84" s="1151"/>
      <c r="P84" s="470"/>
      <c r="Q84" s="561"/>
    </row>
    <row r="85" spans="1:17" s="471" customFormat="1" ht="16.5" hidden="1" thickTop="1" thickBot="1">
      <c r="A85" s="553"/>
      <c r="B85" s="543"/>
      <c r="C85" s="560"/>
      <c r="D85" s="560"/>
      <c r="E85" s="560"/>
      <c r="F85" s="560"/>
      <c r="G85" s="560"/>
      <c r="H85" s="562"/>
      <c r="I85" s="562"/>
      <c r="J85" s="562"/>
      <c r="K85" s="562"/>
      <c r="L85" s="562"/>
      <c r="M85" s="563"/>
      <c r="N85" s="1151"/>
      <c r="O85" s="1151"/>
      <c r="P85" s="558"/>
      <c r="Q85" s="559"/>
    </row>
    <row r="86" spans="1:17" s="471" customFormat="1" ht="16.5" hidden="1" thickTop="1" thickBot="1">
      <c r="A86" s="553"/>
      <c r="B86" s="546">
        <f>B14</f>
        <v>0</v>
      </c>
      <c r="C86" s="523"/>
      <c r="D86" s="523"/>
      <c r="E86" s="523"/>
      <c r="F86" s="523"/>
      <c r="G86" s="523"/>
      <c r="H86" s="564"/>
      <c r="I86" s="564"/>
      <c r="J86" s="564"/>
      <c r="K86" s="564"/>
      <c r="L86" s="565"/>
      <c r="M86" s="566"/>
      <c r="N86" s="1151"/>
      <c r="O86" s="1151"/>
      <c r="P86" s="567"/>
      <c r="Q86" s="559"/>
    </row>
    <row r="87" spans="1:17" s="471" customFormat="1" ht="16.5" hidden="1" thickTop="1" thickBot="1">
      <c r="A87" s="568"/>
      <c r="B87" s="569"/>
      <c r="C87" s="570"/>
      <c r="D87" s="570"/>
      <c r="E87" s="570"/>
      <c r="F87" s="570"/>
      <c r="G87" s="570"/>
      <c r="H87" s="571"/>
      <c r="I87" s="571"/>
      <c r="J87" s="571"/>
      <c r="K87" s="571"/>
      <c r="L87" s="571"/>
      <c r="M87" s="572"/>
      <c r="N87" s="1151"/>
      <c r="O87" s="1151"/>
      <c r="P87" s="558"/>
      <c r="Q87" s="559"/>
    </row>
    <row r="88" spans="1:17" ht="15" thickTop="1">
      <c r="A88" s="527" t="s">
        <v>2548</v>
      </c>
      <c r="B88" s="528" t="s">
        <v>2585</v>
      </c>
      <c r="C88" s="573" t="s">
        <v>2586</v>
      </c>
      <c r="D88" s="573" t="s">
        <v>2587</v>
      </c>
      <c r="E88" s="573" t="s">
        <v>2588</v>
      </c>
      <c r="F88" s="573" t="s">
        <v>2589</v>
      </c>
      <c r="G88" s="573" t="s">
        <v>2590</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2771</v>
      </c>
      <c r="C90" s="578" t="s">
        <v>2586</v>
      </c>
      <c r="D90" s="578" t="s">
        <v>2587</v>
      </c>
      <c r="E90" s="578" t="s">
        <v>2588</v>
      </c>
      <c r="F90" s="578" t="s">
        <v>2589</v>
      </c>
      <c r="G90" s="578" t="s">
        <v>2590</v>
      </c>
      <c r="H90" s="539"/>
      <c r="I90" s="539"/>
      <c r="J90" s="539"/>
      <c r="K90" s="540"/>
      <c r="L90" s="541"/>
      <c r="M90" s="542"/>
      <c r="N90" s="1149"/>
      <c r="O90" s="1149"/>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0"/>
      <c r="O91" s="1150"/>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49"/>
      <c r="O92" s="1149"/>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0"/>
      <c r="O93" s="1150"/>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2772</v>
      </c>
      <c r="C96" s="578" t="s">
        <v>2586</v>
      </c>
      <c r="D96" s="578" t="s">
        <v>2587</v>
      </c>
      <c r="E96" s="578" t="s">
        <v>2588</v>
      </c>
      <c r="F96" s="578" t="s">
        <v>2589</v>
      </c>
      <c r="G96" s="578" t="s">
        <v>2590</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2773</v>
      </c>
      <c r="C98" s="573" t="s">
        <v>2586</v>
      </c>
      <c r="D98" s="573" t="s">
        <v>2587</v>
      </c>
      <c r="E98" s="573" t="s">
        <v>2588</v>
      </c>
      <c r="F98" s="573" t="s">
        <v>2589</v>
      </c>
      <c r="G98" s="573" t="s">
        <v>2590</v>
      </c>
      <c r="H98" s="578"/>
      <c r="I98" s="578"/>
      <c r="J98" s="578"/>
      <c r="K98" s="578"/>
      <c r="L98" s="578"/>
      <c r="M98" s="622"/>
      <c r="N98" s="1148"/>
      <c r="O98" s="1148"/>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1"/>
      <c r="O100" s="1151"/>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1"/>
      <c r="O101" s="1151"/>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2"/>
      <c r="N102" s="1151"/>
      <c r="O102" s="1151"/>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2"/>
      <c r="N103" s="1151"/>
      <c r="O103" s="1151"/>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0"/>
      <c r="O105" s="1150"/>
      <c r="P105" s="45"/>
      <c r="Q105" s="504"/>
    </row>
    <row r="106" spans="1:17" ht="27.75" thickTop="1">
      <c r="A106" s="534"/>
      <c r="B106" s="538" t="s">
        <v>2680</v>
      </c>
      <c r="C106" s="2970" t="s">
        <v>3178</v>
      </c>
      <c r="D106" s="2970" t="s">
        <v>3179</v>
      </c>
      <c r="E106" s="2970" t="s">
        <v>3181</v>
      </c>
      <c r="F106" s="2970" t="s">
        <v>3183</v>
      </c>
      <c r="G106" s="554"/>
      <c r="H106" s="583"/>
      <c r="I106" s="583"/>
      <c r="J106" s="583"/>
      <c r="K106" s="584"/>
      <c r="L106" s="585"/>
      <c r="M106" s="586"/>
      <c r="N106" s="1149"/>
      <c r="O106" s="1149"/>
      <c r="P106" s="45"/>
      <c r="Q106" s="504"/>
    </row>
    <row r="107" spans="1:17" ht="15.75" thickBot="1">
      <c r="A107" s="534"/>
      <c r="B107" s="543"/>
      <c r="C107" s="544">
        <v>100</v>
      </c>
      <c r="D107" s="544">
        <f>C107-$K32</f>
        <v>99</v>
      </c>
      <c r="E107" s="544">
        <f t="shared" ref="E107:M107" si="25">D107-$K32</f>
        <v>98</v>
      </c>
      <c r="F107" s="544">
        <f t="shared" si="25"/>
        <v>97</v>
      </c>
      <c r="G107" s="544">
        <f t="shared" si="25"/>
        <v>96</v>
      </c>
      <c r="H107" s="544">
        <f t="shared" si="25"/>
        <v>95</v>
      </c>
      <c r="I107" s="544">
        <f t="shared" si="25"/>
        <v>94</v>
      </c>
      <c r="J107" s="544">
        <f t="shared" si="25"/>
        <v>93</v>
      </c>
      <c r="K107" s="544">
        <f t="shared" si="25"/>
        <v>92</v>
      </c>
      <c r="L107" s="544">
        <f t="shared" si="25"/>
        <v>91</v>
      </c>
      <c r="M107" s="544">
        <f t="shared" si="25"/>
        <v>90</v>
      </c>
      <c r="N107" s="1150"/>
      <c r="O107" s="1150"/>
      <c r="P107" s="45"/>
      <c r="Q107" s="504"/>
    </row>
    <row r="108" spans="1:17" ht="16.5" hidden="1" thickTop="1" thickBot="1">
      <c r="A108" s="534"/>
      <c r="B108" s="538" t="s">
        <v>2738</v>
      </c>
      <c r="C108" s="583"/>
      <c r="D108" s="583"/>
      <c r="E108" s="583"/>
      <c r="F108" s="583"/>
      <c r="G108" s="583"/>
      <c r="H108" s="583"/>
      <c r="I108" s="583"/>
      <c r="J108" s="583"/>
      <c r="K108" s="584"/>
      <c r="L108" s="585"/>
      <c r="M108" s="586"/>
      <c r="N108" s="1149"/>
      <c r="O108" s="1149"/>
      <c r="P108" s="45"/>
      <c r="Q108" s="504"/>
    </row>
    <row r="109" spans="1:17" ht="16.5" hidden="1" thickTop="1"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0"/>
      <c r="O109" s="1150"/>
      <c r="P109" s="45"/>
      <c r="Q109" s="504"/>
    </row>
    <row r="110" spans="1:17" ht="16.5" hidden="1" thickTop="1" thickBot="1">
      <c r="A110" s="534"/>
      <c r="B110" s="546">
        <f>B35</f>
        <v>0</v>
      </c>
      <c r="C110" s="554"/>
      <c r="D110" s="554"/>
      <c r="E110" s="554"/>
      <c r="F110" s="554"/>
      <c r="G110" s="587"/>
      <c r="H110" s="587"/>
      <c r="I110" s="587"/>
      <c r="J110" s="587"/>
      <c r="K110" s="588"/>
      <c r="L110" s="589"/>
      <c r="M110" s="590"/>
      <c r="N110" s="1149"/>
      <c r="O110" s="1149"/>
      <c r="P110" s="45"/>
      <c r="Q110" s="504"/>
    </row>
    <row r="111" spans="1:17" ht="16.5" hidden="1" thickTop="1" thickBot="1">
      <c r="A111" s="534"/>
      <c r="B111" s="569"/>
      <c r="C111" s="560"/>
      <c r="D111" s="560"/>
      <c r="E111" s="560"/>
      <c r="F111" s="560"/>
      <c r="G111" s="591"/>
      <c r="H111" s="591"/>
      <c r="I111" s="591"/>
      <c r="J111" s="591"/>
      <c r="K111" s="591"/>
      <c r="L111" s="591"/>
      <c r="M111" s="592"/>
      <c r="N111" s="1150"/>
      <c r="O111" s="1150"/>
      <c r="P111" s="45"/>
      <c r="Q111" s="504"/>
    </row>
    <row r="112" spans="1:17" ht="15.75" hidden="1" thickTop="1" thickBot="1">
      <c r="A112" s="675"/>
      <c r="B112" s="538">
        <f>B36</f>
        <v>0</v>
      </c>
      <c r="C112" s="523"/>
      <c r="D112" s="523"/>
      <c r="E112" s="523"/>
      <c r="F112" s="523"/>
      <c r="G112" s="583"/>
      <c r="H112" s="583"/>
      <c r="I112" s="583"/>
      <c r="J112" s="583"/>
      <c r="K112" s="584"/>
      <c r="L112" s="585"/>
      <c r="M112" s="586"/>
      <c r="N112" s="1149"/>
      <c r="O112" s="1149"/>
      <c r="P112" s="45"/>
      <c r="Q112" s="504"/>
    </row>
    <row r="113" spans="1:17" ht="16.5" hidden="1" thickTop="1" thickBot="1">
      <c r="A113" s="534"/>
      <c r="B113" s="543"/>
      <c r="C113" s="570"/>
      <c r="D113" s="570"/>
      <c r="E113" s="570"/>
      <c r="F113" s="570"/>
      <c r="G113" s="536"/>
      <c r="H113" s="536"/>
      <c r="I113" s="536"/>
      <c r="J113" s="536"/>
      <c r="K113" s="536"/>
      <c r="L113" s="536"/>
      <c r="M113" s="537"/>
      <c r="N113" s="1150"/>
      <c r="O113" s="1150"/>
      <c r="P113" s="45"/>
      <c r="Q113" s="504"/>
    </row>
    <row r="114" spans="1:17" s="471" customFormat="1" ht="15.75" hidden="1" thickTop="1" thickBot="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6.5" hidden="1" thickTop="1" thickBot="1">
      <c r="A115" s="553"/>
      <c r="B115" s="546"/>
      <c r="C115" s="512"/>
      <c r="D115" s="677"/>
      <c r="E115" s="677"/>
      <c r="F115" s="677"/>
      <c r="G115" s="677"/>
      <c r="H115" s="677"/>
      <c r="I115" s="677"/>
      <c r="J115" s="677"/>
      <c r="K115" s="677"/>
      <c r="L115" s="677"/>
      <c r="M115" s="699"/>
      <c r="N115" s="1150"/>
      <c r="O115" s="1150"/>
      <c r="P115" s="558"/>
      <c r="Q115" s="559"/>
    </row>
    <row r="116" spans="1:17" ht="15" thickTop="1">
      <c r="A116" s="527" t="s">
        <v>2552</v>
      </c>
      <c r="B116" s="528" t="s">
        <v>2778</v>
      </c>
      <c r="C116" s="529" t="str">
        <f>C117&amp;"(含)"&amp;"-"&amp;D117</f>
        <v>0(含)-</v>
      </c>
      <c r="D116" s="529" t="str">
        <f t="shared" ref="D116:M116" si="27">D117&amp;"(含)"&amp;"-"&amp;E117</f>
        <v>(含)-</v>
      </c>
      <c r="E116" s="529" t="str">
        <f t="shared" si="27"/>
        <v>(含)-</v>
      </c>
      <c r="F116" s="529" t="str">
        <f t="shared" si="27"/>
        <v>(含)-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49"/>
      <c r="O116" s="1149"/>
      <c r="P116" s="45"/>
      <c r="Q116" s="504"/>
    </row>
    <row r="117" spans="1:17" ht="15">
      <c r="A117" s="534"/>
      <c r="B117" s="546"/>
      <c r="C117" s="595">
        <v>0</v>
      </c>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2779</v>
      </c>
      <c r="C119" s="2969" t="s">
        <v>3172</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0"/>
      <c r="O120" s="1150"/>
      <c r="P120" s="45"/>
      <c r="Q120" s="504"/>
    </row>
    <row r="121" spans="1:17" ht="15.75" hidden="1" thickTop="1" thickBot="1">
      <c r="A121" s="599"/>
      <c r="B121" s="538" t="s">
        <v>2780</v>
      </c>
      <c r="C121" s="554"/>
      <c r="D121" s="554"/>
      <c r="E121" s="554"/>
      <c r="F121" s="583"/>
      <c r="G121" s="583"/>
      <c r="H121" s="583"/>
      <c r="I121" s="583"/>
      <c r="J121" s="583"/>
      <c r="K121" s="584"/>
      <c r="L121" s="585"/>
      <c r="M121" s="586"/>
      <c r="N121" s="1149"/>
      <c r="O121" s="1149"/>
      <c r="P121" s="45"/>
      <c r="Q121" s="504"/>
    </row>
    <row r="122" spans="1:17" ht="16.5" hidden="1" thickTop="1"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0"/>
      <c r="O122" s="1150"/>
      <c r="P122" s="45"/>
      <c r="Q122" s="504"/>
    </row>
    <row r="123" spans="1:17" s="471" customFormat="1" ht="15" thickTop="1">
      <c r="A123" s="593"/>
      <c r="B123" s="538" t="s">
        <v>2781</v>
      </c>
      <c r="C123" s="2970" t="s">
        <v>3173</v>
      </c>
      <c r="D123" s="2970" t="s">
        <v>3174</v>
      </c>
      <c r="E123" s="2970" t="s">
        <v>3175</v>
      </c>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30">D124-$K41</f>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558"/>
      <c r="Q124" s="559"/>
    </row>
    <row r="125" spans="1:17" ht="15" thickTop="1">
      <c r="A125" s="599"/>
      <c r="B125" s="538" t="s">
        <v>2782</v>
      </c>
      <c r="C125" s="2970" t="s">
        <v>3177</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0"/>
      <c r="O126" s="1150"/>
      <c r="P126" s="45"/>
      <c r="Q126" s="504"/>
    </row>
    <row r="127" spans="1:17" ht="15" hidden="1" thickTop="1">
      <c r="A127" s="599"/>
      <c r="B127" s="538">
        <f>B43</f>
        <v>0</v>
      </c>
      <c r="C127" s="554"/>
      <c r="D127" s="554"/>
      <c r="E127" s="554"/>
      <c r="F127" s="554"/>
      <c r="G127" s="554"/>
      <c r="H127" s="583"/>
      <c r="I127" s="583"/>
      <c r="J127" s="583"/>
      <c r="K127" s="584"/>
      <c r="L127" s="585"/>
      <c r="M127" s="586"/>
      <c r="N127" s="1149"/>
      <c r="O127" s="1149"/>
      <c r="P127" s="45"/>
      <c r="Q127" s="504"/>
    </row>
    <row r="128" spans="1:17" ht="16.5" hidden="1" thickTop="1" thickBot="1">
      <c r="A128" s="534"/>
      <c r="B128" s="543"/>
      <c r="C128" s="560"/>
      <c r="D128" s="560"/>
      <c r="E128" s="560"/>
      <c r="F128" s="560"/>
      <c r="G128" s="536"/>
      <c r="H128" s="536"/>
      <c r="I128" s="536"/>
      <c r="J128" s="536"/>
      <c r="K128" s="536"/>
      <c r="L128" s="536"/>
      <c r="M128" s="537"/>
      <c r="N128" s="1150"/>
      <c r="O128" s="1150"/>
      <c r="P128" s="45"/>
      <c r="Q128" s="504"/>
    </row>
    <row r="129" spans="1:17" ht="15" hidden="1" thickTop="1">
      <c r="A129" s="599"/>
      <c r="B129" s="538">
        <f>B44</f>
        <v>0</v>
      </c>
      <c r="C129" s="523"/>
      <c r="D129" s="523"/>
      <c r="E129" s="523"/>
      <c r="F129" s="523"/>
      <c r="G129" s="583"/>
      <c r="H129" s="583"/>
      <c r="I129" s="583"/>
      <c r="J129" s="583"/>
      <c r="K129" s="584"/>
      <c r="L129" s="585"/>
      <c r="M129" s="586"/>
      <c r="N129" s="1149"/>
      <c r="O129" s="1149"/>
      <c r="P129" s="45"/>
      <c r="Q129" s="504"/>
    </row>
    <row r="130" spans="1:17" ht="16.5" hidden="1" thickTop="1" thickBot="1">
      <c r="A130" s="534"/>
      <c r="B130" s="543"/>
      <c r="C130" s="570"/>
      <c r="D130" s="570"/>
      <c r="E130" s="570"/>
      <c r="F130" s="570"/>
      <c r="G130" s="536"/>
      <c r="H130" s="536"/>
      <c r="I130" s="536"/>
      <c r="J130" s="536"/>
      <c r="K130" s="536"/>
      <c r="L130" s="536"/>
      <c r="M130" s="537"/>
      <c r="N130" s="1150"/>
      <c r="O130" s="1150"/>
      <c r="P130" s="45"/>
      <c r="Q130" s="504"/>
    </row>
    <row r="131" spans="1:17" s="471" customFormat="1" ht="15" hidden="1"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6.5" hidden="1" thickTop="1" thickBot="1">
      <c r="A132" s="568"/>
      <c r="B132" s="700"/>
      <c r="C132" s="570"/>
      <c r="D132" s="570"/>
      <c r="E132" s="570"/>
      <c r="F132" s="570"/>
      <c r="G132" s="591"/>
      <c r="H132" s="591"/>
      <c r="I132" s="591"/>
      <c r="J132" s="591"/>
      <c r="K132" s="591"/>
      <c r="L132" s="591"/>
      <c r="M132" s="592"/>
      <c r="N132" s="1151"/>
      <c r="O132" s="1151"/>
      <c r="P132" s="558"/>
      <c r="Q132" s="559"/>
    </row>
    <row r="133" spans="1:17" ht="15" thickTop="1"/>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workbookViewId="0">
      <selection activeCell="F83" sqref="F83"/>
    </sheetView>
  </sheetViews>
  <sheetFormatPr defaultRowHeight="13.5"/>
  <cols>
    <col min="1" max="1" width="50.75" customWidth="1"/>
    <col min="2" max="4" width="9" hidden="1" customWidth="1"/>
    <col min="5" max="5" width="9" customWidth="1"/>
    <col min="6" max="6" width="44.5" customWidth="1"/>
    <col min="7" max="7" width="16.625" customWidth="1"/>
    <col min="8" max="8" width="24.125" customWidth="1"/>
    <col min="9" max="9" width="13.125" customWidth="1"/>
    <col min="10" max="10" width="27.75" customWidth="1"/>
    <col min="11" max="11" width="39.125" customWidth="1"/>
    <col min="12" max="12" width="13.625" customWidth="1"/>
    <col min="13" max="13" width="19.375" customWidth="1"/>
    <col min="14" max="14" width="17.75" customWidth="1"/>
    <col min="15" max="15" width="8.375" customWidth="1"/>
  </cols>
  <sheetData>
    <row r="1" spans="1:17" ht="14.25" customHeight="1">
      <c r="A1" s="3006" t="s">
        <v>3088</v>
      </c>
      <c r="B1" s="3006" t="s">
        <v>3089</v>
      </c>
      <c r="C1" s="3006" t="s">
        <v>3090</v>
      </c>
      <c r="D1" s="3006" t="s">
        <v>3091</v>
      </c>
      <c r="E1" s="3006" t="s">
        <v>3197</v>
      </c>
      <c r="F1" s="3006" t="s">
        <v>3092</v>
      </c>
      <c r="G1" s="3006" t="s">
        <v>3093</v>
      </c>
      <c r="H1" s="3006" t="s">
        <v>3094</v>
      </c>
      <c r="I1" s="3006" t="s">
        <v>3095</v>
      </c>
      <c r="J1" s="3006" t="s">
        <v>3198</v>
      </c>
      <c r="K1" s="3006" t="s">
        <v>3096</v>
      </c>
      <c r="L1" s="3006" t="s">
        <v>3097</v>
      </c>
      <c r="M1" s="3006" t="s">
        <v>3098</v>
      </c>
      <c r="N1" s="3006" t="s">
        <v>3099</v>
      </c>
      <c r="O1" s="3006" t="s">
        <v>3100</v>
      </c>
      <c r="P1" s="3006" t="s">
        <v>3101</v>
      </c>
    </row>
    <row r="2" spans="1:17" hidden="1">
      <c r="A2" s="3006" t="s">
        <v>3377</v>
      </c>
      <c r="B2" s="3006" t="s">
        <v>3103</v>
      </c>
      <c r="C2" s="3006" t="s">
        <v>3200</v>
      </c>
      <c r="D2" s="3006" t="s">
        <v>3105</v>
      </c>
      <c r="E2" s="3006">
        <v>18060</v>
      </c>
      <c r="F2" s="3006" t="s">
        <v>3289</v>
      </c>
      <c r="G2" s="3006">
        <v>22884</v>
      </c>
      <c r="H2" s="3006" t="s">
        <v>3378</v>
      </c>
      <c r="I2" s="3006" t="s">
        <v>3379</v>
      </c>
      <c r="J2" s="3006" t="s">
        <v>3380</v>
      </c>
      <c r="K2" s="3006" t="s">
        <v>3381</v>
      </c>
      <c r="L2" s="3006">
        <v>7369</v>
      </c>
      <c r="M2" s="3006">
        <v>214.68</v>
      </c>
      <c r="N2" s="3006">
        <v>1610.07</v>
      </c>
      <c r="O2" s="3006">
        <v>0</v>
      </c>
      <c r="P2" s="3006" t="s">
        <v>3110</v>
      </c>
    </row>
    <row r="3" spans="1:17" hidden="1">
      <c r="A3" s="3006" t="s">
        <v>4156</v>
      </c>
      <c r="B3" s="3006" t="s">
        <v>3103</v>
      </c>
      <c r="C3" s="3006" t="s">
        <v>3200</v>
      </c>
      <c r="D3" s="3006" t="s">
        <v>3105</v>
      </c>
      <c r="E3" s="3006">
        <v>18039</v>
      </c>
      <c r="F3" s="3006" t="s">
        <v>4157</v>
      </c>
      <c r="G3" s="3006">
        <v>46339</v>
      </c>
      <c r="H3" s="3006" t="s">
        <v>3119</v>
      </c>
      <c r="I3" s="3006" t="s">
        <v>3474</v>
      </c>
      <c r="J3" s="3006" t="s">
        <v>4158</v>
      </c>
      <c r="K3" s="3006" t="s">
        <v>3840</v>
      </c>
      <c r="L3" s="3006">
        <v>9315</v>
      </c>
      <c r="M3" s="3006">
        <v>134.01</v>
      </c>
      <c r="N3" s="3006">
        <v>1340.11</v>
      </c>
      <c r="O3" s="3006">
        <v>0</v>
      </c>
      <c r="P3" s="3006" t="s">
        <v>3110</v>
      </c>
    </row>
    <row r="4" spans="1:17" hidden="1">
      <c r="A4" s="3006" t="s">
        <v>3382</v>
      </c>
      <c r="B4" s="3006" t="s">
        <v>3103</v>
      </c>
      <c r="C4" s="3006" t="s">
        <v>3200</v>
      </c>
      <c r="D4" s="3006" t="s">
        <v>3105</v>
      </c>
      <c r="E4" s="3006">
        <v>18024</v>
      </c>
      <c r="F4" s="3006" t="s">
        <v>3383</v>
      </c>
      <c r="G4" s="3006">
        <v>138372</v>
      </c>
      <c r="H4" s="3006" t="s">
        <v>3384</v>
      </c>
      <c r="I4" s="3006" t="s">
        <v>3202</v>
      </c>
      <c r="J4" s="3006" t="s">
        <v>3385</v>
      </c>
      <c r="K4" s="3006" t="s">
        <v>3386</v>
      </c>
      <c r="L4" s="3006">
        <v>35977</v>
      </c>
      <c r="M4" s="3006">
        <v>173.33</v>
      </c>
      <c r="N4" s="3006">
        <v>2600.0100000000002</v>
      </c>
      <c r="O4" s="3006">
        <v>0</v>
      </c>
      <c r="P4" s="3006" t="s">
        <v>3110</v>
      </c>
    </row>
    <row r="5" spans="1:17" hidden="1">
      <c r="A5" s="3006" t="s">
        <v>3199</v>
      </c>
      <c r="B5" s="3006" t="s">
        <v>3103</v>
      </c>
      <c r="C5" s="3006" t="s">
        <v>3200</v>
      </c>
      <c r="D5" s="3006" t="s">
        <v>3113</v>
      </c>
      <c r="E5" s="3006">
        <v>18023</v>
      </c>
      <c r="F5" s="3006" t="s">
        <v>3201</v>
      </c>
      <c r="G5" s="3006">
        <v>11896</v>
      </c>
      <c r="H5" s="3006" t="s">
        <v>3119</v>
      </c>
      <c r="I5" s="3006" t="s">
        <v>3202</v>
      </c>
      <c r="J5" s="3006" t="s">
        <v>3203</v>
      </c>
      <c r="K5" s="3006" t="s">
        <v>3204</v>
      </c>
      <c r="L5" s="3006">
        <v>2100</v>
      </c>
      <c r="M5" s="3006">
        <v>117.69</v>
      </c>
      <c r="N5" s="3006">
        <v>1176.8599999999999</v>
      </c>
      <c r="O5" s="3006">
        <v>45.83</v>
      </c>
      <c r="P5" s="3006" t="s">
        <v>3110</v>
      </c>
    </row>
    <row r="6" spans="1:17" hidden="1">
      <c r="A6" s="3006" t="s">
        <v>3268</v>
      </c>
      <c r="B6" s="3006" t="s">
        <v>3103</v>
      </c>
      <c r="C6" s="3006" t="s">
        <v>3200</v>
      </c>
      <c r="D6" s="3006" t="s">
        <v>3105</v>
      </c>
      <c r="E6" s="3006">
        <v>18013</v>
      </c>
      <c r="F6" s="3006" t="s">
        <v>3269</v>
      </c>
      <c r="G6" s="3006">
        <v>149172.4</v>
      </c>
      <c r="H6" s="3006" t="s">
        <v>3270</v>
      </c>
      <c r="I6" s="3006" t="s">
        <v>3271</v>
      </c>
      <c r="J6" s="3006" t="s">
        <v>3272</v>
      </c>
      <c r="K6" s="3006" t="s">
        <v>3273</v>
      </c>
      <c r="L6" s="3006">
        <v>213309</v>
      </c>
      <c r="M6" s="3006">
        <v>953.3</v>
      </c>
      <c r="N6" s="3006">
        <v>9630.7900000000009</v>
      </c>
      <c r="O6" s="3006">
        <v>0</v>
      </c>
      <c r="P6" s="3006" t="s">
        <v>3110</v>
      </c>
    </row>
    <row r="7" spans="1:17" hidden="1">
      <c r="A7" s="3006" t="s">
        <v>3389</v>
      </c>
      <c r="B7" s="3006" t="s">
        <v>3103</v>
      </c>
      <c r="C7" s="3006" t="s">
        <v>3200</v>
      </c>
      <c r="D7" s="3006" t="s">
        <v>3105</v>
      </c>
      <c r="E7" s="3006">
        <v>17149</v>
      </c>
      <c r="F7" s="3006" t="s">
        <v>3390</v>
      </c>
      <c r="G7" s="3006">
        <v>276803</v>
      </c>
      <c r="H7" s="3006" t="s">
        <v>3391</v>
      </c>
      <c r="I7" s="3006" t="s">
        <v>3392</v>
      </c>
      <c r="J7" s="3006" t="s">
        <v>3393</v>
      </c>
      <c r="K7" s="3006" t="s">
        <v>3394</v>
      </c>
      <c r="L7" s="3006">
        <v>37646</v>
      </c>
      <c r="M7" s="3006">
        <v>90.67</v>
      </c>
      <c r="N7" s="3006">
        <v>3777.86</v>
      </c>
      <c r="O7" s="3006">
        <v>0</v>
      </c>
      <c r="P7" s="3006" t="s">
        <v>3110</v>
      </c>
    </row>
    <row r="8" spans="1:17" s="2994" customFormat="1">
      <c r="A8" s="2993" t="s">
        <v>3395</v>
      </c>
      <c r="B8" s="2993" t="s">
        <v>3103</v>
      </c>
      <c r="C8" s="2993" t="s">
        <v>3200</v>
      </c>
      <c r="D8" s="2993" t="s">
        <v>3105</v>
      </c>
      <c r="E8" s="2993">
        <v>17147</v>
      </c>
      <c r="F8" s="2993" t="s">
        <v>3207</v>
      </c>
      <c r="G8" s="2993">
        <v>7174</v>
      </c>
      <c r="H8" s="2993" t="s">
        <v>3396</v>
      </c>
      <c r="I8" s="2993" t="s">
        <v>3397</v>
      </c>
      <c r="J8" s="2993" t="s">
        <v>3398</v>
      </c>
      <c r="K8" s="2993" t="s">
        <v>3399</v>
      </c>
      <c r="L8" s="2993">
        <v>19126</v>
      </c>
      <c r="M8" s="2993">
        <v>1777.34</v>
      </c>
      <c r="N8" s="2993">
        <v>4443.3500000000004</v>
      </c>
      <c r="O8" s="2993">
        <v>0</v>
      </c>
      <c r="P8" s="2993" t="s">
        <v>3110</v>
      </c>
      <c r="Q8" s="3005" t="s">
        <v>4212</v>
      </c>
    </row>
    <row r="9" spans="1:17" hidden="1">
      <c r="A9" s="3006" t="s">
        <v>4159</v>
      </c>
      <c r="B9" s="3006" t="s">
        <v>3103</v>
      </c>
      <c r="C9" s="3006" t="s">
        <v>3200</v>
      </c>
      <c r="D9" s="3006" t="s">
        <v>3105</v>
      </c>
      <c r="E9" s="3006">
        <v>17120</v>
      </c>
      <c r="F9" s="3006" t="s">
        <v>3240</v>
      </c>
      <c r="G9" s="3006">
        <v>54484</v>
      </c>
      <c r="H9" s="3006" t="s">
        <v>4160</v>
      </c>
      <c r="I9" s="3006" t="s">
        <v>3697</v>
      </c>
      <c r="J9" s="3006" t="s">
        <v>4161</v>
      </c>
      <c r="K9" s="3006" t="s">
        <v>4162</v>
      </c>
      <c r="L9" s="3006">
        <v>30185</v>
      </c>
      <c r="M9" s="3006">
        <v>369.34</v>
      </c>
      <c r="N9" s="3006">
        <v>2344.9</v>
      </c>
      <c r="O9" s="3006">
        <v>0</v>
      </c>
      <c r="P9" s="3006" t="s">
        <v>3110</v>
      </c>
    </row>
    <row r="10" spans="1:17" s="2994" customFormat="1">
      <c r="A10" s="2993" t="s">
        <v>3274</v>
      </c>
      <c r="B10" s="2993" t="s">
        <v>3103</v>
      </c>
      <c r="C10" s="2993" t="s">
        <v>3200</v>
      </c>
      <c r="D10" s="2993" t="s">
        <v>3113</v>
      </c>
      <c r="E10" s="2993">
        <v>17101</v>
      </c>
      <c r="F10" s="2993" t="s">
        <v>3275</v>
      </c>
      <c r="G10" s="2993">
        <v>9241</v>
      </c>
      <c r="H10" s="2993" t="s">
        <v>3124</v>
      </c>
      <c r="I10" s="2993" t="s">
        <v>3276</v>
      </c>
      <c r="J10" s="2993" t="s">
        <v>3277</v>
      </c>
      <c r="K10" s="2993" t="s">
        <v>3278</v>
      </c>
      <c r="L10" s="2993">
        <v>18800</v>
      </c>
      <c r="M10" s="2993">
        <v>1356.27</v>
      </c>
      <c r="N10" s="2993">
        <v>4520.8500000000004</v>
      </c>
      <c r="O10" s="2993">
        <v>13.02</v>
      </c>
      <c r="P10" s="2993" t="s">
        <v>3110</v>
      </c>
    </row>
    <row r="11" spans="1:17" hidden="1">
      <c r="A11" s="3006" t="s">
        <v>3400</v>
      </c>
      <c r="B11" s="3006" t="s">
        <v>3103</v>
      </c>
      <c r="C11" s="3006" t="s">
        <v>3200</v>
      </c>
      <c r="D11" s="3006" t="s">
        <v>3105</v>
      </c>
      <c r="E11" s="3006">
        <v>17100</v>
      </c>
      <c r="F11" s="3006" t="s">
        <v>3207</v>
      </c>
      <c r="G11" s="3006">
        <v>23863</v>
      </c>
      <c r="H11" s="3006" t="s">
        <v>3401</v>
      </c>
      <c r="I11" s="3006" t="s">
        <v>3276</v>
      </c>
      <c r="J11" s="3006" t="s">
        <v>3402</v>
      </c>
      <c r="K11" s="3006" t="s">
        <v>3403</v>
      </c>
      <c r="L11" s="3006">
        <v>17089</v>
      </c>
      <c r="M11" s="3006">
        <v>477.42</v>
      </c>
      <c r="N11" s="3006">
        <v>6510.34</v>
      </c>
      <c r="O11" s="3006">
        <v>0</v>
      </c>
      <c r="P11" s="3006" t="s">
        <v>3110</v>
      </c>
    </row>
    <row r="12" spans="1:17">
      <c r="A12" s="3006" t="s">
        <v>3279</v>
      </c>
      <c r="B12" s="3006" t="s">
        <v>3103</v>
      </c>
      <c r="C12" s="3006" t="s">
        <v>3200</v>
      </c>
      <c r="D12" s="3006" t="s">
        <v>3105</v>
      </c>
      <c r="E12" s="3006">
        <v>17102</v>
      </c>
      <c r="F12" s="3006" t="s">
        <v>3207</v>
      </c>
      <c r="G12" s="3006">
        <v>27193</v>
      </c>
      <c r="H12" s="3006" t="s">
        <v>3280</v>
      </c>
      <c r="I12" s="3006" t="s">
        <v>3276</v>
      </c>
      <c r="J12" s="3006" t="s">
        <v>3277</v>
      </c>
      <c r="K12" s="3006" t="s">
        <v>3281</v>
      </c>
      <c r="L12" s="3006">
        <v>16420</v>
      </c>
      <c r="M12" s="3006">
        <v>402.55</v>
      </c>
      <c r="N12" s="3006">
        <v>1509.57</v>
      </c>
      <c r="O12" s="3006">
        <v>0</v>
      </c>
      <c r="P12" s="3006" t="s">
        <v>3110</v>
      </c>
    </row>
    <row r="13" spans="1:17">
      <c r="A13" s="3006" t="s">
        <v>3404</v>
      </c>
      <c r="B13" s="3006" t="s">
        <v>3103</v>
      </c>
      <c r="C13" s="3006" t="s">
        <v>3200</v>
      </c>
      <c r="D13" s="3006" t="s">
        <v>3105</v>
      </c>
      <c r="E13" s="3006">
        <v>17068</v>
      </c>
      <c r="F13" s="3006" t="s">
        <v>3207</v>
      </c>
      <c r="G13" s="3006">
        <v>81459</v>
      </c>
      <c r="H13" s="3006" t="s">
        <v>3405</v>
      </c>
      <c r="I13" s="3006" t="s">
        <v>3406</v>
      </c>
      <c r="J13" s="3006" t="s">
        <v>3407</v>
      </c>
      <c r="K13" s="3006" t="s">
        <v>3408</v>
      </c>
      <c r="L13" s="3006">
        <v>341069</v>
      </c>
      <c r="M13" s="3006">
        <v>2791.33</v>
      </c>
      <c r="N13" s="3006">
        <v>7105.6</v>
      </c>
      <c r="O13" s="3006">
        <v>0</v>
      </c>
      <c r="P13" s="3006" t="s">
        <v>3110</v>
      </c>
    </row>
    <row r="14" spans="1:17" hidden="1">
      <c r="A14" s="3006" t="s">
        <v>3282</v>
      </c>
      <c r="B14" s="3006" t="s">
        <v>3103</v>
      </c>
      <c r="C14" s="3006" t="s">
        <v>3200</v>
      </c>
      <c r="D14" s="3006" t="s">
        <v>3105</v>
      </c>
      <c r="E14" s="3006">
        <v>17057</v>
      </c>
      <c r="F14" s="3006" t="s">
        <v>3283</v>
      </c>
      <c r="G14" s="3006">
        <v>164676</v>
      </c>
      <c r="H14" s="3006" t="s">
        <v>3284</v>
      </c>
      <c r="I14" s="3006" t="s">
        <v>3285</v>
      </c>
      <c r="J14" s="3006" t="s">
        <v>3286</v>
      </c>
      <c r="K14" s="3006" t="s">
        <v>3287</v>
      </c>
      <c r="L14" s="3006">
        <v>82959</v>
      </c>
      <c r="M14" s="3006">
        <v>335.85</v>
      </c>
      <c r="N14" s="3006">
        <v>3442.28</v>
      </c>
      <c r="O14" s="3006">
        <v>0</v>
      </c>
      <c r="P14" s="3006" t="s">
        <v>3110</v>
      </c>
    </row>
    <row r="15" spans="1:17" hidden="1">
      <c r="A15" s="3006" t="s">
        <v>3288</v>
      </c>
      <c r="B15" s="3006" t="s">
        <v>3103</v>
      </c>
      <c r="C15" s="3006" t="s">
        <v>3200</v>
      </c>
      <c r="D15" s="3006" t="s">
        <v>3105</v>
      </c>
      <c r="E15" s="3006">
        <v>17046</v>
      </c>
      <c r="F15" s="3006" t="s">
        <v>3289</v>
      </c>
      <c r="G15" s="3006">
        <v>11404</v>
      </c>
      <c r="H15" s="3006" t="s">
        <v>3119</v>
      </c>
      <c r="I15" s="3006" t="s">
        <v>3290</v>
      </c>
      <c r="J15" s="3006" t="s">
        <v>3291</v>
      </c>
      <c r="K15" s="3006" t="s">
        <v>3292</v>
      </c>
      <c r="L15" s="3006">
        <v>11893</v>
      </c>
      <c r="M15" s="3006">
        <v>695.25</v>
      </c>
      <c r="N15" s="3006">
        <v>6892.47</v>
      </c>
      <c r="O15" s="3006">
        <v>0</v>
      </c>
      <c r="P15" s="3006">
        <v>40</v>
      </c>
    </row>
    <row r="16" spans="1:17" hidden="1">
      <c r="A16" s="3006" t="s">
        <v>4163</v>
      </c>
      <c r="B16" s="3006" t="s">
        <v>3103</v>
      </c>
      <c r="C16" s="3006" t="s">
        <v>3200</v>
      </c>
      <c r="D16" s="3006" t="s">
        <v>3105</v>
      </c>
      <c r="E16" s="3006">
        <v>17047</v>
      </c>
      <c r="F16" s="3006" t="s">
        <v>3289</v>
      </c>
      <c r="G16" s="3006">
        <v>14159</v>
      </c>
      <c r="H16" s="3006" t="s">
        <v>3378</v>
      </c>
      <c r="I16" s="3006" t="s">
        <v>3290</v>
      </c>
      <c r="J16" s="3006" t="s">
        <v>4164</v>
      </c>
      <c r="K16" s="3006" t="s">
        <v>3292</v>
      </c>
      <c r="L16" s="3006">
        <v>19235</v>
      </c>
      <c r="M16" s="3006">
        <v>905.67</v>
      </c>
      <c r="N16" s="3006">
        <v>7298.72</v>
      </c>
      <c r="O16" s="3006">
        <v>0</v>
      </c>
      <c r="P16" s="3006">
        <v>40</v>
      </c>
    </row>
    <row r="17" spans="1:17" s="2994" customFormat="1">
      <c r="A17" s="2993" t="s">
        <v>3206</v>
      </c>
      <c r="B17" s="2993" t="s">
        <v>3103</v>
      </c>
      <c r="C17" s="2993" t="s">
        <v>3200</v>
      </c>
      <c r="D17" s="2993" t="s">
        <v>3105</v>
      </c>
      <c r="E17" s="2993">
        <v>17042</v>
      </c>
      <c r="F17" s="2993" t="s">
        <v>3207</v>
      </c>
      <c r="G17" s="2993">
        <v>5230</v>
      </c>
      <c r="H17" s="2993" t="s">
        <v>3208</v>
      </c>
      <c r="I17" s="2993" t="s">
        <v>3209</v>
      </c>
      <c r="J17" s="2993" t="s">
        <v>3210</v>
      </c>
      <c r="K17" s="2993" t="s">
        <v>3211</v>
      </c>
      <c r="L17" s="2993">
        <v>11109</v>
      </c>
      <c r="M17" s="2993">
        <v>1416.06</v>
      </c>
      <c r="N17" s="2993">
        <v>4720.1899999999996</v>
      </c>
      <c r="O17" s="2993">
        <v>0</v>
      </c>
      <c r="P17" s="2993" t="s">
        <v>3110</v>
      </c>
      <c r="Q17" s="3005" t="s">
        <v>4214</v>
      </c>
    </row>
    <row r="18" spans="1:17" hidden="1">
      <c r="A18" s="3006" t="s">
        <v>3293</v>
      </c>
      <c r="B18" s="3006" t="s">
        <v>3103</v>
      </c>
      <c r="C18" s="3006" t="s">
        <v>3200</v>
      </c>
      <c r="D18" s="3006" t="s">
        <v>3105</v>
      </c>
      <c r="E18" s="3006">
        <v>17027</v>
      </c>
      <c r="F18" s="3006" t="s">
        <v>3294</v>
      </c>
      <c r="G18" s="3006">
        <v>137630</v>
      </c>
      <c r="H18" s="3006" t="s">
        <v>3295</v>
      </c>
      <c r="I18" s="3006" t="s">
        <v>3296</v>
      </c>
      <c r="J18" s="3006" t="s">
        <v>3297</v>
      </c>
      <c r="K18" s="3006" t="s">
        <v>3298</v>
      </c>
      <c r="L18" s="3006">
        <v>18236</v>
      </c>
      <c r="M18" s="3006">
        <v>88.33</v>
      </c>
      <c r="N18" s="3006">
        <v>736.11</v>
      </c>
      <c r="O18" s="3006">
        <v>0</v>
      </c>
      <c r="P18" s="3006" t="s">
        <v>3110</v>
      </c>
    </row>
    <row r="19" spans="1:17" hidden="1">
      <c r="A19" s="3006" t="s">
        <v>3299</v>
      </c>
      <c r="B19" s="3006" t="s">
        <v>3103</v>
      </c>
      <c r="C19" s="3006" t="s">
        <v>3200</v>
      </c>
      <c r="D19" s="3006" t="s">
        <v>3105</v>
      </c>
      <c r="E19" s="3006">
        <v>17026</v>
      </c>
      <c r="F19" s="3006" t="s">
        <v>3294</v>
      </c>
      <c r="G19" s="3006">
        <v>103271</v>
      </c>
      <c r="H19" s="3006" t="s">
        <v>3295</v>
      </c>
      <c r="I19" s="3006" t="s">
        <v>3296</v>
      </c>
      <c r="J19" s="3006" t="s">
        <v>3300</v>
      </c>
      <c r="K19" s="3006" t="s">
        <v>3298</v>
      </c>
      <c r="L19" s="3006">
        <v>27060</v>
      </c>
      <c r="M19" s="3006">
        <v>174.69</v>
      </c>
      <c r="N19" s="3006">
        <v>1455.72</v>
      </c>
      <c r="O19" s="3006">
        <v>0</v>
      </c>
      <c r="P19" s="3006" t="s">
        <v>3110</v>
      </c>
    </row>
    <row r="20" spans="1:17" hidden="1">
      <c r="A20" s="3006" t="s">
        <v>3301</v>
      </c>
      <c r="B20" s="3006" t="s">
        <v>3103</v>
      </c>
      <c r="C20" s="3006" t="s">
        <v>3200</v>
      </c>
      <c r="D20" s="3006" t="s">
        <v>3105</v>
      </c>
      <c r="E20" s="3006">
        <v>17016</v>
      </c>
      <c r="F20" s="3006" t="s">
        <v>3294</v>
      </c>
      <c r="G20" s="3006">
        <v>58099</v>
      </c>
      <c r="H20" s="3006" t="s">
        <v>3302</v>
      </c>
      <c r="I20" s="3006" t="s">
        <v>3303</v>
      </c>
      <c r="J20" s="3006" t="s">
        <v>3304</v>
      </c>
      <c r="K20" s="3006" t="s">
        <v>3305</v>
      </c>
      <c r="L20" s="3006">
        <v>19464</v>
      </c>
      <c r="M20" s="3006">
        <v>223.34</v>
      </c>
      <c r="N20" s="3006">
        <v>1675.06</v>
      </c>
      <c r="O20" s="3006">
        <v>0</v>
      </c>
      <c r="P20" s="3006" t="s">
        <v>3110</v>
      </c>
    </row>
    <row r="21" spans="1:17" hidden="1">
      <c r="A21" s="3006" t="s">
        <v>3409</v>
      </c>
      <c r="B21" s="3006" t="s">
        <v>3103</v>
      </c>
      <c r="C21" s="3006" t="s">
        <v>3200</v>
      </c>
      <c r="D21" s="3006" t="s">
        <v>3105</v>
      </c>
      <c r="E21" s="3006">
        <v>17012</v>
      </c>
      <c r="F21" s="3006" t="s">
        <v>3207</v>
      </c>
      <c r="G21" s="3006">
        <v>49951</v>
      </c>
      <c r="H21" s="3006" t="s">
        <v>3384</v>
      </c>
      <c r="I21" s="3006" t="s">
        <v>3410</v>
      </c>
      <c r="J21" s="3006" t="s">
        <v>3411</v>
      </c>
      <c r="K21" s="3006" t="s">
        <v>3412</v>
      </c>
      <c r="L21" s="3006">
        <v>30970</v>
      </c>
      <c r="M21" s="3006">
        <v>413.34</v>
      </c>
      <c r="N21" s="3006">
        <v>6000.07</v>
      </c>
      <c r="O21" s="3006">
        <v>0</v>
      </c>
      <c r="P21" s="3006" t="s">
        <v>3110</v>
      </c>
    </row>
    <row r="22" spans="1:17" hidden="1">
      <c r="A22" s="3006" t="s">
        <v>3413</v>
      </c>
      <c r="B22" s="3006" t="s">
        <v>3103</v>
      </c>
      <c r="C22" s="3006" t="s">
        <v>3200</v>
      </c>
      <c r="D22" s="3006" t="s">
        <v>3113</v>
      </c>
      <c r="E22" s="3006">
        <v>17008</v>
      </c>
      <c r="F22" s="3006" t="s">
        <v>3283</v>
      </c>
      <c r="G22" s="3006">
        <v>173147</v>
      </c>
      <c r="H22" s="3006" t="s">
        <v>3391</v>
      </c>
      <c r="I22" s="3006" t="s">
        <v>3414</v>
      </c>
      <c r="J22" s="3006" t="s">
        <v>3415</v>
      </c>
      <c r="K22" s="3006" t="s">
        <v>3394</v>
      </c>
      <c r="L22" s="3006">
        <v>22336</v>
      </c>
      <c r="M22" s="3006">
        <v>86</v>
      </c>
      <c r="N22" s="3006">
        <v>3560.94</v>
      </c>
      <c r="O22" s="3006">
        <v>0</v>
      </c>
      <c r="P22" s="3006" t="s">
        <v>3110</v>
      </c>
    </row>
    <row r="23" spans="1:17">
      <c r="A23" s="3006" t="s">
        <v>3416</v>
      </c>
      <c r="B23" s="3006" t="s">
        <v>3103</v>
      </c>
      <c r="C23" s="3006" t="s">
        <v>3200</v>
      </c>
      <c r="D23" s="3006" t="s">
        <v>3105</v>
      </c>
      <c r="E23" s="3006">
        <v>16140</v>
      </c>
      <c r="F23" s="3006" t="s">
        <v>3417</v>
      </c>
      <c r="G23" s="3006">
        <v>20115</v>
      </c>
      <c r="H23" s="3006" t="s">
        <v>3418</v>
      </c>
      <c r="I23" s="3006" t="s">
        <v>3137</v>
      </c>
      <c r="J23" s="3006" t="s">
        <v>3419</v>
      </c>
      <c r="K23" s="3006" t="s">
        <v>3420</v>
      </c>
      <c r="L23" s="3006">
        <v>14072</v>
      </c>
      <c r="M23" s="3006">
        <v>466.38</v>
      </c>
      <c r="N23" s="3006">
        <v>2249.11</v>
      </c>
      <c r="O23" s="3006">
        <v>0</v>
      </c>
      <c r="P23" s="3006" t="s">
        <v>3110</v>
      </c>
    </row>
    <row r="24" spans="1:17" hidden="1">
      <c r="A24" s="3006" t="s">
        <v>3421</v>
      </c>
      <c r="B24" s="3006" t="s">
        <v>3103</v>
      </c>
      <c r="C24" s="3006" t="s">
        <v>3200</v>
      </c>
      <c r="D24" s="3006" t="s">
        <v>3113</v>
      </c>
      <c r="E24" s="3006">
        <v>16103</v>
      </c>
      <c r="F24" s="3006" t="s">
        <v>3207</v>
      </c>
      <c r="G24" s="3006">
        <v>36628</v>
      </c>
      <c r="H24" s="3006" t="s">
        <v>3422</v>
      </c>
      <c r="I24" s="3006" t="s">
        <v>3423</v>
      </c>
      <c r="J24" s="3006" t="s">
        <v>3424</v>
      </c>
      <c r="K24" s="3006" t="s">
        <v>3394</v>
      </c>
      <c r="L24" s="3006">
        <v>20100</v>
      </c>
      <c r="M24" s="3006">
        <v>365.84</v>
      </c>
      <c r="N24" s="3006">
        <v>2010</v>
      </c>
      <c r="O24" s="3006">
        <v>0</v>
      </c>
      <c r="P24" s="3006" t="s">
        <v>3110</v>
      </c>
    </row>
    <row r="25" spans="1:17" hidden="1">
      <c r="A25" s="3006" t="s">
        <v>3306</v>
      </c>
      <c r="B25" s="3006" t="s">
        <v>3103</v>
      </c>
      <c r="C25" s="3006" t="s">
        <v>3200</v>
      </c>
      <c r="D25" s="3006" t="s">
        <v>3113</v>
      </c>
      <c r="E25" s="3006">
        <v>16098</v>
      </c>
      <c r="F25" s="3006" t="s">
        <v>3207</v>
      </c>
      <c r="G25" s="3006">
        <v>8035</v>
      </c>
      <c r="H25" s="3006" t="s">
        <v>3261</v>
      </c>
      <c r="I25" s="3006" t="s">
        <v>3307</v>
      </c>
      <c r="J25" s="3006" t="s">
        <v>3308</v>
      </c>
      <c r="K25" s="3006" t="s">
        <v>3309</v>
      </c>
      <c r="L25" s="3006">
        <v>4764</v>
      </c>
      <c r="M25" s="3006">
        <v>395.27</v>
      </c>
      <c r="N25" s="3006">
        <v>2964.53</v>
      </c>
      <c r="O25" s="3006">
        <v>0</v>
      </c>
      <c r="P25" s="3006" t="s">
        <v>3110</v>
      </c>
    </row>
    <row r="26" spans="1:17" hidden="1">
      <c r="A26" s="3006" t="s">
        <v>4165</v>
      </c>
      <c r="B26" s="3006" t="s">
        <v>3103</v>
      </c>
      <c r="C26" s="3006" t="s">
        <v>3200</v>
      </c>
      <c r="D26" s="3006" t="s">
        <v>3113</v>
      </c>
      <c r="E26" s="3006">
        <v>16086</v>
      </c>
      <c r="F26" s="3006" t="s">
        <v>3240</v>
      </c>
      <c r="G26" s="3006">
        <v>52524</v>
      </c>
      <c r="H26" s="3006" t="s">
        <v>4166</v>
      </c>
      <c r="I26" s="3006" t="s">
        <v>4167</v>
      </c>
      <c r="J26" s="3006" t="s">
        <v>4168</v>
      </c>
      <c r="K26" s="3006" t="s">
        <v>3394</v>
      </c>
      <c r="L26" s="3006">
        <v>16186</v>
      </c>
      <c r="M26" s="3006">
        <v>205.44</v>
      </c>
      <c r="N26" s="3006">
        <v>1605.01</v>
      </c>
      <c r="O26" s="3006">
        <v>0</v>
      </c>
      <c r="P26" s="3006" t="s">
        <v>3110</v>
      </c>
    </row>
    <row r="27" spans="1:17" hidden="1">
      <c r="A27" s="3006" t="s">
        <v>4169</v>
      </c>
      <c r="B27" s="3006" t="s">
        <v>3103</v>
      </c>
      <c r="C27" s="3006" t="s">
        <v>3200</v>
      </c>
      <c r="D27" s="3006" t="s">
        <v>3105</v>
      </c>
      <c r="E27" s="3006">
        <v>16081</v>
      </c>
      <c r="F27" s="3006" t="s">
        <v>4157</v>
      </c>
      <c r="G27" s="3006">
        <v>40882</v>
      </c>
      <c r="H27" s="3006" t="s">
        <v>3265</v>
      </c>
      <c r="I27" s="3006" t="s">
        <v>3594</v>
      </c>
      <c r="J27" s="3006" t="s">
        <v>4170</v>
      </c>
      <c r="K27" s="3006" t="s">
        <v>4171</v>
      </c>
      <c r="L27" s="3006">
        <v>7400</v>
      </c>
      <c r="M27" s="3006">
        <v>120.67</v>
      </c>
      <c r="N27" s="3006">
        <v>1206.73</v>
      </c>
      <c r="O27" s="3006">
        <v>0</v>
      </c>
      <c r="P27" s="3006" t="s">
        <v>3110</v>
      </c>
    </row>
    <row r="28" spans="1:17" hidden="1">
      <c r="A28" s="3006" t="s">
        <v>3212</v>
      </c>
      <c r="B28" s="3006" t="s">
        <v>3103</v>
      </c>
      <c r="C28" s="3006" t="s">
        <v>3200</v>
      </c>
      <c r="D28" s="3006" t="s">
        <v>3113</v>
      </c>
      <c r="E28" s="3006">
        <v>16075</v>
      </c>
      <c r="F28" s="3006" t="s">
        <v>3213</v>
      </c>
      <c r="G28" s="3006">
        <v>58634</v>
      </c>
      <c r="H28" s="3006" t="s">
        <v>3214</v>
      </c>
      <c r="I28" s="3006" t="s">
        <v>3215</v>
      </c>
      <c r="J28" s="3006" t="s">
        <v>3216</v>
      </c>
      <c r="K28" s="3006" t="s">
        <v>3217</v>
      </c>
      <c r="L28" s="3006">
        <v>57824</v>
      </c>
      <c r="M28" s="3006">
        <v>657.46</v>
      </c>
      <c r="N28" s="3006">
        <v>7145.28</v>
      </c>
      <c r="O28" s="3006">
        <v>0</v>
      </c>
      <c r="P28" s="3006" t="s">
        <v>3218</v>
      </c>
    </row>
    <row r="29" spans="1:17" hidden="1">
      <c r="A29" s="3006" t="s">
        <v>3426</v>
      </c>
      <c r="B29" s="3006" t="s">
        <v>3103</v>
      </c>
      <c r="C29" s="3006" t="s">
        <v>3200</v>
      </c>
      <c r="D29" s="3006" t="s">
        <v>3113</v>
      </c>
      <c r="E29" s="3006">
        <v>16070</v>
      </c>
      <c r="F29" s="3006" t="s">
        <v>3427</v>
      </c>
      <c r="G29" s="3006">
        <v>286490</v>
      </c>
      <c r="H29" s="3006" t="s">
        <v>3428</v>
      </c>
      <c r="I29" s="3006" t="s">
        <v>3425</v>
      </c>
      <c r="J29" s="3006" t="s">
        <v>3429</v>
      </c>
      <c r="K29" s="3006" t="s">
        <v>3430</v>
      </c>
      <c r="L29" s="3006">
        <v>39840</v>
      </c>
      <c r="M29" s="3006">
        <v>92.71</v>
      </c>
      <c r="N29" s="3006">
        <v>1660</v>
      </c>
      <c r="O29" s="3006">
        <v>0</v>
      </c>
      <c r="P29" s="3006" t="s">
        <v>3110</v>
      </c>
    </row>
    <row r="30" spans="1:17">
      <c r="A30" s="3006" t="s">
        <v>3431</v>
      </c>
      <c r="B30" s="3006" t="s">
        <v>3103</v>
      </c>
      <c r="C30" s="3006" t="s">
        <v>3200</v>
      </c>
      <c r="D30" s="3006" t="s">
        <v>3113</v>
      </c>
      <c r="E30" s="3006">
        <v>16071</v>
      </c>
      <c r="F30" s="3006" t="s">
        <v>3427</v>
      </c>
      <c r="G30" s="3006">
        <v>26691</v>
      </c>
      <c r="H30" s="3006" t="s">
        <v>3432</v>
      </c>
      <c r="I30" s="3006" t="s">
        <v>3425</v>
      </c>
      <c r="J30" s="3006" t="s">
        <v>3433</v>
      </c>
      <c r="K30" s="3006" t="s">
        <v>3430</v>
      </c>
      <c r="L30" s="3006">
        <v>13826</v>
      </c>
      <c r="M30" s="3006">
        <v>345.33</v>
      </c>
      <c r="N30" s="3006">
        <v>1151.0999999999999</v>
      </c>
      <c r="O30" s="3006">
        <v>0</v>
      </c>
      <c r="P30" s="3006" t="s">
        <v>3110</v>
      </c>
    </row>
    <row r="31" spans="1:17">
      <c r="A31" s="3006" t="s">
        <v>3434</v>
      </c>
      <c r="B31" s="3006" t="s">
        <v>3103</v>
      </c>
      <c r="C31" s="3006" t="s">
        <v>3200</v>
      </c>
      <c r="D31" s="3006" t="s">
        <v>3113</v>
      </c>
      <c r="E31" s="3006">
        <v>16054</v>
      </c>
      <c r="F31" s="3006" t="s">
        <v>3207</v>
      </c>
      <c r="G31" s="3006">
        <v>8533</v>
      </c>
      <c r="H31" s="3006" t="s">
        <v>3435</v>
      </c>
      <c r="I31" s="3006" t="s">
        <v>3436</v>
      </c>
      <c r="J31" s="3006" t="s">
        <v>3437</v>
      </c>
      <c r="K31" s="3006" t="s">
        <v>3438</v>
      </c>
      <c r="L31" s="3006">
        <v>18978</v>
      </c>
      <c r="M31" s="3006">
        <v>1482.71</v>
      </c>
      <c r="N31" s="3006">
        <v>2780.09</v>
      </c>
      <c r="O31" s="3006">
        <v>0</v>
      </c>
      <c r="P31" s="3006" t="s">
        <v>3110</v>
      </c>
    </row>
    <row r="32" spans="1:17">
      <c r="A32" s="3006" t="s">
        <v>4172</v>
      </c>
      <c r="B32" s="3006" t="s">
        <v>3103</v>
      </c>
      <c r="C32" s="3006" t="s">
        <v>3200</v>
      </c>
      <c r="D32" s="3006" t="s">
        <v>3105</v>
      </c>
      <c r="E32" s="3006">
        <v>16052</v>
      </c>
      <c r="F32" s="3006" t="s">
        <v>3207</v>
      </c>
      <c r="G32" s="3006">
        <v>20849</v>
      </c>
      <c r="H32" s="3006" t="s">
        <v>3922</v>
      </c>
      <c r="I32" s="3006" t="s">
        <v>3928</v>
      </c>
      <c r="J32" s="3006" t="s">
        <v>4173</v>
      </c>
      <c r="K32" s="3006" t="s">
        <v>4174</v>
      </c>
      <c r="L32" s="3006">
        <v>19800</v>
      </c>
      <c r="M32" s="3006">
        <v>633.12</v>
      </c>
      <c r="N32" s="3006">
        <v>2499.17</v>
      </c>
      <c r="O32" s="3006">
        <v>0</v>
      </c>
      <c r="P32" s="3006" t="s">
        <v>3110</v>
      </c>
    </row>
    <row r="33" spans="1:16" hidden="1">
      <c r="A33" s="3006" t="s">
        <v>3220</v>
      </c>
      <c r="B33" s="3006" t="s">
        <v>3103</v>
      </c>
      <c r="C33" s="3006" t="s">
        <v>3200</v>
      </c>
      <c r="D33" s="3006" t="s">
        <v>3113</v>
      </c>
      <c r="E33" s="3006">
        <v>16038</v>
      </c>
      <c r="F33" s="3006" t="s">
        <v>3221</v>
      </c>
      <c r="G33" s="3006">
        <v>9972</v>
      </c>
      <c r="H33" s="3006" t="s">
        <v>3222</v>
      </c>
      <c r="I33" s="3006" t="s">
        <v>3223</v>
      </c>
      <c r="J33" s="3006" t="s">
        <v>3224</v>
      </c>
      <c r="K33" s="3006" t="s">
        <v>3225</v>
      </c>
      <c r="L33" s="3006">
        <v>9600</v>
      </c>
      <c r="M33" s="3006">
        <v>641.79999999999995</v>
      </c>
      <c r="N33" s="3006">
        <v>7029.35</v>
      </c>
      <c r="O33" s="3006">
        <v>2.71</v>
      </c>
      <c r="P33" s="3006" t="s">
        <v>3110</v>
      </c>
    </row>
    <row r="34" spans="1:16" hidden="1">
      <c r="A34" s="3006" t="s">
        <v>3439</v>
      </c>
      <c r="B34" s="3006" t="s">
        <v>3103</v>
      </c>
      <c r="C34" s="3006" t="s">
        <v>3200</v>
      </c>
      <c r="D34" s="3006" t="s">
        <v>3113</v>
      </c>
      <c r="E34" s="3006">
        <v>16033</v>
      </c>
      <c r="F34" s="3006" t="s">
        <v>3207</v>
      </c>
      <c r="G34" s="3006">
        <v>56491</v>
      </c>
      <c r="H34" s="3006" t="s">
        <v>3440</v>
      </c>
      <c r="I34" s="3006" t="s">
        <v>3441</v>
      </c>
      <c r="J34" s="3006" t="s">
        <v>3442</v>
      </c>
      <c r="K34" s="3006" t="s">
        <v>3443</v>
      </c>
      <c r="L34" s="3006">
        <v>17111</v>
      </c>
      <c r="M34" s="3006">
        <v>201.93</v>
      </c>
      <c r="N34" s="3006">
        <v>5715.05</v>
      </c>
      <c r="O34" s="3006">
        <v>0</v>
      </c>
      <c r="P34" s="3006" t="s">
        <v>3110</v>
      </c>
    </row>
    <row r="35" spans="1:16" hidden="1">
      <c r="A35" s="3006" t="s">
        <v>3310</v>
      </c>
      <c r="B35" s="3006" t="s">
        <v>3103</v>
      </c>
      <c r="C35" s="3006" t="s">
        <v>3200</v>
      </c>
      <c r="D35" s="3006" t="s">
        <v>3113</v>
      </c>
      <c r="E35" s="3006">
        <v>16019</v>
      </c>
      <c r="F35" s="3006" t="s">
        <v>3311</v>
      </c>
      <c r="G35" s="3006">
        <v>2958</v>
      </c>
      <c r="H35" s="3006" t="s">
        <v>3312</v>
      </c>
      <c r="I35" s="3006" t="s">
        <v>3313</v>
      </c>
      <c r="J35" s="3006" t="s">
        <v>3314</v>
      </c>
      <c r="K35" s="3006" t="s">
        <v>3315</v>
      </c>
      <c r="L35" s="3006">
        <v>1784</v>
      </c>
      <c r="M35" s="3006">
        <v>402.07</v>
      </c>
      <c r="N35" s="3006">
        <v>4020.73</v>
      </c>
      <c r="O35" s="3006">
        <v>0</v>
      </c>
      <c r="P35" s="3006" t="s">
        <v>3110</v>
      </c>
    </row>
    <row r="36" spans="1:16" hidden="1">
      <c r="A36" s="3006" t="s">
        <v>3226</v>
      </c>
      <c r="B36" s="3006" t="s">
        <v>3103</v>
      </c>
      <c r="C36" s="3006" t="s">
        <v>3200</v>
      </c>
      <c r="D36" s="3006" t="s">
        <v>3113</v>
      </c>
      <c r="E36" s="3006">
        <v>16016</v>
      </c>
      <c r="F36" s="3006" t="s">
        <v>3207</v>
      </c>
      <c r="G36" s="3006">
        <v>19974</v>
      </c>
      <c r="H36" s="3006" t="s">
        <v>3227</v>
      </c>
      <c r="I36" s="3006" t="s">
        <v>3228</v>
      </c>
      <c r="J36" s="3006" t="s">
        <v>3229</v>
      </c>
      <c r="K36" s="3006" t="s">
        <v>3230</v>
      </c>
      <c r="L36" s="3006">
        <v>15281</v>
      </c>
      <c r="M36" s="3006">
        <v>510.03</v>
      </c>
      <c r="N36" s="3006">
        <v>3395.78</v>
      </c>
      <c r="O36" s="3006">
        <v>0</v>
      </c>
      <c r="P36" s="3006" t="s">
        <v>3110</v>
      </c>
    </row>
    <row r="37" spans="1:16">
      <c r="A37" s="3006" t="s">
        <v>3316</v>
      </c>
      <c r="B37" s="3006" t="s">
        <v>3103</v>
      </c>
      <c r="C37" s="3006" t="s">
        <v>3200</v>
      </c>
      <c r="D37" s="3006" t="s">
        <v>3113</v>
      </c>
      <c r="E37" s="3006">
        <v>16012</v>
      </c>
      <c r="F37" s="3006" t="s">
        <v>3207</v>
      </c>
      <c r="G37" s="3006">
        <v>57059</v>
      </c>
      <c r="H37" s="3006" t="s">
        <v>3317</v>
      </c>
      <c r="I37" s="3006" t="s">
        <v>3318</v>
      </c>
      <c r="J37" s="3006" t="s">
        <v>3319</v>
      </c>
      <c r="K37" s="3006" t="s">
        <v>3320</v>
      </c>
      <c r="L37" s="3006">
        <v>31807</v>
      </c>
      <c r="M37" s="3006">
        <v>371.63</v>
      </c>
      <c r="N37" s="3006">
        <v>1746.5</v>
      </c>
      <c r="O37" s="3006">
        <v>0</v>
      </c>
      <c r="P37" s="3006" t="s">
        <v>3321</v>
      </c>
    </row>
    <row r="38" spans="1:16">
      <c r="A38" s="3007" t="s">
        <v>4175</v>
      </c>
      <c r="B38" s="3007" t="s">
        <v>3103</v>
      </c>
      <c r="C38" s="3007" t="s">
        <v>3200</v>
      </c>
      <c r="D38" s="3007" t="s">
        <v>3113</v>
      </c>
      <c r="E38" s="3007">
        <v>16003</v>
      </c>
      <c r="F38" s="3007" t="s">
        <v>4176</v>
      </c>
      <c r="G38" s="3007">
        <v>23937</v>
      </c>
      <c r="H38" s="3007" t="s">
        <v>4177</v>
      </c>
      <c r="I38" s="3007" t="s">
        <v>4005</v>
      </c>
      <c r="J38" s="3007" t="s">
        <v>4178</v>
      </c>
      <c r="K38" s="3007" t="s">
        <v>4179</v>
      </c>
      <c r="L38" s="3007">
        <v>15206</v>
      </c>
      <c r="M38" s="3007">
        <v>423.5</v>
      </c>
      <c r="N38" s="3007">
        <v>1985.17</v>
      </c>
      <c r="O38" s="3007">
        <v>0</v>
      </c>
      <c r="P38" s="3007" t="s">
        <v>3110</v>
      </c>
    </row>
    <row r="39" spans="1:16" hidden="1">
      <c r="A39" s="3007" t="s">
        <v>3444</v>
      </c>
      <c r="B39" s="3007" t="s">
        <v>3103</v>
      </c>
      <c r="C39" s="3007" t="s">
        <v>3200</v>
      </c>
      <c r="D39" s="3007" t="s">
        <v>3113</v>
      </c>
      <c r="E39" s="3007">
        <v>15164</v>
      </c>
      <c r="F39" s="3007" t="s">
        <v>3445</v>
      </c>
      <c r="G39" s="3007">
        <v>34603</v>
      </c>
      <c r="H39" s="3007" t="s">
        <v>3446</v>
      </c>
      <c r="I39" s="3007" t="s">
        <v>3324</v>
      </c>
      <c r="J39" s="3007" t="s">
        <v>3447</v>
      </c>
      <c r="K39" s="3007" t="s">
        <v>3448</v>
      </c>
      <c r="L39" s="3007">
        <v>5018</v>
      </c>
      <c r="M39" s="3007">
        <v>96.68</v>
      </c>
      <c r="N39" s="3007">
        <v>501.8</v>
      </c>
      <c r="O39" s="3007">
        <v>0</v>
      </c>
      <c r="P39" s="3007" t="s">
        <v>3110</v>
      </c>
    </row>
    <row r="40" spans="1:16" hidden="1">
      <c r="A40" s="3007" t="s">
        <v>3322</v>
      </c>
      <c r="B40" s="3007" t="s">
        <v>3103</v>
      </c>
      <c r="C40" s="3007" t="s">
        <v>3200</v>
      </c>
      <c r="D40" s="3007" t="s">
        <v>3113</v>
      </c>
      <c r="E40" s="3007">
        <v>15168</v>
      </c>
      <c r="F40" s="3007" t="s">
        <v>3240</v>
      </c>
      <c r="G40" s="3007">
        <v>41798.160000000003</v>
      </c>
      <c r="H40" s="3007" t="s">
        <v>3323</v>
      </c>
      <c r="I40" s="3007" t="s">
        <v>3324</v>
      </c>
      <c r="J40" s="3007" t="s">
        <v>3325</v>
      </c>
      <c r="K40" s="3007" t="s">
        <v>3326</v>
      </c>
      <c r="L40" s="3007">
        <v>15675</v>
      </c>
      <c r="M40" s="3007">
        <v>250.01</v>
      </c>
      <c r="N40" s="3007">
        <v>2835.13</v>
      </c>
      <c r="O40" s="3007">
        <v>0</v>
      </c>
      <c r="P40" s="3007" t="s">
        <v>3110</v>
      </c>
    </row>
    <row r="41" spans="1:16" hidden="1">
      <c r="A41" s="3007" t="s">
        <v>3231</v>
      </c>
      <c r="B41" s="3007" t="s">
        <v>3103</v>
      </c>
      <c r="C41" s="3007" t="s">
        <v>3200</v>
      </c>
      <c r="D41" s="3007" t="s">
        <v>3113</v>
      </c>
      <c r="E41" s="3007">
        <v>15162</v>
      </c>
      <c r="F41" s="3007" t="s">
        <v>3207</v>
      </c>
      <c r="G41" s="3007">
        <v>15798</v>
      </c>
      <c r="H41" s="3007" t="s">
        <v>3232</v>
      </c>
      <c r="I41" s="3007" t="s">
        <v>3233</v>
      </c>
      <c r="J41" s="3007" t="s">
        <v>3234</v>
      </c>
      <c r="K41" s="3007" t="s">
        <v>3235</v>
      </c>
      <c r="L41" s="3007">
        <v>4440</v>
      </c>
      <c r="M41" s="3007">
        <v>187.37</v>
      </c>
      <c r="N41" s="3007">
        <v>3513.21</v>
      </c>
      <c r="O41" s="3007">
        <v>0</v>
      </c>
      <c r="P41" s="3007" t="s">
        <v>1331</v>
      </c>
    </row>
    <row r="42" spans="1:16" hidden="1">
      <c r="A42" s="3007" t="s">
        <v>3236</v>
      </c>
      <c r="B42" s="3007" t="s">
        <v>3103</v>
      </c>
      <c r="C42" s="3007" t="s">
        <v>3200</v>
      </c>
      <c r="D42" s="3007" t="s">
        <v>3113</v>
      </c>
      <c r="E42" s="3007">
        <v>15161</v>
      </c>
      <c r="F42" s="3007" t="s">
        <v>3207</v>
      </c>
      <c r="G42" s="3007">
        <v>4168</v>
      </c>
      <c r="H42" s="3007" t="s">
        <v>3237</v>
      </c>
      <c r="I42" s="3007" t="s">
        <v>3233</v>
      </c>
      <c r="J42" s="3007" t="s">
        <v>3238</v>
      </c>
      <c r="K42" s="3007" t="s">
        <v>3235</v>
      </c>
      <c r="L42" s="3007">
        <v>1297</v>
      </c>
      <c r="M42" s="3007">
        <v>207.45</v>
      </c>
      <c r="N42" s="3007">
        <v>1244.72</v>
      </c>
      <c r="O42" s="3007">
        <v>0</v>
      </c>
      <c r="P42" s="3007" t="s">
        <v>1331</v>
      </c>
    </row>
    <row r="43" spans="1:16" s="2987" customFormat="1">
      <c r="A43" s="2995" t="s">
        <v>3327</v>
      </c>
      <c r="B43" s="2995" t="s">
        <v>3103</v>
      </c>
      <c r="C43" s="2995" t="s">
        <v>3200</v>
      </c>
      <c r="D43" s="2995" t="s">
        <v>3113</v>
      </c>
      <c r="E43" s="2995">
        <v>15146</v>
      </c>
      <c r="F43" s="2995" t="s">
        <v>3207</v>
      </c>
      <c r="G43" s="2995">
        <v>20249</v>
      </c>
      <c r="H43" s="2995" t="s">
        <v>3141</v>
      </c>
      <c r="I43" s="2995" t="s">
        <v>3328</v>
      </c>
      <c r="J43" s="2995" t="s">
        <v>3329</v>
      </c>
      <c r="K43" s="2995" t="s">
        <v>3330</v>
      </c>
      <c r="L43" s="2995">
        <v>34019</v>
      </c>
      <c r="M43" s="2995">
        <v>1120.02</v>
      </c>
      <c r="N43" s="2995">
        <v>4800.0600000000004</v>
      </c>
      <c r="O43" s="2995">
        <v>0</v>
      </c>
      <c r="P43" s="2995" t="s">
        <v>3331</v>
      </c>
    </row>
    <row r="44" spans="1:16" hidden="1">
      <c r="A44" s="3007" t="s">
        <v>3239</v>
      </c>
      <c r="B44" s="3007" t="s">
        <v>3103</v>
      </c>
      <c r="C44" s="3007" t="s">
        <v>3200</v>
      </c>
      <c r="D44" s="3007" t="s">
        <v>3113</v>
      </c>
      <c r="E44" s="3007">
        <v>15134</v>
      </c>
      <c r="F44" s="3007" t="s">
        <v>3240</v>
      </c>
      <c r="G44" s="3007">
        <v>15433</v>
      </c>
      <c r="H44" s="3007" t="s">
        <v>3241</v>
      </c>
      <c r="I44" s="3007" t="s">
        <v>3242</v>
      </c>
      <c r="J44" s="3007" t="s">
        <v>3243</v>
      </c>
      <c r="K44" s="3007" t="s">
        <v>3235</v>
      </c>
      <c r="L44" s="3007">
        <v>4322</v>
      </c>
      <c r="M44" s="3007">
        <v>186.7</v>
      </c>
      <c r="N44" s="3007">
        <v>1400.25</v>
      </c>
      <c r="O44" s="3007">
        <v>0</v>
      </c>
      <c r="P44" s="3007" t="s">
        <v>3110</v>
      </c>
    </row>
    <row r="45" spans="1:16">
      <c r="A45" s="3007" t="s">
        <v>3450</v>
      </c>
      <c r="B45" s="3007" t="s">
        <v>3103</v>
      </c>
      <c r="C45" s="3007" t="s">
        <v>3200</v>
      </c>
      <c r="D45" s="3007" t="s">
        <v>3113</v>
      </c>
      <c r="E45" s="3007">
        <v>15132</v>
      </c>
      <c r="F45" s="3007" t="s">
        <v>3451</v>
      </c>
      <c r="G45" s="3007">
        <v>59762</v>
      </c>
      <c r="H45" s="3007" t="s">
        <v>3245</v>
      </c>
      <c r="I45" s="3007" t="s">
        <v>3242</v>
      </c>
      <c r="J45" s="3007" t="s">
        <v>3452</v>
      </c>
      <c r="K45" s="3007" t="s">
        <v>3453</v>
      </c>
      <c r="L45" s="3007">
        <v>17929</v>
      </c>
      <c r="M45" s="3007">
        <v>200</v>
      </c>
      <c r="N45" s="3007">
        <v>1200.02</v>
      </c>
      <c r="O45" s="3007">
        <v>0</v>
      </c>
      <c r="P45" s="3007" t="s">
        <v>3110</v>
      </c>
    </row>
    <row r="46" spans="1:16">
      <c r="A46" s="3007" t="s">
        <v>3454</v>
      </c>
      <c r="B46" s="3007" t="s">
        <v>3103</v>
      </c>
      <c r="C46" s="3007" t="s">
        <v>3200</v>
      </c>
      <c r="D46" s="3007" t="s">
        <v>3113</v>
      </c>
      <c r="E46" s="3007">
        <v>15131</v>
      </c>
      <c r="F46" s="3007" t="s">
        <v>3451</v>
      </c>
      <c r="G46" s="3007">
        <v>52819</v>
      </c>
      <c r="H46" s="3007" t="s">
        <v>3455</v>
      </c>
      <c r="I46" s="3007" t="s">
        <v>3242</v>
      </c>
      <c r="J46" s="3007" t="s">
        <v>3456</v>
      </c>
      <c r="K46" s="3007" t="s">
        <v>3457</v>
      </c>
      <c r="L46" s="3007">
        <v>42973</v>
      </c>
      <c r="M46" s="3007">
        <v>542.39</v>
      </c>
      <c r="N46" s="3007">
        <v>1807.98</v>
      </c>
      <c r="O46" s="3007">
        <v>0</v>
      </c>
      <c r="P46" s="3007" t="s">
        <v>3110</v>
      </c>
    </row>
    <row r="47" spans="1:16">
      <c r="A47" s="3007" t="s">
        <v>4180</v>
      </c>
      <c r="B47" s="3007" t="s">
        <v>3103</v>
      </c>
      <c r="C47" s="3007" t="s">
        <v>3200</v>
      </c>
      <c r="D47" s="3007" t="s">
        <v>3113</v>
      </c>
      <c r="E47" s="3007">
        <v>15126</v>
      </c>
      <c r="F47" s="3007" t="s">
        <v>3451</v>
      </c>
      <c r="G47" s="3007">
        <v>18516</v>
      </c>
      <c r="H47" s="3007" t="s">
        <v>4181</v>
      </c>
      <c r="I47" s="3007" t="s">
        <v>4082</v>
      </c>
      <c r="J47" s="3007" t="s">
        <v>4182</v>
      </c>
      <c r="K47" s="3007" t="s">
        <v>4045</v>
      </c>
      <c r="L47" s="3007">
        <v>10462</v>
      </c>
      <c r="M47" s="3007">
        <v>376.68</v>
      </c>
      <c r="N47" s="3007">
        <v>1412.55</v>
      </c>
      <c r="O47" s="3007">
        <v>0</v>
      </c>
      <c r="P47" s="3007" t="s">
        <v>3110</v>
      </c>
    </row>
    <row r="48" spans="1:16">
      <c r="A48" s="3007" t="s">
        <v>4183</v>
      </c>
      <c r="B48" s="3007" t="s">
        <v>3103</v>
      </c>
      <c r="C48" s="3007" t="s">
        <v>3200</v>
      </c>
      <c r="D48" s="3007" t="s">
        <v>3113</v>
      </c>
      <c r="E48" s="3007">
        <v>15120</v>
      </c>
      <c r="F48" s="3007" t="s">
        <v>3451</v>
      </c>
      <c r="G48" s="3007">
        <v>16764</v>
      </c>
      <c r="H48" s="3007" t="s">
        <v>3981</v>
      </c>
      <c r="I48" s="3007" t="s">
        <v>4093</v>
      </c>
      <c r="J48" s="3007" t="s">
        <v>4184</v>
      </c>
      <c r="K48" s="3007" t="s">
        <v>4045</v>
      </c>
      <c r="L48" s="3007">
        <v>8651</v>
      </c>
      <c r="M48" s="3007">
        <v>344.03</v>
      </c>
      <c r="N48" s="3007">
        <v>1720.15</v>
      </c>
      <c r="O48" s="3007">
        <v>0</v>
      </c>
      <c r="P48" s="3007" t="s">
        <v>3110</v>
      </c>
    </row>
    <row r="49" spans="1:16">
      <c r="A49" s="3007" t="s">
        <v>4185</v>
      </c>
      <c r="B49" s="3007" t="s">
        <v>3103</v>
      </c>
      <c r="C49" s="3007" t="s">
        <v>3200</v>
      </c>
      <c r="D49" s="3007" t="s">
        <v>3113</v>
      </c>
      <c r="E49" s="3007">
        <v>15119</v>
      </c>
      <c r="F49" s="3007" t="s">
        <v>3451</v>
      </c>
      <c r="G49" s="3007">
        <v>30472</v>
      </c>
      <c r="H49" s="3007" t="s">
        <v>4092</v>
      </c>
      <c r="I49" s="3007" t="s">
        <v>4093</v>
      </c>
      <c r="J49" s="3007" t="s">
        <v>4186</v>
      </c>
      <c r="K49" s="3007" t="s">
        <v>4045</v>
      </c>
      <c r="L49" s="3007">
        <v>16352</v>
      </c>
      <c r="M49" s="3007">
        <v>357.75</v>
      </c>
      <c r="N49" s="3007">
        <v>1533.21</v>
      </c>
      <c r="O49" s="3007">
        <v>0</v>
      </c>
      <c r="P49" s="3007" t="s">
        <v>3110</v>
      </c>
    </row>
    <row r="50" spans="1:16" hidden="1">
      <c r="A50" s="3007" t="s">
        <v>3244</v>
      </c>
      <c r="B50" s="3007" t="s">
        <v>3103</v>
      </c>
      <c r="C50" s="3007" t="s">
        <v>3200</v>
      </c>
      <c r="D50" s="3007" t="s">
        <v>3113</v>
      </c>
      <c r="E50" s="3007">
        <v>15117</v>
      </c>
      <c r="F50" s="3007" t="s">
        <v>3207</v>
      </c>
      <c r="G50" s="3007">
        <v>79927</v>
      </c>
      <c r="H50" s="3007" t="s">
        <v>3245</v>
      </c>
      <c r="I50" s="3007" t="s">
        <v>3246</v>
      </c>
      <c r="J50" s="3007" t="s">
        <v>3247</v>
      </c>
      <c r="K50" s="3007" t="s">
        <v>3248</v>
      </c>
      <c r="L50" s="3007">
        <v>24698</v>
      </c>
      <c r="M50" s="3007">
        <v>206</v>
      </c>
      <c r="N50" s="3007">
        <v>1236.02</v>
      </c>
      <c r="O50" s="3007">
        <v>0</v>
      </c>
      <c r="P50" s="3007" t="s">
        <v>3110</v>
      </c>
    </row>
    <row r="51" spans="1:16" hidden="1">
      <c r="A51" s="3007" t="s">
        <v>3332</v>
      </c>
      <c r="B51" s="3007" t="s">
        <v>3103</v>
      </c>
      <c r="C51" s="3007" t="s">
        <v>3200</v>
      </c>
      <c r="D51" s="3007" t="s">
        <v>3113</v>
      </c>
      <c r="E51" s="3007">
        <v>15118</v>
      </c>
      <c r="F51" s="3007" t="s">
        <v>3333</v>
      </c>
      <c r="G51" s="3007">
        <v>42851</v>
      </c>
      <c r="H51" s="3007" t="s">
        <v>3334</v>
      </c>
      <c r="I51" s="3007" t="s">
        <v>3246</v>
      </c>
      <c r="J51" s="3007" t="s">
        <v>3335</v>
      </c>
      <c r="K51" s="3007" t="s">
        <v>3336</v>
      </c>
      <c r="L51" s="3007">
        <v>4757</v>
      </c>
      <c r="M51" s="3007">
        <v>74.010000000000005</v>
      </c>
      <c r="N51" s="3007">
        <v>1110.1300000000001</v>
      </c>
      <c r="O51" s="3007">
        <v>0</v>
      </c>
      <c r="P51" s="3007" t="s">
        <v>3110</v>
      </c>
    </row>
    <row r="52" spans="1:16" hidden="1">
      <c r="A52" s="3007" t="s">
        <v>3337</v>
      </c>
      <c r="B52" s="3007" t="s">
        <v>3103</v>
      </c>
      <c r="C52" s="3007" t="s">
        <v>3200</v>
      </c>
      <c r="D52" s="3007" t="s">
        <v>3113</v>
      </c>
      <c r="E52" s="3007" t="s">
        <v>3338</v>
      </c>
      <c r="F52" s="3007" t="s">
        <v>3240</v>
      </c>
      <c r="G52" s="3007">
        <v>3514.21</v>
      </c>
      <c r="H52" s="3007" t="s">
        <v>3339</v>
      </c>
      <c r="I52" s="3007" t="s">
        <v>3340</v>
      </c>
      <c r="J52" s="3007" t="s">
        <v>3341</v>
      </c>
      <c r="K52" s="3007" t="s">
        <v>3342</v>
      </c>
      <c r="L52" s="3007">
        <v>1100</v>
      </c>
      <c r="M52" s="3007">
        <v>208.68</v>
      </c>
      <c r="N52" s="3007">
        <v>3199.46</v>
      </c>
      <c r="O52" s="3007">
        <v>0.64</v>
      </c>
      <c r="P52" s="3007" t="s">
        <v>3343</v>
      </c>
    </row>
    <row r="53" spans="1:16" hidden="1">
      <c r="A53" s="3007" t="s">
        <v>3344</v>
      </c>
      <c r="B53" s="3007" t="s">
        <v>3103</v>
      </c>
      <c r="C53" s="3007" t="s">
        <v>3200</v>
      </c>
      <c r="D53" s="3007" t="s">
        <v>3113</v>
      </c>
      <c r="E53" s="3007" t="s">
        <v>3345</v>
      </c>
      <c r="F53" s="3007" t="s">
        <v>3240</v>
      </c>
      <c r="G53" s="3007">
        <v>51641.5</v>
      </c>
      <c r="H53" s="3007" t="s">
        <v>3346</v>
      </c>
      <c r="I53" s="3007" t="s">
        <v>3340</v>
      </c>
      <c r="J53" s="3007" t="s">
        <v>3347</v>
      </c>
      <c r="K53" s="3007" t="s">
        <v>3348</v>
      </c>
      <c r="L53" s="3007">
        <v>20920</v>
      </c>
      <c r="M53" s="3007">
        <v>270.07</v>
      </c>
      <c r="N53" s="3007">
        <v>3058.44</v>
      </c>
      <c r="O53" s="3007">
        <v>0</v>
      </c>
      <c r="P53" s="3007" t="s">
        <v>3343</v>
      </c>
    </row>
    <row r="54" spans="1:16" hidden="1">
      <c r="A54" s="3007" t="s">
        <v>3249</v>
      </c>
      <c r="B54" s="3007" t="s">
        <v>3103</v>
      </c>
      <c r="C54" s="3007" t="s">
        <v>3200</v>
      </c>
      <c r="D54" s="3007" t="s">
        <v>3113</v>
      </c>
      <c r="E54" s="3007">
        <v>15115</v>
      </c>
      <c r="F54" s="3007" t="s">
        <v>3207</v>
      </c>
      <c r="G54" s="3007">
        <v>52840</v>
      </c>
      <c r="H54" s="3007" t="s">
        <v>3250</v>
      </c>
      <c r="I54" s="3007" t="s">
        <v>3251</v>
      </c>
      <c r="J54" s="3007" t="s">
        <v>3252</v>
      </c>
      <c r="K54" s="3007" t="s">
        <v>3253</v>
      </c>
      <c r="L54" s="3007">
        <v>12101</v>
      </c>
      <c r="M54" s="3007">
        <v>152.66999999999999</v>
      </c>
      <c r="N54" s="3007">
        <v>1099.6300000000001</v>
      </c>
      <c r="O54" s="3007">
        <v>0</v>
      </c>
      <c r="P54" s="3007" t="s">
        <v>3110</v>
      </c>
    </row>
    <row r="55" spans="1:16" hidden="1">
      <c r="A55" s="3007" t="s">
        <v>3349</v>
      </c>
      <c r="B55" s="3007" t="s">
        <v>3103</v>
      </c>
      <c r="C55" s="3007" t="s">
        <v>3200</v>
      </c>
      <c r="D55" s="3007" t="s">
        <v>3113</v>
      </c>
      <c r="E55" s="3007">
        <v>15110</v>
      </c>
      <c r="F55" s="3007" t="s">
        <v>3207</v>
      </c>
      <c r="G55" s="3007">
        <v>147679</v>
      </c>
      <c r="H55" s="3007" t="s">
        <v>3350</v>
      </c>
      <c r="I55" s="3007" t="s">
        <v>3169</v>
      </c>
      <c r="J55" s="3007" t="s">
        <v>3351</v>
      </c>
      <c r="K55" s="3007" t="s">
        <v>3352</v>
      </c>
      <c r="L55" s="3007">
        <v>50403</v>
      </c>
      <c r="M55" s="3007">
        <v>227.53</v>
      </c>
      <c r="N55" s="3007">
        <v>1551.36</v>
      </c>
      <c r="O55" s="3007">
        <v>0</v>
      </c>
      <c r="P55" s="3007" t="s">
        <v>3110</v>
      </c>
    </row>
    <row r="56" spans="1:16" hidden="1">
      <c r="A56" s="3007" t="s">
        <v>3354</v>
      </c>
      <c r="B56" s="3007" t="s">
        <v>3103</v>
      </c>
      <c r="C56" s="3007" t="s">
        <v>3200</v>
      </c>
      <c r="D56" s="3007" t="s">
        <v>3113</v>
      </c>
      <c r="E56" s="3007">
        <v>15106</v>
      </c>
      <c r="F56" s="3007" t="s">
        <v>3207</v>
      </c>
      <c r="G56" s="3007">
        <v>334035</v>
      </c>
      <c r="H56" s="3007" t="s">
        <v>3355</v>
      </c>
      <c r="I56" s="3007" t="s">
        <v>3353</v>
      </c>
      <c r="J56" s="3007" t="s">
        <v>3356</v>
      </c>
      <c r="K56" s="3007" t="s">
        <v>3352</v>
      </c>
      <c r="L56" s="3007">
        <v>60127</v>
      </c>
      <c r="M56" s="3007">
        <v>120</v>
      </c>
      <c r="N56" s="3007">
        <v>1200</v>
      </c>
      <c r="O56" s="3007">
        <v>0</v>
      </c>
      <c r="P56" s="3007" t="s">
        <v>3110</v>
      </c>
    </row>
    <row r="57" spans="1:16" hidden="1">
      <c r="A57" s="3007" t="s">
        <v>3357</v>
      </c>
      <c r="B57" s="3007" t="s">
        <v>3103</v>
      </c>
      <c r="C57" s="3007" t="s">
        <v>3200</v>
      </c>
      <c r="D57" s="3007" t="s">
        <v>3113</v>
      </c>
      <c r="E57" s="3007">
        <v>15107</v>
      </c>
      <c r="F57" s="3007" t="s">
        <v>3358</v>
      </c>
      <c r="G57" s="3007">
        <v>134308</v>
      </c>
      <c r="H57" s="3007" t="s">
        <v>3355</v>
      </c>
      <c r="I57" s="3007" t="s">
        <v>3353</v>
      </c>
      <c r="J57" s="3007" t="s">
        <v>3359</v>
      </c>
      <c r="K57" s="3007" t="s">
        <v>3360</v>
      </c>
      <c r="L57" s="3007">
        <v>24176</v>
      </c>
      <c r="M57" s="3007">
        <v>120</v>
      </c>
      <c r="N57" s="3007">
        <v>1200.02</v>
      </c>
      <c r="O57" s="3007">
        <v>0</v>
      </c>
      <c r="P57" s="3007" t="s">
        <v>3110</v>
      </c>
    </row>
    <row r="58" spans="1:16" hidden="1">
      <c r="A58" s="3007" t="s">
        <v>3361</v>
      </c>
      <c r="B58" s="3007" t="s">
        <v>3103</v>
      </c>
      <c r="C58" s="3007" t="s">
        <v>3200</v>
      </c>
      <c r="D58" s="3007" t="s">
        <v>3113</v>
      </c>
      <c r="E58" s="3007">
        <v>15104</v>
      </c>
      <c r="F58" s="3007" t="s">
        <v>3362</v>
      </c>
      <c r="G58" s="3007">
        <v>124621</v>
      </c>
      <c r="H58" s="3007" t="s">
        <v>3363</v>
      </c>
      <c r="I58" s="3007" t="s">
        <v>3364</v>
      </c>
      <c r="J58" s="3007" t="s">
        <v>3365</v>
      </c>
      <c r="K58" s="3007" t="s">
        <v>3366</v>
      </c>
      <c r="L58" s="3007">
        <v>12904</v>
      </c>
      <c r="M58" s="3007">
        <v>69.03</v>
      </c>
      <c r="N58" s="3007">
        <v>673.41</v>
      </c>
      <c r="O58" s="3007">
        <v>0</v>
      </c>
      <c r="P58" s="3007" t="s">
        <v>3110</v>
      </c>
    </row>
    <row r="59" spans="1:16" hidden="1">
      <c r="A59" s="3007" t="s">
        <v>4187</v>
      </c>
      <c r="B59" s="3007" t="s">
        <v>3103</v>
      </c>
      <c r="C59" s="3007" t="s">
        <v>3200</v>
      </c>
      <c r="D59" s="3007" t="s">
        <v>3105</v>
      </c>
      <c r="E59" s="3007">
        <v>15099</v>
      </c>
      <c r="F59" s="3007" t="s">
        <v>3207</v>
      </c>
      <c r="G59" s="3007">
        <v>51748</v>
      </c>
      <c r="H59" s="3007" t="s">
        <v>3265</v>
      </c>
      <c r="I59" s="3007" t="s">
        <v>4188</v>
      </c>
      <c r="J59" s="3007" t="s">
        <v>4189</v>
      </c>
      <c r="K59" s="3007" t="s">
        <v>4190</v>
      </c>
      <c r="L59" s="3007">
        <v>12265</v>
      </c>
      <c r="M59" s="3007">
        <v>158.01</v>
      </c>
      <c r="N59" s="3007">
        <v>1580.08</v>
      </c>
      <c r="O59" s="3007">
        <v>0</v>
      </c>
      <c r="P59" s="3007" t="s">
        <v>3110</v>
      </c>
    </row>
    <row r="60" spans="1:16" hidden="1">
      <c r="A60" s="3007" t="s">
        <v>4191</v>
      </c>
      <c r="B60" s="3007" t="s">
        <v>3103</v>
      </c>
      <c r="C60" s="3007" t="s">
        <v>3200</v>
      </c>
      <c r="D60" s="3007" t="s">
        <v>3105</v>
      </c>
      <c r="E60" s="3007">
        <v>15100</v>
      </c>
      <c r="F60" s="3007" t="s">
        <v>4157</v>
      </c>
      <c r="G60" s="3007">
        <v>13840</v>
      </c>
      <c r="H60" s="3007" t="s">
        <v>3265</v>
      </c>
      <c r="I60" s="3007" t="s">
        <v>4188</v>
      </c>
      <c r="J60" s="3007" t="s">
        <v>4192</v>
      </c>
      <c r="K60" s="3007" t="s">
        <v>4193</v>
      </c>
      <c r="L60" s="3007">
        <v>2492</v>
      </c>
      <c r="M60" s="3007">
        <v>120.04</v>
      </c>
      <c r="N60" s="3007">
        <v>1200.26</v>
      </c>
      <c r="O60" s="3007">
        <v>0</v>
      </c>
      <c r="P60" s="3007" t="s">
        <v>3110</v>
      </c>
    </row>
    <row r="61" spans="1:16">
      <c r="A61" s="3007" t="s">
        <v>3254</v>
      </c>
      <c r="B61" s="3007" t="s">
        <v>3103</v>
      </c>
      <c r="C61" s="3007" t="s">
        <v>3200</v>
      </c>
      <c r="D61" s="3007" t="s">
        <v>3105</v>
      </c>
      <c r="E61" s="3007">
        <v>15096</v>
      </c>
      <c r="F61" s="3007" t="s">
        <v>3255</v>
      </c>
      <c r="G61" s="3007">
        <v>7768</v>
      </c>
      <c r="H61" s="3007" t="s">
        <v>3256</v>
      </c>
      <c r="I61" s="3007" t="s">
        <v>3257</v>
      </c>
      <c r="J61" s="3007" t="s">
        <v>3258</v>
      </c>
      <c r="K61" s="3007" t="s">
        <v>3259</v>
      </c>
      <c r="L61" s="3007">
        <v>127350</v>
      </c>
      <c r="M61" s="3007">
        <v>10929.45</v>
      </c>
      <c r="N61" s="3007">
        <v>8269.4699999999993</v>
      </c>
      <c r="O61" s="3007">
        <v>0</v>
      </c>
      <c r="P61" s="3007" t="s">
        <v>3110</v>
      </c>
    </row>
    <row r="62" spans="1:16" hidden="1">
      <c r="A62" s="3007" t="s">
        <v>3260</v>
      </c>
      <c r="B62" s="3007" t="s">
        <v>3103</v>
      </c>
      <c r="C62" s="3007" t="s">
        <v>3200</v>
      </c>
      <c r="D62" s="3007" t="s">
        <v>3105</v>
      </c>
      <c r="E62" s="3007">
        <v>15090</v>
      </c>
      <c r="F62" s="3007" t="s">
        <v>3207</v>
      </c>
      <c r="G62" s="3007">
        <v>9953</v>
      </c>
      <c r="H62" s="3007" t="s">
        <v>3261</v>
      </c>
      <c r="I62" s="3007" t="s">
        <v>3257</v>
      </c>
      <c r="J62" s="3007" t="s">
        <v>3262</v>
      </c>
      <c r="K62" s="3007" t="s">
        <v>3263</v>
      </c>
      <c r="L62" s="3007">
        <v>4081</v>
      </c>
      <c r="M62" s="3007">
        <v>273.35000000000002</v>
      </c>
      <c r="N62" s="3007">
        <v>2049.71</v>
      </c>
      <c r="O62" s="3007">
        <v>0</v>
      </c>
      <c r="P62" s="3007" t="s">
        <v>3110</v>
      </c>
    </row>
    <row r="63" spans="1:16" hidden="1">
      <c r="A63" s="3007" t="s">
        <v>4194</v>
      </c>
      <c r="B63" s="3007" t="s">
        <v>3103</v>
      </c>
      <c r="C63" s="3007" t="s">
        <v>3200</v>
      </c>
      <c r="D63" s="3007" t="s">
        <v>3105</v>
      </c>
      <c r="E63" s="3007">
        <v>15092</v>
      </c>
      <c r="F63" s="3007" t="s">
        <v>3207</v>
      </c>
      <c r="G63" s="3007">
        <v>27109</v>
      </c>
      <c r="H63" s="3007" t="s">
        <v>4195</v>
      </c>
      <c r="I63" s="3007" t="s">
        <v>3257</v>
      </c>
      <c r="J63" s="3007" t="s">
        <v>4196</v>
      </c>
      <c r="K63" s="3007" t="s">
        <v>4045</v>
      </c>
      <c r="L63" s="3007">
        <v>6669</v>
      </c>
      <c r="M63" s="3007">
        <v>164</v>
      </c>
      <c r="N63" s="3007">
        <v>2050.0300000000002</v>
      </c>
      <c r="O63" s="3007">
        <v>0</v>
      </c>
      <c r="P63" s="3007" t="s">
        <v>3110</v>
      </c>
    </row>
    <row r="64" spans="1:16" hidden="1">
      <c r="A64" s="3007" t="s">
        <v>3264</v>
      </c>
      <c r="B64" s="3007" t="s">
        <v>3103</v>
      </c>
      <c r="C64" s="3007" t="s">
        <v>3200</v>
      </c>
      <c r="D64" s="3007" t="s">
        <v>3105</v>
      </c>
      <c r="E64" s="3007">
        <v>15097</v>
      </c>
      <c r="F64" s="3007" t="s">
        <v>3201</v>
      </c>
      <c r="G64" s="3007">
        <v>41797</v>
      </c>
      <c r="H64" s="3007" t="s">
        <v>3265</v>
      </c>
      <c r="I64" s="3007" t="s">
        <v>3257</v>
      </c>
      <c r="J64" s="3007" t="s">
        <v>3266</v>
      </c>
      <c r="K64" s="3007" t="s">
        <v>3267</v>
      </c>
      <c r="L64" s="3007">
        <v>4515</v>
      </c>
      <c r="M64" s="3007">
        <v>72.010000000000005</v>
      </c>
      <c r="N64" s="3007">
        <v>720.13</v>
      </c>
      <c r="O64" s="3007">
        <v>0</v>
      </c>
      <c r="P64" s="3007" t="s">
        <v>3110</v>
      </c>
    </row>
    <row r="65" spans="1:16" hidden="1">
      <c r="A65" s="3007" t="s">
        <v>4197</v>
      </c>
      <c r="B65" s="3007" t="s">
        <v>3103</v>
      </c>
      <c r="C65" s="3007" t="s">
        <v>3200</v>
      </c>
      <c r="D65" s="3007" t="s">
        <v>3113</v>
      </c>
      <c r="E65" s="3007">
        <v>15080</v>
      </c>
      <c r="F65" s="3007" t="s">
        <v>4198</v>
      </c>
      <c r="G65" s="3007">
        <v>82801</v>
      </c>
      <c r="H65" s="3007" t="s">
        <v>3355</v>
      </c>
      <c r="I65" s="3007" t="s">
        <v>4126</v>
      </c>
      <c r="J65" s="3007" t="s">
        <v>4199</v>
      </c>
      <c r="K65" s="3007" t="s">
        <v>4200</v>
      </c>
      <c r="L65" s="3007">
        <v>9944</v>
      </c>
      <c r="M65" s="3007">
        <v>80.06</v>
      </c>
      <c r="N65" s="3007">
        <v>800.62</v>
      </c>
      <c r="O65" s="3007">
        <v>0</v>
      </c>
      <c r="P65" s="3007" t="s">
        <v>3110</v>
      </c>
    </row>
    <row r="66" spans="1:16" hidden="1">
      <c r="A66" s="3007" t="s">
        <v>4201</v>
      </c>
      <c r="B66" s="3007" t="s">
        <v>3103</v>
      </c>
      <c r="C66" s="3007" t="s">
        <v>3200</v>
      </c>
      <c r="D66" s="3007" t="s">
        <v>3113</v>
      </c>
      <c r="E66" s="3007">
        <v>15086</v>
      </c>
      <c r="F66" s="3007" t="s">
        <v>3240</v>
      </c>
      <c r="G66" s="3007">
        <v>18616</v>
      </c>
      <c r="H66" s="3007" t="s">
        <v>4202</v>
      </c>
      <c r="I66" s="3007" t="s">
        <v>4126</v>
      </c>
      <c r="J66" s="3007" t="s">
        <v>4203</v>
      </c>
      <c r="K66" s="3007" t="s">
        <v>4045</v>
      </c>
      <c r="L66" s="3007">
        <v>4394</v>
      </c>
      <c r="M66" s="3007">
        <v>157.36000000000001</v>
      </c>
      <c r="N66" s="3007">
        <v>1966.96</v>
      </c>
      <c r="O66" s="3007">
        <v>0</v>
      </c>
      <c r="P66" s="3007" t="s">
        <v>3110</v>
      </c>
    </row>
    <row r="67" spans="1:16" hidden="1">
      <c r="A67" s="3007" t="s">
        <v>4204</v>
      </c>
      <c r="B67" s="3007" t="s">
        <v>3103</v>
      </c>
      <c r="C67" s="3007" t="s">
        <v>3200</v>
      </c>
      <c r="D67" s="3007" t="s">
        <v>3113</v>
      </c>
      <c r="E67" s="3007">
        <v>15077</v>
      </c>
      <c r="F67" s="3007" t="s">
        <v>4157</v>
      </c>
      <c r="G67" s="3007">
        <v>8068</v>
      </c>
      <c r="H67" s="3007" t="s">
        <v>3355</v>
      </c>
      <c r="I67" s="3007" t="s">
        <v>4205</v>
      </c>
      <c r="J67" s="3007" t="s">
        <v>4206</v>
      </c>
      <c r="K67" s="3007" t="s">
        <v>4207</v>
      </c>
      <c r="L67" s="3007">
        <v>1461</v>
      </c>
      <c r="M67" s="3007">
        <v>120.72</v>
      </c>
      <c r="N67" s="3007">
        <v>1207.24</v>
      </c>
      <c r="O67" s="3007">
        <v>0</v>
      </c>
      <c r="P67" s="3007" t="s">
        <v>3110</v>
      </c>
    </row>
    <row r="68" spans="1:16">
      <c r="A68" s="3007" t="s">
        <v>4208</v>
      </c>
      <c r="B68" s="3007" t="s">
        <v>3103</v>
      </c>
      <c r="C68" s="3007" t="s">
        <v>3200</v>
      </c>
      <c r="D68" s="3007" t="s">
        <v>3113</v>
      </c>
      <c r="E68" s="3007">
        <v>15076</v>
      </c>
      <c r="F68" s="3007" t="s">
        <v>4209</v>
      </c>
      <c r="G68" s="3007">
        <v>24449</v>
      </c>
      <c r="H68" s="3007" t="s">
        <v>4210</v>
      </c>
      <c r="I68" s="3007" t="s">
        <v>4205</v>
      </c>
      <c r="J68" s="3007" t="s">
        <v>4211</v>
      </c>
      <c r="K68" s="3007" t="s">
        <v>3230</v>
      </c>
      <c r="L68" s="3007">
        <v>18826</v>
      </c>
      <c r="M68" s="3007">
        <v>513.34</v>
      </c>
      <c r="N68" s="3007">
        <v>2200.0100000000002</v>
      </c>
      <c r="O68" s="3007">
        <v>0</v>
      </c>
      <c r="P68" s="3007" t="s">
        <v>3110</v>
      </c>
    </row>
  </sheetData>
  <autoFilter ref="A1:P68"/>
  <phoneticPr fontId="143" type="noConversion"/>
  <hyperlinks>
    <hyperlink ref="Q8" r:id="rId1"/>
    <hyperlink ref="Q17" r:id="rId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25" workbookViewId="0">
      <selection activeCell="P33" sqref="P33"/>
    </sheetView>
  </sheetViews>
  <sheetFormatPr defaultRowHeight="13.5"/>
  <cols>
    <col min="2" max="5" width="9" style="2977"/>
    <col min="8" max="11" width="9" style="2977"/>
  </cols>
  <sheetData>
    <row r="1" spans="1:11">
      <c r="A1" s="2956" t="s">
        <v>3189</v>
      </c>
      <c r="B1" s="3251" t="s">
        <v>3184</v>
      </c>
      <c r="C1" s="3251"/>
      <c r="D1" s="3251"/>
      <c r="E1" s="3251"/>
      <c r="G1" s="2956" t="s">
        <v>3190</v>
      </c>
      <c r="H1" s="3251" t="s">
        <v>3184</v>
      </c>
      <c r="I1" s="3251"/>
      <c r="J1" s="3251"/>
      <c r="K1" s="3251"/>
    </row>
    <row r="2" spans="1:11" ht="14.25" thickBot="1">
      <c r="B2" s="2971" t="s">
        <v>3185</v>
      </c>
      <c r="C2" s="2972" t="s">
        <v>3186</v>
      </c>
      <c r="D2" s="2972" t="s">
        <v>3187</v>
      </c>
      <c r="E2" s="2972" t="s">
        <v>3188</v>
      </c>
      <c r="H2" s="2971" t="s">
        <v>3185</v>
      </c>
      <c r="I2" s="2972" t="s">
        <v>3186</v>
      </c>
      <c r="J2" s="2972" t="s">
        <v>3187</v>
      </c>
      <c r="K2" s="2972" t="s">
        <v>3188</v>
      </c>
    </row>
    <row r="3" spans="1:11">
      <c r="B3" s="2973">
        <v>2015.2</v>
      </c>
      <c r="C3" s="2974">
        <v>4098</v>
      </c>
      <c r="D3" s="2974">
        <v>0.97</v>
      </c>
      <c r="E3" s="2974"/>
      <c r="H3" s="2973">
        <v>2015.2</v>
      </c>
      <c r="I3" s="2974">
        <v>8657</v>
      </c>
      <c r="J3" s="2974">
        <v>0.5</v>
      </c>
      <c r="K3" s="2974"/>
    </row>
    <row r="4" spans="1:11">
      <c r="B4" s="2975">
        <v>2015.3</v>
      </c>
      <c r="C4" s="2976">
        <v>4135</v>
      </c>
      <c r="D4" s="2976">
        <v>0.91</v>
      </c>
      <c r="E4" s="2976"/>
      <c r="H4" s="2975">
        <v>2015.3</v>
      </c>
      <c r="I4" s="2976">
        <v>8687</v>
      </c>
      <c r="J4" s="2976">
        <v>0.35</v>
      </c>
      <c r="K4" s="2976"/>
    </row>
    <row r="5" spans="1:11">
      <c r="B5" s="2973">
        <v>2015.4</v>
      </c>
      <c r="C5" s="2974">
        <v>4165</v>
      </c>
      <c r="D5" s="2974">
        <v>0.73</v>
      </c>
      <c r="E5" s="2974"/>
      <c r="H5" s="2973">
        <v>2015.4</v>
      </c>
      <c r="I5" s="2974">
        <v>8720</v>
      </c>
      <c r="J5" s="2974">
        <v>0.38</v>
      </c>
      <c r="K5" s="2974"/>
    </row>
    <row r="6" spans="1:11">
      <c r="B6" s="2975">
        <v>2016.1</v>
      </c>
      <c r="C6" s="2976">
        <v>4168</v>
      </c>
      <c r="D6" s="2976">
        <v>7.0000000000000007E-2</v>
      </c>
      <c r="E6" s="2976"/>
      <c r="H6" s="2984">
        <v>2016.1</v>
      </c>
      <c r="I6" s="2985">
        <v>8731</v>
      </c>
      <c r="J6" s="2985">
        <v>0.13</v>
      </c>
      <c r="K6" s="2985"/>
    </row>
    <row r="7" spans="1:11">
      <c r="B7" s="2973">
        <v>2016.2</v>
      </c>
      <c r="C7" s="2974">
        <v>4197</v>
      </c>
      <c r="D7" s="2974">
        <v>0.7</v>
      </c>
      <c r="H7" s="2973">
        <v>2016.2</v>
      </c>
      <c r="I7" s="2974">
        <v>8764</v>
      </c>
      <c r="J7" s="2974">
        <v>0.38</v>
      </c>
      <c r="K7" s="2974"/>
    </row>
    <row r="8" spans="1:11">
      <c r="B8" s="2978">
        <v>2016.3</v>
      </c>
      <c r="C8" s="2979">
        <v>4231</v>
      </c>
      <c r="D8" s="2979">
        <v>0.81</v>
      </c>
      <c r="E8" s="2979"/>
      <c r="H8" s="2975">
        <v>2016.3</v>
      </c>
      <c r="I8" s="2976">
        <v>8798</v>
      </c>
      <c r="J8" s="2976">
        <v>0.39</v>
      </c>
      <c r="K8" s="2976"/>
    </row>
    <row r="9" spans="1:11">
      <c r="B9" s="2980">
        <v>2016.4</v>
      </c>
      <c r="C9" s="2981">
        <v>4273</v>
      </c>
      <c r="D9" s="2981">
        <v>0.99</v>
      </c>
      <c r="E9" s="2981"/>
      <c r="H9" s="2973">
        <v>2016.4</v>
      </c>
      <c r="I9" s="2974">
        <v>8829</v>
      </c>
      <c r="J9" s="2974">
        <v>0.35</v>
      </c>
      <c r="K9" s="2974"/>
    </row>
    <row r="10" spans="1:11">
      <c r="B10" s="2978">
        <v>2017.1</v>
      </c>
      <c r="C10" s="2979">
        <v>4332</v>
      </c>
      <c r="D10" s="2979">
        <v>1.38</v>
      </c>
      <c r="E10" s="2979"/>
      <c r="H10" s="2975">
        <v>2017.1</v>
      </c>
      <c r="I10" s="2976">
        <v>8861</v>
      </c>
      <c r="J10" s="2976">
        <v>0.36</v>
      </c>
      <c r="K10" s="2976"/>
    </row>
    <row r="11" spans="1:11">
      <c r="B11" s="2982">
        <v>2017.2</v>
      </c>
      <c r="C11" s="2983">
        <v>4457</v>
      </c>
      <c r="D11" s="2983">
        <v>2.89</v>
      </c>
      <c r="H11" s="2980">
        <v>2017.2</v>
      </c>
      <c r="I11" s="2981">
        <v>9030</v>
      </c>
      <c r="J11" s="2981">
        <v>1.91</v>
      </c>
      <c r="K11" s="2981"/>
    </row>
    <row r="12" spans="1:11">
      <c r="B12" s="2978">
        <v>2017.3</v>
      </c>
      <c r="C12" s="2979">
        <v>4651</v>
      </c>
      <c r="D12" s="2979">
        <v>4.3499999999999996</v>
      </c>
      <c r="E12" s="2979"/>
      <c r="H12" s="2978">
        <v>2017.3</v>
      </c>
      <c r="I12" s="2979">
        <v>9118</v>
      </c>
      <c r="J12" s="2979">
        <v>0.97</v>
      </c>
      <c r="K12" s="2979"/>
    </row>
    <row r="13" spans="1:11">
      <c r="B13" s="2980">
        <v>2017.4</v>
      </c>
      <c r="C13" s="2981">
        <v>4795</v>
      </c>
      <c r="D13" s="2981">
        <v>3.1</v>
      </c>
      <c r="E13" s="2981"/>
      <c r="H13" s="2980">
        <v>2017.4</v>
      </c>
      <c r="I13" s="2981">
        <v>9196</v>
      </c>
      <c r="J13" s="2981">
        <v>0.86</v>
      </c>
      <c r="K13" s="2981"/>
    </row>
    <row r="14" spans="1:11">
      <c r="B14" s="2978">
        <v>2018.1</v>
      </c>
      <c r="C14" s="2979">
        <v>4897</v>
      </c>
      <c r="D14" s="2979">
        <v>2.13</v>
      </c>
      <c r="E14" s="2979"/>
      <c r="H14" s="2978">
        <v>2018.1</v>
      </c>
      <c r="I14" s="2979">
        <v>9278</v>
      </c>
      <c r="J14" s="2979">
        <v>0.89</v>
      </c>
      <c r="K14" s="2979"/>
    </row>
    <row r="15" spans="1:11">
      <c r="B15" s="2982">
        <v>2018.2</v>
      </c>
      <c r="C15" s="2983">
        <v>5009</v>
      </c>
      <c r="D15" s="2983">
        <v>2.29</v>
      </c>
      <c r="H15" s="2982">
        <v>2018.2</v>
      </c>
      <c r="I15" s="2983">
        <v>9336</v>
      </c>
      <c r="J15" s="2983">
        <v>0.63</v>
      </c>
    </row>
  </sheetData>
  <mergeCells count="2">
    <mergeCell ref="B1:E1"/>
    <mergeCell ref="H1:K1"/>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8" sqref="D8"/>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2451</v>
      </c>
      <c r="B1" s="1577"/>
      <c r="C1" s="1578"/>
      <c r="D1" s="1576"/>
      <c r="E1" s="320"/>
      <c r="F1" s="320"/>
      <c r="G1" s="1577"/>
      <c r="H1" s="320"/>
      <c r="I1" s="320"/>
      <c r="J1" s="320"/>
      <c r="K1" s="320">
        <f>MATCH(C1,'数据-取费表'!A6:A16,0)+5</f>
        <v>11</v>
      </c>
    </row>
    <row r="2" spans="1:33" ht="18" customHeight="1">
      <c r="A2" s="245" t="s">
        <v>2319</v>
      </c>
      <c r="B2" s="248">
        <f ca="1">C32</f>
        <v>442595</v>
      </c>
      <c r="C2" s="320" t="s">
        <v>2452</v>
      </c>
      <c r="D2" s="320"/>
      <c r="E2" s="320"/>
      <c r="F2" s="320"/>
      <c r="G2" s="320"/>
      <c r="H2" s="320"/>
      <c r="I2" s="320"/>
      <c r="J2" s="320"/>
      <c r="K2" s="320"/>
    </row>
    <row r="3" spans="1:33" ht="18" customHeight="1" thickBot="1">
      <c r="A3" s="247" t="s">
        <v>2321</v>
      </c>
      <c r="B3" s="248">
        <f ca="1">ROUND(B2*10000/IF(C1="",'数据-汇总表'!E3,INDIRECT("'数据-取费表'!K"&amp;$K$1)),0)</f>
        <v>11698</v>
      </c>
      <c r="C3" s="320" t="s">
        <v>2453</v>
      </c>
      <c r="D3" s="320"/>
      <c r="E3" s="320"/>
      <c r="F3" s="320"/>
      <c r="G3" s="320"/>
      <c r="H3" s="320"/>
      <c r="I3" s="320"/>
      <c r="J3" s="320"/>
      <c r="K3" s="320"/>
    </row>
    <row r="4" spans="1:33" s="953" customFormat="1" ht="16.5" customHeight="1">
      <c r="A4" s="950" t="s">
        <v>2454</v>
      </c>
      <c r="B4" s="951"/>
      <c r="C4" s="993">
        <f ca="1">SUM(C8:K8)</f>
        <v>678613</v>
      </c>
      <c r="D4" s="951"/>
      <c r="E4" s="951"/>
      <c r="F4" s="951"/>
      <c r="G4" s="951"/>
      <c r="H4" s="951"/>
      <c r="I4" s="951"/>
      <c r="J4" s="951"/>
      <c r="K4" s="952"/>
    </row>
    <row r="5" spans="1:33" s="957" customFormat="1" ht="15">
      <c r="A5" s="954" t="s">
        <v>2455</v>
      </c>
      <c r="B5" s="955" t="s">
        <v>2456</v>
      </c>
      <c r="C5" s="2548" t="s">
        <v>3074</v>
      </c>
      <c r="D5" s="2548" t="s">
        <v>3075</v>
      </c>
      <c r="E5" s="2548" t="s">
        <v>27</v>
      </c>
      <c r="F5" s="2548" t="s">
        <v>3047</v>
      </c>
      <c r="G5" s="2548" t="s">
        <v>3076</v>
      </c>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2457</v>
      </c>
      <c r="C6" s="959">
        <f ca="1">'收益法（地上商业）'!B3</f>
        <v>32461</v>
      </c>
      <c r="D6" s="959">
        <f ca="1">'收益法（地下商业）'!B3</f>
        <v>24568</v>
      </c>
      <c r="E6" s="959">
        <f>'比较法-办公'!B3</f>
        <v>22604</v>
      </c>
      <c r="F6" s="959">
        <f>'比较法-住宅'!B3</f>
        <v>25084</v>
      </c>
      <c r="G6" s="959">
        <f ca="1">'收益法（地下车位）'!B3</f>
        <v>4214</v>
      </c>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2458</v>
      </c>
      <c r="B7" s="140" t="s">
        <v>2459</v>
      </c>
      <c r="C7" s="321">
        <f>SUMIF('数据-汇总表'!$C19:$C33,假设开发法!C5,'数据-汇总表'!$E19:$E33)</f>
        <v>44726.05</v>
      </c>
      <c r="D7" s="321">
        <f>SUMIF('数据-汇总表'!$C19:$C33,假设开发法!D5,'数据-汇总表'!$E19:$E33)</f>
        <v>32618.32</v>
      </c>
      <c r="E7" s="321">
        <f>SUMIF('数据-汇总表'!$C19:$C33,假设开发法!E5,'数据-汇总表'!$E19:$E33)</f>
        <v>82985.51999999999</v>
      </c>
      <c r="F7" s="321">
        <f>SUMIF('数据-汇总表'!$C19:$C33,假设开发法!F5,'数据-汇总表'!$E19:$E33)</f>
        <v>86542.98</v>
      </c>
      <c r="G7" s="321">
        <f>SUMIF('数据-汇总表'!$C19:$C33,假设开发法!G5,'数据-汇总表'!$E19:$E33)</f>
        <v>115386.06</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2460</v>
      </c>
      <c r="B8" s="177" t="s">
        <v>2461</v>
      </c>
      <c r="C8" s="994">
        <f ca="1">'收益法（地上商业）'!B2</f>
        <v>145184</v>
      </c>
      <c r="D8" s="3357">
        <f ca="1">'收益法（地下商业）'!B2</f>
        <v>80137</v>
      </c>
      <c r="E8" s="994">
        <f>'比较法-办公'!B2</f>
        <v>187580</v>
      </c>
      <c r="F8" s="994">
        <f>'比较法-住宅'!B2</f>
        <v>217084</v>
      </c>
      <c r="G8" s="995">
        <f ca="1">'收益法（地下车位）'!B2</f>
        <v>48628</v>
      </c>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2462</v>
      </c>
      <c r="B9" s="951"/>
      <c r="C9" s="951"/>
      <c r="D9" s="951"/>
      <c r="E9" s="951"/>
      <c r="F9" s="951"/>
      <c r="G9" s="951"/>
      <c r="H9" s="951"/>
      <c r="I9" s="951"/>
      <c r="J9" s="951"/>
      <c r="K9" s="952"/>
    </row>
    <row r="10" spans="1:33" s="967" customFormat="1" ht="13.5" customHeight="1">
      <c r="A10" s="954" t="s">
        <v>2463</v>
      </c>
      <c r="B10" s="8" t="s">
        <v>2464</v>
      </c>
      <c r="C10" s="963" t="s">
        <v>2465</v>
      </c>
      <c r="D10" s="964" t="s">
        <v>2466</v>
      </c>
      <c r="E10" s="964" t="s">
        <v>2467</v>
      </c>
      <c r="F10" s="964" t="s">
        <v>2468</v>
      </c>
      <c r="G10" s="8"/>
      <c r="H10" s="965"/>
      <c r="I10" s="965"/>
      <c r="J10" s="965"/>
      <c r="K10" s="966"/>
    </row>
    <row r="11" spans="1:33" s="972" customFormat="1" ht="13.5" customHeight="1">
      <c r="A11" s="968" t="s">
        <v>1334</v>
      </c>
      <c r="B11" s="969" t="s">
        <v>2469</v>
      </c>
      <c r="C11" s="323">
        <f ca="1">IF(C1="",'数据-取费表'!P16,INDIRECT("'数据-取费表'!p"&amp;$K$1)+INDIRECT("'数据-取费表'!ar"&amp;$K$1))</f>
        <v>75809</v>
      </c>
      <c r="D11" s="970"/>
      <c r="E11" s="375"/>
      <c r="F11" s="971">
        <f ca="1">1-IF('数据-取费表'!B24=0,1,IF(C1="",'数据-取费表'!N16,INDIRECT("'数据-取费表'!n"&amp;$K$1)))</f>
        <v>0.50600000000000001</v>
      </c>
      <c r="G11" s="8"/>
      <c r="H11" s="965"/>
      <c r="I11" s="965"/>
      <c r="J11" s="965"/>
      <c r="K11" s="966"/>
    </row>
    <row r="12" spans="1:33" s="972" customFormat="1" ht="13.5" customHeight="1">
      <c r="A12" s="968" t="s">
        <v>1335</v>
      </c>
      <c r="B12" s="969" t="s">
        <v>2470</v>
      </c>
      <c r="C12" s="24">
        <f ca="1">ROUND(C11*F12,0)</f>
        <v>2274</v>
      </c>
      <c r="D12" s="970"/>
      <c r="E12" s="375"/>
      <c r="F12" s="973">
        <f>'数据-取费表'!B33</f>
        <v>0.03</v>
      </c>
      <c r="G12" s="8" t="s">
        <v>2471</v>
      </c>
      <c r="H12" s="965"/>
      <c r="I12" s="965"/>
      <c r="J12" s="965"/>
      <c r="K12" s="966"/>
    </row>
    <row r="13" spans="1:33" s="972" customFormat="1" ht="13.5" customHeight="1">
      <c r="A13" s="968" t="s">
        <v>1336</v>
      </c>
      <c r="B13" s="969" t="s">
        <v>2472</v>
      </c>
      <c r="C13" s="24">
        <f ca="1">ROUND(IF(C1="",SUMIF('数据-取费表'!C:C,"住宅",'数据-取费表'!P:P)*F13,IF(INDIRECT("'数据-取费表'!c"&amp;$K$1)="住宅",INDIRECT("'数据-取费表'!P"&amp;$K$1)*F13,0)),0)</f>
        <v>909</v>
      </c>
      <c r="D13" s="1030"/>
      <c r="E13" s="375"/>
      <c r="F13" s="973">
        <f>'数据-取费表'!B34</f>
        <v>0.03</v>
      </c>
      <c r="G13" s="8" t="s">
        <v>2473</v>
      </c>
      <c r="H13" s="965"/>
      <c r="I13" s="965"/>
      <c r="J13" s="965"/>
      <c r="K13" s="966"/>
    </row>
    <row r="14" spans="1:33" s="974" customFormat="1" ht="13.5" customHeight="1">
      <c r="A14" s="968" t="s">
        <v>1337</v>
      </c>
      <c r="B14" s="969" t="s">
        <v>2474</v>
      </c>
      <c r="C14" s="24">
        <f ca="1">ROUND(D14*E14*F11/10000,0)</f>
        <v>3829</v>
      </c>
      <c r="D14" s="1030">
        <f ca="1">IF(C1="",'数据-汇总表'!E3,INDIRECT("'数据-取费表'!K"&amp;$K$1)+INDIRECT("'数据-取费表'!S"&amp;$K$1))</f>
        <v>378335.58999999997</v>
      </c>
      <c r="E14" s="24">
        <f>'数据-取费表'!B35</f>
        <v>200</v>
      </c>
      <c r="F14" s="973"/>
      <c r="G14" s="8" t="s">
        <v>2475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2476</v>
      </c>
      <c r="C15" s="980">
        <f ca="1">ROUND(C11*F15,0)</f>
        <v>1137</v>
      </c>
      <c r="D15" s="975"/>
      <c r="E15" s="980"/>
      <c r="F15" s="981">
        <f>'数据-取费表'!B36</f>
        <v>1.4999999999999999E-2</v>
      </c>
      <c r="G15" s="140" t="s">
        <v>2477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2478</v>
      </c>
      <c r="C16" s="980">
        <f ca="1">SUM(C11:C15)</f>
        <v>83958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2479</v>
      </c>
      <c r="C17" s="24">
        <f ca="1">ROUND(D17*E17/10000,0)</f>
        <v>0</v>
      </c>
      <c r="D17" s="1030">
        <f ca="1">D14</f>
        <v>378335.58999999997</v>
      </c>
      <c r="E17" s="24">
        <f>'数据-取费表'!B32</f>
        <v>0</v>
      </c>
      <c r="F17" s="975"/>
      <c r="G17" s="140" t="s">
        <v>2480</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2481</v>
      </c>
      <c r="C18" s="24">
        <f ca="1">C19+C20-IF(C1="",'数据-取费表'!B29,IF(G18="已全部缴纳",C19+C20,H18))</f>
        <v>2466</v>
      </c>
      <c r="D18" s="1030"/>
      <c r="E18" s="24"/>
      <c r="F18" s="973"/>
      <c r="G18" s="2550" t="s">
        <v>4280</v>
      </c>
      <c r="H18" s="1573">
        <f>'数据-取费表'!B29</f>
        <v>8506</v>
      </c>
      <c r="I18" s="2551" t="s">
        <v>2482</v>
      </c>
      <c r="J18" s="976"/>
      <c r="K18" s="977"/>
    </row>
    <row r="19" spans="1:33" s="972" customFormat="1" ht="13.5" customHeight="1">
      <c r="A19" s="968" t="s">
        <v>805</v>
      </c>
      <c r="B19" s="969" t="s">
        <v>2483</v>
      </c>
      <c r="C19" s="24">
        <f ca="1">ROUND(D19*E19/10000,0)</f>
        <v>2510</v>
      </c>
      <c r="D19" s="1030">
        <f ca="1">IF(C1="",'数据-汇总表'!E5,IF(INDIRECT("'数据-取费表'!c"&amp;$K$1)="住宅",INDIRECT("'数据-取费表'!k"&amp;$K$1),0))</f>
        <v>86542.98</v>
      </c>
      <c r="E19" s="24">
        <f>'数据-取费表'!B27</f>
        <v>290</v>
      </c>
      <c r="F19" s="973"/>
      <c r="G19" s="15"/>
      <c r="H19" s="1575"/>
      <c r="I19" s="978"/>
      <c r="J19" s="978"/>
      <c r="K19" s="979"/>
    </row>
    <row r="20" spans="1:33" s="972" customFormat="1" ht="13.5" customHeight="1">
      <c r="A20" s="968" t="s">
        <v>806</v>
      </c>
      <c r="B20" s="969" t="s">
        <v>2484</v>
      </c>
      <c r="C20" s="24">
        <f ca="1">ROUND(D20*E20/10000,0)</f>
        <v>8462</v>
      </c>
      <c r="D20" s="1030">
        <f ca="1">IF(C1="",'数据-汇总表'!E6,IF(INDIRECT("'数据-取费表'!c"&amp;$K$1)="住宅",INDIRECT("'数据-取费表'!s"&amp;$K$1),INDIRECT("'数据-取费表'!k"&amp;$K$1)+INDIRECT("'数据-取费表'!s"&amp;$K$1)))</f>
        <v>291792.61</v>
      </c>
      <c r="E20" s="24">
        <f>'数据-取费表'!B28</f>
        <v>290</v>
      </c>
      <c r="F20" s="973"/>
      <c r="G20" s="15"/>
      <c r="H20" s="978"/>
      <c r="I20" s="978"/>
      <c r="J20" s="978"/>
      <c r="K20" s="979"/>
    </row>
    <row r="21" spans="1:33" s="972" customFormat="1" ht="13.5" customHeight="1">
      <c r="A21" s="958" t="s">
        <v>802</v>
      </c>
      <c r="B21" s="982" t="s">
        <v>2485</v>
      </c>
      <c r="C21" s="983">
        <f ca="1">C16+C17+C18</f>
        <v>86424</v>
      </c>
      <c r="D21" s="984"/>
      <c r="E21" s="325"/>
      <c r="F21" s="325"/>
      <c r="G21" s="140" t="s">
        <v>2486</v>
      </c>
      <c r="H21" s="976"/>
      <c r="I21" s="976"/>
      <c r="J21" s="976"/>
      <c r="K21" s="977"/>
    </row>
    <row r="22" spans="1:33" s="972" customFormat="1" ht="13.5" customHeight="1">
      <c r="A22" s="958" t="s">
        <v>2458</v>
      </c>
      <c r="B22" s="982" t="s">
        <v>2487</v>
      </c>
      <c r="C22" s="983">
        <f ca="1">ROUND(C21*F22,0)</f>
        <v>1728</v>
      </c>
      <c r="D22" s="325"/>
      <c r="E22" s="325"/>
      <c r="F22" s="985">
        <f>'数据-取费表'!B37</f>
        <v>0.02</v>
      </c>
      <c r="G22" s="8" t="s">
        <v>2488</v>
      </c>
      <c r="H22" s="965"/>
      <c r="I22" s="965"/>
      <c r="J22" s="965"/>
      <c r="K22" s="966"/>
    </row>
    <row r="23" spans="1:33" s="972" customFormat="1" ht="13.5" customHeight="1">
      <c r="A23" s="958" t="s">
        <v>2460</v>
      </c>
      <c r="B23" s="982" t="s">
        <v>2489</v>
      </c>
      <c r="C23" s="983">
        <f ca="1">ROUND(C4*F23*F11,0)</f>
        <v>17169</v>
      </c>
      <c r="D23" s="325"/>
      <c r="E23" s="325"/>
      <c r="F23" s="985">
        <f>'数据-取费表'!B38</f>
        <v>0.05</v>
      </c>
      <c r="G23" s="8" t="s">
        <v>2490</v>
      </c>
      <c r="H23" s="965"/>
      <c r="I23" s="965"/>
      <c r="J23" s="965"/>
      <c r="K23" s="966"/>
    </row>
    <row r="24" spans="1:33" s="972" customFormat="1" ht="13.5" customHeight="1">
      <c r="A24" s="958" t="s">
        <v>2491</v>
      </c>
      <c r="B24" s="982" t="s">
        <v>2492</v>
      </c>
      <c r="C24" s="324">
        <f>ROUND(F24/(1+'数据-取费表'!C42),4)</f>
        <v>2.9000000000000001E-2</v>
      </c>
      <c r="D24" s="325" t="s">
        <v>15</v>
      </c>
      <c r="E24" s="325"/>
      <c r="F24" s="985">
        <f>'数据-取费表'!B48+'数据-取费表'!B49</f>
        <v>3.0499999999999999E-2</v>
      </c>
      <c r="G24" s="8" t="s">
        <v>2493</v>
      </c>
      <c r="H24" s="987"/>
      <c r="I24" s="987"/>
      <c r="J24" s="987"/>
      <c r="K24" s="988"/>
    </row>
    <row r="25" spans="1:33" s="972" customFormat="1" ht="13.5" customHeight="1">
      <c r="A25" s="958" t="s">
        <v>2494</v>
      </c>
      <c r="B25" s="984" t="s">
        <v>2495</v>
      </c>
      <c r="C25" s="1353">
        <f ca="1">C27</f>
        <v>3730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2496</v>
      </c>
      <c r="C26" s="1354">
        <f ca="1">ROUND(IF('数据-取费表'!B22&lt;=1,(1+C24)*F25*'数据-取费表'!B24,(1+C24)*(POWER((1+F25),'数据-取费表'!B24)-1)),4)</f>
        <v>7.4200000000000002E-2</v>
      </c>
      <c r="D26" s="328"/>
      <c r="E26" s="329"/>
      <c r="F26" s="330"/>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2497</v>
      </c>
      <c r="C27" s="1355">
        <f ca="1">ROUND(IF('数据-取费表'!B22&lt;=1,(C21+C22+C23)*F25*'数据-取费表'!B24/2,(C21+C22+C23)*(POWER((1+F25),'数据-取费表'!B24/2)-1)),0)</f>
        <v>3730</v>
      </c>
      <c r="D27" s="328"/>
      <c r="E27" s="329"/>
      <c r="F27" s="330"/>
      <c r="G27" s="2552" t="str">
        <f>IF('数据-取费表'!B22&lt;=1,"（1）-（3）项×年利率×建设期÷2","（1）-（3）项×((1+年利率)^(建设期÷2)-1)")</f>
        <v>（1）-（3）项×((1+年利率)^(建设期÷2)-1)</v>
      </c>
      <c r="H27" s="976"/>
      <c r="I27" s="976"/>
      <c r="J27" s="976"/>
      <c r="K27" s="977"/>
    </row>
    <row r="28" spans="1:33" s="333" customFormat="1" ht="13.5" customHeight="1">
      <c r="A28" s="958" t="s">
        <v>2498</v>
      </c>
      <c r="B28" s="2553" t="s">
        <v>2499</v>
      </c>
      <c r="C28" s="331">
        <f ca="1">C30</f>
        <v>15798</v>
      </c>
      <c r="D28" s="324">
        <f ca="1">C29</f>
        <v>6.6199999999999995E-2</v>
      </c>
      <c r="E28" s="326" t="s">
        <v>15</v>
      </c>
      <c r="F28" s="332">
        <f ca="1">IF(C1="",'数据-取费表'!Q16,INDIRECT("'数据-取费表'!q"&amp;$K$1))</f>
        <v>0.15</v>
      </c>
      <c r="G28" s="986"/>
      <c r="H28" s="987"/>
      <c r="I28" s="987"/>
      <c r="J28" s="987"/>
      <c r="K28" s="988"/>
    </row>
    <row r="29" spans="1:33" s="335" customFormat="1" ht="13.5" customHeight="1">
      <c r="A29" s="968" t="s">
        <v>803</v>
      </c>
      <c r="B29" s="991" t="s">
        <v>2500</v>
      </c>
      <c r="C29" s="328">
        <f ca="1">ROUND((1+C24)*F28*'数据-取费表'!B24/'数据-取费表'!B20,4)</f>
        <v>6.6199999999999995E-2</v>
      </c>
      <c r="D29" s="328"/>
      <c r="E29" s="329"/>
      <c r="F29" s="334"/>
      <c r="G29" s="140" t="s">
        <v>2501</v>
      </c>
      <c r="H29" s="976"/>
      <c r="I29" s="976"/>
      <c r="J29" s="976"/>
      <c r="K29" s="977"/>
    </row>
    <row r="30" spans="1:33" s="335" customFormat="1" ht="13.5" customHeight="1">
      <c r="A30" s="968" t="s">
        <v>804</v>
      </c>
      <c r="B30" s="991" t="s">
        <v>2502</v>
      </c>
      <c r="C30" s="336">
        <f ca="1">ROUND((C21+C22+C23)*F28,0)</f>
        <v>15798</v>
      </c>
      <c r="D30" s="328"/>
      <c r="E30" s="329"/>
      <c r="F30" s="334"/>
      <c r="G30" s="140"/>
      <c r="H30" s="976"/>
      <c r="I30" s="976"/>
      <c r="J30" s="976"/>
      <c r="K30" s="977"/>
    </row>
    <row r="31" spans="1:33" s="972" customFormat="1" ht="13.5" customHeight="1" thickBot="1">
      <c r="A31" s="2554" t="s">
        <v>2503</v>
      </c>
      <c r="B31" s="1002" t="s">
        <v>2504</v>
      </c>
      <c r="C31" s="1003">
        <f ca="1">ROUND(C4*F31/(1+'数据-取费表'!C42),0)</f>
        <v>36193</v>
      </c>
      <c r="D31" s="1004"/>
      <c r="E31" s="1005"/>
      <c r="F31" s="1006">
        <f>'数据-取费表'!B41</f>
        <v>5.6000000000000001E-2</v>
      </c>
      <c r="G31" s="1007" t="s">
        <v>2505</v>
      </c>
      <c r="H31" s="1008"/>
      <c r="I31" s="1008"/>
      <c r="J31" s="1008"/>
      <c r="K31" s="1009"/>
    </row>
    <row r="32" spans="1:33" s="967" customFormat="1" ht="13.5" customHeight="1" thickBot="1">
      <c r="A32" s="997" t="s">
        <v>2506</v>
      </c>
      <c r="B32" s="998"/>
      <c r="C32" s="999">
        <f ca="1">ROUND((C4-C21-C22-C23-C25-C28-C31)/(1+C24+D25+D28),0)</f>
        <v>442595</v>
      </c>
      <c r="D32" s="998"/>
      <c r="E32" s="998"/>
      <c r="F32" s="998"/>
      <c r="G32" s="1000" t="s">
        <v>2507</v>
      </c>
      <c r="H32" s="998"/>
      <c r="I32" s="998"/>
      <c r="J32" s="998"/>
      <c r="K32" s="1001"/>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中国东方资产管理股份有限公司：</v>
      </c>
    </row>
    <row r="4" spans="1:1" ht="36">
      <c r="A4" s="1944" t="str">
        <f>"受贵公司委托，我公司对"&amp;项目基本情况!S1&amp;"进行了预评估。"</f>
        <v>受贵公司委托，我公司对重庆市江北区观音桥组团I分区I29-3-/02地块“隆鑫中心”项目出让国有建设用地使用权及在建建筑物房地产抵押价值进行了预评估。</v>
      </c>
    </row>
    <row r="5" spans="1:1" ht="18.75">
      <c r="A5" s="1945" t="s">
        <v>1612</v>
      </c>
    </row>
    <row r="6" spans="1:1" ht="18.75">
      <c r="A6" s="1946" t="s">
        <v>1613</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378335.59平方米。</v>
      </c>
    </row>
    <row r="8" spans="1:1" ht="57.75">
      <c r="A8" s="1947" t="s">
        <v>1614</v>
      </c>
    </row>
    <row r="9" spans="1:1" ht="18.75">
      <c r="A9" s="1946" t="s">
        <v>1615</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378335.59平方米。</v>
      </c>
    </row>
    <row r="11" spans="1:1" ht="76.5">
      <c r="A11" s="1947" t="s">
        <v>1616</v>
      </c>
    </row>
    <row r="12" spans="1:1" ht="18.75">
      <c r="A12" s="1945" t="s">
        <v>1617</v>
      </c>
    </row>
    <row r="13" spans="1:1" ht="38.25" customHeight="1">
      <c r="A13" s="1948" t="str">
        <f>IF(项目基本情况!B8="抵押",IF(项目基本情况!B5=项目基本情况!B6,定义!C51,定义!B51),定义!D51)</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2018年8月20日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3" sqref="A1: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2"/>
      <c r="C1" s="1833" t="s">
        <v>3074</v>
      </c>
      <c r="D1" s="1816" t="s">
        <v>3080</v>
      </c>
      <c r="E1" s="1817" t="s">
        <v>1387</v>
      </c>
      <c r="F1" s="1280">
        <f ca="1">J53</f>
        <v>31.54</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1515</v>
      </c>
      <c r="B2" s="1840">
        <f ca="1">C40+J29+L46</f>
        <v>145184</v>
      </c>
      <c r="C2" s="1841" t="s">
        <v>1516</v>
      </c>
      <c r="D2" s="1841"/>
      <c r="E2" s="1842"/>
      <c r="F2" s="1843"/>
      <c r="G2" s="1844"/>
      <c r="H2" s="1836"/>
      <c r="I2" s="1836"/>
      <c r="J2" s="1836"/>
      <c r="K2" s="1837"/>
      <c r="L2" s="1836"/>
      <c r="M2" s="1836"/>
    </row>
    <row r="3" spans="1:37" ht="18" customHeight="1" thickBot="1">
      <c r="A3" s="1845" t="s">
        <v>1517</v>
      </c>
      <c r="B3" s="1846">
        <f ca="1">IF(ISERROR(B2*10000/F43),0,ROUND(B2*10000/F43,0))</f>
        <v>32461</v>
      </c>
      <c r="C3" s="1841" t="s">
        <v>1518</v>
      </c>
      <c r="D3" s="1841"/>
      <c r="E3" s="1842"/>
      <c r="F3" s="1843"/>
      <c r="G3" s="1844"/>
      <c r="H3" s="744"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9">
        <f ca="1">C6+C10+C12</f>
        <v>9550</v>
      </c>
      <c r="D5" s="1818" t="s">
        <v>1402</v>
      </c>
      <c r="E5" s="1290"/>
      <c r="F5" s="1291"/>
      <c r="G5" s="1847"/>
      <c r="H5" s="344">
        <v>1</v>
      </c>
      <c r="I5" s="345" t="s">
        <v>1401</v>
      </c>
      <c r="J5" s="1289">
        <f ca="1">J6+J10+J12</f>
        <v>0</v>
      </c>
      <c r="K5" s="1818" t="s">
        <v>1402</v>
      </c>
      <c r="L5" s="1290"/>
      <c r="M5" s="1291"/>
    </row>
    <row r="6" spans="1:37" ht="18" customHeight="1">
      <c r="A6" s="1288" t="s">
        <v>1035</v>
      </c>
      <c r="B6" s="3254" t="s">
        <v>1403</v>
      </c>
      <c r="C6" s="1293">
        <f ca="1">ROUND(F6*F8*F7*(1-F9)/10000,0)</f>
        <v>9550</v>
      </c>
      <c r="D6" s="164" t="s">
        <v>3021</v>
      </c>
      <c r="E6" s="347" t="s">
        <v>1405</v>
      </c>
      <c r="F6" s="348">
        <f ca="1">INDIRECT("'数据-取费表'!u"&amp;$G$1)</f>
        <v>6.5</v>
      </c>
      <c r="G6" s="1847"/>
      <c r="H6" s="1288" t="s">
        <v>1035</v>
      </c>
      <c r="I6" s="3254" t="s">
        <v>1403</v>
      </c>
      <c r="J6" s="346">
        <f ca="1">ROUND(M6*M8*M7*(1-M9)/10000,0)</f>
        <v>0</v>
      </c>
      <c r="K6" s="164" t="s">
        <v>3020</v>
      </c>
      <c r="L6" s="347" t="s">
        <v>1405</v>
      </c>
      <c r="M6" s="348">
        <f ca="1">INDIRECT("'数据-取费表'!z"&amp;$G$1)</f>
        <v>0</v>
      </c>
    </row>
    <row r="7" spans="1:37" ht="18" customHeight="1">
      <c r="A7" s="1292"/>
      <c r="B7" s="3255"/>
      <c r="C7" s="1294"/>
      <c r="D7" s="352"/>
      <c r="E7" s="1295" t="s">
        <v>1406</v>
      </c>
      <c r="F7" s="348">
        <f ca="1">IF(INDIRECT("'数据-取费表'!ah"&amp;$G$1)="",INDIRECT("'数据-取费表'!k"&amp;$G$1),INDIRECT("'数据-取费表'!ah"&amp;$G$1))</f>
        <v>44726.05</v>
      </c>
      <c r="G7" s="1847"/>
      <c r="H7" s="349"/>
      <c r="I7" s="3255"/>
      <c r="J7" s="351"/>
      <c r="K7" s="352"/>
      <c r="L7" s="347" t="s">
        <v>1406</v>
      </c>
      <c r="M7" s="348">
        <f ca="1">F7</f>
        <v>44726.05</v>
      </c>
    </row>
    <row r="8" spans="1:37" ht="18" customHeight="1">
      <c r="A8" s="349"/>
      <c r="B8" s="3255"/>
      <c r="C8" s="351"/>
      <c r="D8" s="352"/>
      <c r="E8" s="347" t="s">
        <v>1407</v>
      </c>
      <c r="F8" s="348">
        <f ca="1">INDIRECT("'数据-取费表'!ai"&amp;$G$1)</f>
        <v>365</v>
      </c>
      <c r="G8" s="1847"/>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47"/>
      <c r="H9" s="349"/>
      <c r="I9" s="3256"/>
      <c r="J9" s="351"/>
      <c r="K9" s="352"/>
      <c r="L9" s="358" t="s">
        <v>1408</v>
      </c>
      <c r="M9" s="359">
        <f ca="1">INDIRECT("'数据-取费表'!ab"&amp;$G$1)</f>
        <v>0</v>
      </c>
    </row>
    <row r="10" spans="1:37" ht="18" customHeight="1">
      <c r="A10" s="1288" t="s">
        <v>1039</v>
      </c>
      <c r="B10" s="1819" t="s">
        <v>1409</v>
      </c>
      <c r="C10" s="361">
        <f ca="1">ROUND(IF(F10="押一",C6/12*F11,IF(F10="押二",C6/12*2*F11,IF(F10="押三",C6/12*3*F11,C11*F11))),0)</f>
        <v>0</v>
      </c>
      <c r="D10" s="1820" t="s">
        <v>3030</v>
      </c>
      <c r="E10" s="358" t="s">
        <v>1410</v>
      </c>
      <c r="F10" s="1363"/>
      <c r="G10" s="1847"/>
      <c r="H10" s="1288" t="s">
        <v>1039</v>
      </c>
      <c r="I10" s="1819" t="s">
        <v>1409</v>
      </c>
      <c r="J10" s="346">
        <f ca="1">ROUND(IF(M10="押一",J6/12*M11,IF(M10="押二",J6/12*2*M11,IF(M10="押三",J6/12*3*M11,J11*M11))),0)</f>
        <v>0</v>
      </c>
      <c r="K10" s="1820" t="s">
        <v>3029</v>
      </c>
      <c r="L10" s="358" t="s">
        <v>1410</v>
      </c>
      <c r="M10" s="1363" t="s">
        <v>1411</v>
      </c>
    </row>
    <row r="11" spans="1:37" ht="18" customHeight="1">
      <c r="A11" s="353"/>
      <c r="B11" s="1821" t="s">
        <v>1388</v>
      </c>
      <c r="C11" s="1175"/>
      <c r="D11" s="1822"/>
      <c r="E11" s="358" t="s">
        <v>1412</v>
      </c>
      <c r="F11" s="359">
        <f ca="1">'数据-取费表'!B39</f>
        <v>1.4999999999999999E-2</v>
      </c>
      <c r="G11" s="1847"/>
      <c r="H11" s="1296"/>
      <c r="I11" s="1821" t="s">
        <v>1388</v>
      </c>
      <c r="J11" s="1175"/>
      <c r="K11" s="748"/>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35051</v>
      </c>
      <c r="D13" s="1328" t="s">
        <v>1415</v>
      </c>
      <c r="E13" s="1328" t="s">
        <v>1416</v>
      </c>
      <c r="F13" s="1329">
        <f ca="1">INDIRECT("'数据-取费表'!y"&amp;$G$1)</f>
        <v>1</v>
      </c>
      <c r="G13" s="1847"/>
      <c r="H13" s="1326">
        <v>2</v>
      </c>
      <c r="I13" s="1327" t="s">
        <v>1414</v>
      </c>
      <c r="J13" s="1287">
        <f ca="1">ROUND(J14*J15,0)</f>
        <v>0</v>
      </c>
      <c r="K13" s="1334" t="s">
        <v>1415</v>
      </c>
      <c r="L13" s="1848"/>
      <c r="M13" s="1849"/>
    </row>
    <row r="14" spans="1:37" ht="18" customHeight="1">
      <c r="A14" s="1198" t="s">
        <v>1034</v>
      </c>
      <c r="B14" s="347" t="s">
        <v>1417</v>
      </c>
      <c r="C14" s="363">
        <f ca="1">INDIRECT("'数据-取费表'!m"&amp;$G$1)+INDIRECT("'数据-取费表'!t"&amp;$G$1)</f>
        <v>20795</v>
      </c>
      <c r="D14" s="1796" t="s">
        <v>1418</v>
      </c>
      <c r="E14" s="1790"/>
      <c r="F14" s="364"/>
      <c r="G14" s="1847"/>
      <c r="H14" s="1198" t="s">
        <v>1035</v>
      </c>
      <c r="I14" s="347" t="s">
        <v>1419</v>
      </c>
      <c r="J14" s="24">
        <f ca="1">C29</f>
        <v>35051</v>
      </c>
      <c r="K14" s="15"/>
      <c r="L14" s="976"/>
      <c r="M14" s="977"/>
    </row>
    <row r="15" spans="1:37" s="1854" customFormat="1" ht="18" customHeight="1" thickBot="1">
      <c r="A15" s="1198" t="s">
        <v>1036</v>
      </c>
      <c r="B15" s="347" t="s">
        <v>1420</v>
      </c>
      <c r="C15" s="24">
        <f ca="1">ROUND(C14*F15,0)</f>
        <v>624</v>
      </c>
      <c r="D15" s="365" t="s">
        <v>1421</v>
      </c>
      <c r="E15" s="365" t="s">
        <v>1422</v>
      </c>
      <c r="F15" s="366">
        <f>'数据-取费表'!B33</f>
        <v>0.03</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7"/>
      <c r="H16" s="1326" t="s">
        <v>1030</v>
      </c>
      <c r="I16" s="1327" t="s">
        <v>1424</v>
      </c>
      <c r="J16" s="355">
        <f ca="1">ROUND(J17+J22+J23+J24,0)</f>
        <v>651</v>
      </c>
      <c r="K16" s="1334" t="s">
        <v>1425</v>
      </c>
      <c r="L16" s="1335"/>
      <c r="M16" s="1291"/>
    </row>
    <row r="17" spans="1:37" s="1854" customFormat="1" ht="18" customHeight="1">
      <c r="A17" s="1198" t="s">
        <v>1390</v>
      </c>
      <c r="B17" s="347" t="s">
        <v>1426</v>
      </c>
      <c r="C17" s="24">
        <f ca="1">ROUND(F17*(F43+INDIRECT("'数据-取费表'!S"&amp;$G$1))/10000,0)</f>
        <v>928</v>
      </c>
      <c r="D17" s="347" t="s">
        <v>1427</v>
      </c>
      <c r="E17" s="347" t="s">
        <v>1428</v>
      </c>
      <c r="F17" s="26">
        <f>'数据-取费表'!B35</f>
        <v>200</v>
      </c>
      <c r="G17" s="1850"/>
      <c r="H17" s="1198" t="s">
        <v>1035</v>
      </c>
      <c r="I17" s="347" t="s">
        <v>1429</v>
      </c>
      <c r="J17" s="24">
        <f ca="1">ROUND(IF(项目基本情况!B11="自然人",J5*M17,J18+J19+J20),1)</f>
        <v>300.60000000000002</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312</v>
      </c>
      <c r="D18" s="347" t="s">
        <v>1421</v>
      </c>
      <c r="E18" s="347" t="s">
        <v>1422</v>
      </c>
      <c r="F18" s="367">
        <f>'数据-取费表'!B36</f>
        <v>1.4999999999999999E-2</v>
      </c>
      <c r="G18" s="1850"/>
      <c r="H18" s="1198" t="s">
        <v>1034</v>
      </c>
      <c r="I18" s="347" t="s">
        <v>1433</v>
      </c>
      <c r="J18" s="24">
        <f ca="1">ROUND(J5*M18/(1+'数据-取费表'!C42),2)</f>
        <v>0</v>
      </c>
      <c r="K18" s="1794"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22659</v>
      </c>
      <c r="D19" s="140" t="s">
        <v>1436</v>
      </c>
      <c r="E19" s="1814"/>
      <c r="F19" s="26"/>
      <c r="G19" s="1847"/>
      <c r="H19" s="1198" t="s">
        <v>1036</v>
      </c>
      <c r="I19" s="347" t="s">
        <v>1437</v>
      </c>
      <c r="J19" s="24">
        <f ca="1">IF(K19="按租金收入计税",ROUND(J5*M19,2),ROUND(C29*M19*0.7,2))</f>
        <v>294.43</v>
      </c>
      <c r="K19" s="1824" t="s">
        <v>1438</v>
      </c>
      <c r="L19" s="347" t="s">
        <v>1422</v>
      </c>
      <c r="M19" s="367">
        <f>IF(K19="按租金收入计税",'数据-取费表'!B51,'数据-取费表'!B50)</f>
        <v>1.2E-2</v>
      </c>
    </row>
    <row r="20" spans="1:37" s="1854" customFormat="1" ht="18" customHeight="1">
      <c r="A20" s="1198" t="s">
        <v>1039</v>
      </c>
      <c r="B20" s="347" t="s">
        <v>1439</v>
      </c>
      <c r="C20" s="24">
        <f ca="1">ROUND(C19*F20,0)</f>
        <v>453</v>
      </c>
      <c r="D20" s="369" t="s">
        <v>1440</v>
      </c>
      <c r="E20" s="347" t="s">
        <v>1422</v>
      </c>
      <c r="F20" s="367">
        <f>'数据-取费表'!B37</f>
        <v>0.02</v>
      </c>
      <c r="G20" s="1850"/>
      <c r="H20" s="1198" t="s">
        <v>1389</v>
      </c>
      <c r="I20" s="164" t="s">
        <v>1441</v>
      </c>
      <c r="J20" s="25">
        <f ca="1">ROUND(M20*M21/10000,2)</f>
        <v>6.17</v>
      </c>
      <c r="K20" s="370" t="s">
        <v>1442</v>
      </c>
      <c r="L20" s="347" t="s">
        <v>1443</v>
      </c>
      <c r="M20" s="371">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18</v>
      </c>
      <c r="D21" s="369" t="s">
        <v>1445</v>
      </c>
      <c r="E21" s="347" t="s">
        <v>1446</v>
      </c>
      <c r="F21" s="367">
        <f>'数据-取费表'!B38</f>
        <v>0.05</v>
      </c>
      <c r="G21" s="1850"/>
      <c r="H21" s="372"/>
      <c r="I21" s="356"/>
      <c r="J21" s="29"/>
      <c r="K21" s="373"/>
      <c r="L21" s="347" t="s">
        <v>1447</v>
      </c>
      <c r="M21" s="348">
        <f ca="1">INDIRECT("'数据-取费表'!r"&amp;$G$1)</f>
        <v>3082.5400000000004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4"/>
      <c r="F22" s="26"/>
      <c r="G22" s="1847"/>
      <c r="H22" s="1198" t="s">
        <v>1039</v>
      </c>
      <c r="I22" s="347" t="s">
        <v>1449</v>
      </c>
      <c r="J22" s="24">
        <f ca="1">ROUND(J14*M22,1)</f>
        <v>350.5</v>
      </c>
      <c r="K22" s="1794" t="s">
        <v>1450</v>
      </c>
      <c r="L22" s="347" t="s">
        <v>1422</v>
      </c>
      <c r="M22" s="374">
        <f ca="1">INDIRECT("'数据-取费表'!Ak"&amp;$G$1)</f>
        <v>0.01</v>
      </c>
    </row>
    <row r="23" spans="1:37" s="1854" customFormat="1" ht="18" customHeight="1">
      <c r="A23" s="1198" t="s">
        <v>1034</v>
      </c>
      <c r="B23" s="347" t="s">
        <v>1451</v>
      </c>
      <c r="C23" s="24">
        <f ca="1">IF('数据-取费表'!B22&lt;=1,ROUND(C19*F24*F23/2,0)+ROUND(C20*F24*F23/2,0),ROUND(C19*(POWER((1+F24),F23/2)-1),0)+ROUND(C20*(POWER((1+F24),F23/2)-1),0))</f>
        <v>1955</v>
      </c>
      <c r="D23" s="375" t="str">
        <f>IF(F23&lt;=1,"(建造成本+管理费用)×利率×(建设周期÷2)","(建造成本+管理费用)×((1+利率)^(建设周期÷2)-1)")</f>
        <v>(建造成本+管理费用)×((1+利率)^(建设周期÷2)-1)</v>
      </c>
      <c r="E23" s="347" t="s">
        <v>1452</v>
      </c>
      <c r="F23" s="371">
        <f>'数据-取费表'!B20</f>
        <v>3.5</v>
      </c>
      <c r="G23" s="1850"/>
      <c r="H23" s="1198" t="s">
        <v>1075</v>
      </c>
      <c r="I23" s="347" t="s">
        <v>1453</v>
      </c>
      <c r="J23" s="24">
        <f ca="1">ROUND(J13*M23,1)</f>
        <v>0</v>
      </c>
      <c r="K23" s="1794" t="s">
        <v>1454</v>
      </c>
      <c r="L23" s="347" t="s">
        <v>1455</v>
      </c>
      <c r="M23" s="376">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1456</v>
      </c>
      <c r="B24" s="347" t="s">
        <v>1457</v>
      </c>
      <c r="C24" s="24">
        <f ca="1">ROUND(IF('数据-取费表'!B22&lt;=1,F21*F24*F23/2,F21*(POWER((1+F24),F23/2)-1)),4)</f>
        <v>4.1999999999999997E-3</v>
      </c>
      <c r="D24" s="375" t="str">
        <f>IF(F23&lt;=1,"销售费用×利率×(建设周期÷2)","销售费用×((1+利率)^(建设周期÷2)-1)")</f>
        <v>销售费用×((1+利率)^(建设周期÷2)-1)</v>
      </c>
      <c r="E24" s="347" t="s">
        <v>1458</v>
      </c>
      <c r="F24" s="377">
        <f ca="1">'数据-取费表'!B40</f>
        <v>4.7500000000000001E-2</v>
      </c>
      <c r="G24" s="1850"/>
      <c r="H24" s="1336" t="s">
        <v>1393</v>
      </c>
      <c r="I24" s="1337" t="s">
        <v>1439</v>
      </c>
      <c r="J24" s="1338">
        <f ca="1">ROUND(J5*M24,1)</f>
        <v>0</v>
      </c>
      <c r="K24" s="1339" t="s">
        <v>1459</v>
      </c>
      <c r="L24" s="1337" t="s">
        <v>1455</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1460</v>
      </c>
      <c r="B25" s="347" t="s">
        <v>1461</v>
      </c>
      <c r="C25" s="24"/>
      <c r="D25" s="140" t="s">
        <v>1462</v>
      </c>
      <c r="E25" s="1814"/>
      <c r="F25" s="26"/>
      <c r="G25" s="1847"/>
      <c r="H25" s="1326" t="s">
        <v>1031</v>
      </c>
      <c r="I25" s="1341" t="s">
        <v>1463</v>
      </c>
      <c r="J25" s="355">
        <f ca="1">J5-J16</f>
        <v>-651</v>
      </c>
      <c r="K25" s="1342" t="s">
        <v>1464</v>
      </c>
      <c r="L25" s="1343"/>
      <c r="M25" s="1344"/>
    </row>
    <row r="26" spans="1:37">
      <c r="A26" s="1198" t="s">
        <v>1034</v>
      </c>
      <c r="B26" s="347" t="s">
        <v>1465</v>
      </c>
      <c r="C26" s="24">
        <f ca="1">ROUND((C19+C20)*F26,0)</f>
        <v>5778</v>
      </c>
      <c r="D26" s="369" t="s">
        <v>1466</v>
      </c>
      <c r="E26" s="358" t="s">
        <v>1467</v>
      </c>
      <c r="F26" s="357">
        <f ca="1">INDIRECT("'数据-取费表'!q"&amp;$G$1)</f>
        <v>0.25</v>
      </c>
      <c r="G26" s="1847"/>
      <c r="H26" s="344" t="s">
        <v>1032</v>
      </c>
      <c r="I26" s="345" t="s">
        <v>1468</v>
      </c>
      <c r="J26" s="346">
        <f ca="1">IF(J5&lt;&gt;0,ROUND(J25*(1-((1+M28)/(1+M26))^M27)/(M26-M28),0),0)</f>
        <v>0</v>
      </c>
      <c r="K26" s="370" t="s">
        <v>1469</v>
      </c>
      <c r="L26" s="347" t="s">
        <v>1470</v>
      </c>
      <c r="M26" s="357">
        <f ca="1">INDIRECT("'数据-取费表'!I"&amp;$G$1)</f>
        <v>0.06</v>
      </c>
    </row>
    <row r="27" spans="1:37" ht="18" customHeight="1">
      <c r="A27" s="1198" t="s">
        <v>1036</v>
      </c>
      <c r="B27" s="347" t="s">
        <v>1471</v>
      </c>
      <c r="C27" s="24">
        <f ca="1">ROUND(F21*F26,4)</f>
        <v>1.2500000000000001E-2</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35051</v>
      </c>
      <c r="D29" s="1339"/>
      <c r="E29" s="1337"/>
      <c r="F29" s="1340"/>
      <c r="G29" s="1850"/>
      <c r="H29" s="380" t="s">
        <v>1033</v>
      </c>
      <c r="I29" s="381" t="s">
        <v>1479</v>
      </c>
      <c r="J29" s="382">
        <f ca="1">ROUND(J26/(1+F40)^F41,0)</f>
        <v>0</v>
      </c>
      <c r="K29" s="383" t="s">
        <v>1480</v>
      </c>
      <c r="L29" s="384"/>
      <c r="M29" s="385">
        <f ca="1">INDIRECT("'数据-取费表'!k"&amp;$G$1)</f>
        <v>44726.05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2238</v>
      </c>
      <c r="D30" s="1334" t="s">
        <v>1425</v>
      </c>
      <c r="E30" s="1335"/>
      <c r="F30" s="1291"/>
      <c r="G30" s="1847"/>
      <c r="H30" s="745"/>
      <c r="I30" s="746"/>
      <c r="J30" s="747"/>
      <c r="K30" s="748"/>
      <c r="L30" s="749"/>
      <c r="M30" s="750"/>
    </row>
    <row r="31" spans="1:37" ht="18" customHeight="1">
      <c r="A31" s="1198" t="s">
        <v>1035</v>
      </c>
      <c r="B31" s="347" t="s">
        <v>1429</v>
      </c>
      <c r="C31" s="24">
        <f ca="1">ROUND(IF(项目基本情况!B11="自然人",C5*F31,C32+C33+C34),1)</f>
        <v>1661.5</v>
      </c>
      <c r="D31" s="1796" t="s">
        <v>1430</v>
      </c>
      <c r="E31" s="1794" t="s">
        <v>1481</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1034</v>
      </c>
      <c r="B32" s="347" t="s">
        <v>1433</v>
      </c>
      <c r="C32" s="24">
        <f ca="1">IF(项目基本情况!B11="自然人","——",ROUND(C5*F32/(1+'数据-取费表'!C42),2))</f>
        <v>509.33</v>
      </c>
      <c r="D32" s="1794" t="s">
        <v>1434</v>
      </c>
      <c r="E32" s="347" t="s">
        <v>1422</v>
      </c>
      <c r="F32" s="377">
        <f>'数据-取费表'!B41</f>
        <v>5.6000000000000001E-2</v>
      </c>
      <c r="G32" s="1847"/>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1146</v>
      </c>
      <c r="D33" s="1824" t="s">
        <v>3079</v>
      </c>
      <c r="E33" s="347" t="s">
        <v>1422</v>
      </c>
      <c r="F33" s="367">
        <f>IF(D33="按票据","——",IF(D33="按租金收入计税",'数据-取费表'!B51,'数据-取费表'!B50))</f>
        <v>0.12</v>
      </c>
      <c r="G33" s="1847"/>
      <c r="H33" s="1855"/>
      <c r="I33" s="1856"/>
      <c r="J33" s="1857"/>
      <c r="K33" s="1858"/>
      <c r="L33" s="1855"/>
      <c r="M33" s="1855"/>
    </row>
    <row r="34" spans="1:18" ht="18" customHeight="1">
      <c r="A34" s="1288" t="s">
        <v>1389</v>
      </c>
      <c r="B34" s="164" t="s">
        <v>1441</v>
      </c>
      <c r="C34" s="25">
        <f ca="1">IF(项目基本情况!B11="自然人","——",ROUND(F34*F35/10000,2))</f>
        <v>6.17</v>
      </c>
      <c r="D34" s="370" t="s">
        <v>1442</v>
      </c>
      <c r="E34" s="347" t="s">
        <v>1443</v>
      </c>
      <c r="F34" s="371">
        <f>'数据-取费表'!B52</f>
        <v>20</v>
      </c>
      <c r="G34" s="1847"/>
      <c r="H34" s="745"/>
      <c r="I34" s="1856"/>
      <c r="J34" s="1857"/>
      <c r="K34" s="1859"/>
      <c r="L34" s="1860"/>
      <c r="M34" s="1860"/>
    </row>
    <row r="35" spans="1:18" ht="18" customHeight="1">
      <c r="A35" s="1350"/>
      <c r="B35" s="1348"/>
      <c r="C35" s="29"/>
      <c r="D35" s="373"/>
      <c r="E35" s="347" t="s">
        <v>1447</v>
      </c>
      <c r="F35" s="348">
        <f ca="1">INDIRECT("'数据-取费表'!r"&amp;$G$1)</f>
        <v>3082.5400000000004</v>
      </c>
      <c r="G35" s="1847"/>
      <c r="H35" s="745"/>
      <c r="I35" s="1856"/>
      <c r="J35" s="1857"/>
      <c r="K35" s="1858"/>
      <c r="L35" s="1855"/>
      <c r="M35" s="1855"/>
    </row>
    <row r="36" spans="1:18" ht="18" customHeight="1">
      <c r="A36" s="1349" t="s">
        <v>1039</v>
      </c>
      <c r="B36" s="347" t="s">
        <v>1449</v>
      </c>
      <c r="C36" s="24">
        <f ca="1">ROUND(C29*F36,1)</f>
        <v>350.5</v>
      </c>
      <c r="D36" s="1794" t="s">
        <v>1482</v>
      </c>
      <c r="E36" s="347" t="s">
        <v>1422</v>
      </c>
      <c r="F36" s="374">
        <f ca="1">INDIRECT("'数据-取费表'!Ak"&amp;$G$1)</f>
        <v>0.01</v>
      </c>
      <c r="G36" s="1847"/>
      <c r="H36" s="1855"/>
      <c r="I36" s="1856"/>
      <c r="J36" s="1857"/>
      <c r="K36" s="751"/>
      <c r="L36" s="1855"/>
      <c r="M36" s="1855"/>
    </row>
    <row r="37" spans="1:18" ht="18" customHeight="1">
      <c r="A37" s="1198" t="s">
        <v>1075</v>
      </c>
      <c r="B37" s="347" t="s">
        <v>1453</v>
      </c>
      <c r="C37" s="24">
        <f ca="1">ROUND(C13*F37,1)</f>
        <v>35.1</v>
      </c>
      <c r="D37" s="1794" t="s">
        <v>1454</v>
      </c>
      <c r="E37" s="347" t="s">
        <v>1455</v>
      </c>
      <c r="F37" s="376">
        <f ca="1">INDIRECT("'数据-取费表'!Al"&amp;$G$1)</f>
        <v>1E-3</v>
      </c>
      <c r="G37" s="1847"/>
      <c r="H37" s="1855"/>
      <c r="I37" s="1856"/>
      <c r="J37" s="1857"/>
      <c r="K37" s="751"/>
      <c r="L37" s="1855"/>
      <c r="M37" s="1855"/>
    </row>
    <row r="38" spans="1:18" ht="18" customHeight="1" thickBot="1">
      <c r="A38" s="1336" t="s">
        <v>1393</v>
      </c>
      <c r="B38" s="1337" t="s">
        <v>1439</v>
      </c>
      <c r="C38" s="1338">
        <f ca="1">ROUND(C5*F38,1)</f>
        <v>191</v>
      </c>
      <c r="D38" s="1339" t="s">
        <v>1459</v>
      </c>
      <c r="E38" s="1337" t="s">
        <v>1455</v>
      </c>
      <c r="F38" s="1333">
        <f ca="1">INDIRECT("'数据-取费表'!Am"&amp;$G$1)</f>
        <v>0.02</v>
      </c>
      <c r="G38" s="1847"/>
      <c r="H38" s="1855"/>
      <c r="I38" s="1856"/>
      <c r="J38" s="1857"/>
      <c r="K38" s="1861"/>
      <c r="L38" s="1855"/>
      <c r="M38" s="1855"/>
    </row>
    <row r="39" spans="1:18" ht="24.6" customHeight="1" thickTop="1">
      <c r="A39" s="1326" t="s">
        <v>1031</v>
      </c>
      <c r="B39" s="1341" t="s">
        <v>1483</v>
      </c>
      <c r="C39" s="355">
        <f ca="1">C5-C30</f>
        <v>7312</v>
      </c>
      <c r="D39" s="1342" t="s">
        <v>1484</v>
      </c>
      <c r="E39" s="1343"/>
      <c r="F39" s="1344"/>
      <c r="G39" s="1847"/>
      <c r="H39" s="1855"/>
      <c r="I39" s="1856"/>
      <c r="J39" s="1857"/>
      <c r="K39" s="1861"/>
      <c r="L39" s="1855"/>
      <c r="M39" s="1855"/>
    </row>
    <row r="40" spans="1:18" ht="18" customHeight="1">
      <c r="A40" s="344" t="s">
        <v>1032</v>
      </c>
      <c r="B40" s="345" t="s">
        <v>1485</v>
      </c>
      <c r="C40" s="346">
        <f ca="1">ROUND(C39*(1-((1+F42)/(1+F40))^F41)/(F40-F42),0)</f>
        <v>145184</v>
      </c>
      <c r="D40" s="370" t="s">
        <v>1469</v>
      </c>
      <c r="E40" s="347" t="s">
        <v>1470</v>
      </c>
      <c r="F40" s="357">
        <f ca="1">INDIRECT("'数据-取费表'!I"&amp;$G$1)</f>
        <v>0.06</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31.54</v>
      </c>
      <c r="G41" s="1847"/>
      <c r="H41" s="732"/>
      <c r="I41" s="1856"/>
      <c r="J41" s="1857"/>
      <c r="K41" s="751"/>
      <c r="L41" s="732"/>
      <c r="M41" s="732"/>
    </row>
    <row r="42" spans="1:18" ht="18" customHeight="1">
      <c r="A42" s="353"/>
      <c r="B42" s="354"/>
      <c r="C42" s="355"/>
      <c r="D42" s="373"/>
      <c r="E42" s="347" t="s">
        <v>1477</v>
      </c>
      <c r="F42" s="357">
        <f ca="1">INDIRECT("'数据-取费表'!v"&amp;$G$1)</f>
        <v>0.03</v>
      </c>
      <c r="G42" s="1847"/>
      <c r="H42" s="732"/>
      <c r="I42" s="1856"/>
      <c r="J42" s="1857"/>
      <c r="K42" s="751"/>
      <c r="L42" s="732"/>
      <c r="M42" s="732"/>
    </row>
    <row r="43" spans="1:18" ht="18" customHeight="1" thickBot="1">
      <c r="A43" s="380" t="s">
        <v>1033</v>
      </c>
      <c r="B43" s="381" t="s">
        <v>1487</v>
      </c>
      <c r="C43" s="382">
        <f ca="1">ROUND(C40*10000/F43,0)</f>
        <v>32461</v>
      </c>
      <c r="D43" s="383" t="s">
        <v>1488</v>
      </c>
      <c r="E43" s="384" t="s">
        <v>1489</v>
      </c>
      <c r="F43" s="385">
        <f ca="1">INDIRECT("'数据-取费表'!k"&amp;$G$1)</f>
        <v>44726.05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1519</v>
      </c>
      <c r="P45" s="1835"/>
      <c r="Q45" s="1835"/>
      <c r="R45" s="1835"/>
    </row>
    <row r="46" spans="1:18" s="1838" customFormat="1" ht="13.5" thickBot="1">
      <c r="A46" s="1866" t="s">
        <v>1520</v>
      </c>
      <c r="C46" s="1867">
        <f ca="1">C68-C40</f>
        <v>-191934</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2" t="s">
        <v>1396</v>
      </c>
      <c r="B47" s="1194" t="s">
        <v>1397</v>
      </c>
      <c r="C47" s="1364" t="s">
        <v>1398</v>
      </c>
      <c r="D47" s="1194" t="s">
        <v>1399</v>
      </c>
      <c r="E47" s="1276" t="s">
        <v>1400</v>
      </c>
      <c r="F47" s="1277"/>
      <c r="G47" s="792"/>
      <c r="I47" s="1876" t="s">
        <v>1526</v>
      </c>
      <c r="J47" s="1877" t="s">
        <v>3077</v>
      </c>
      <c r="K47" s="1878" t="s">
        <v>1527</v>
      </c>
      <c r="L47" s="1879">
        <f ca="1">INDIRECT("'数据-取费表'!d"&amp;$G$1)</f>
        <v>40</v>
      </c>
      <c r="M47" s="1834" t="str">
        <f>IF(ISNUMBER(FIND("住宅",C1)),"住宅","非住宅")</f>
        <v>非住宅</v>
      </c>
      <c r="O47" s="1880" t="s">
        <v>1040</v>
      </c>
      <c r="P47" s="1881" t="s">
        <v>1528</v>
      </c>
      <c r="Q47" s="1882">
        <f ca="1">C40+J29</f>
        <v>145184</v>
      </c>
      <c r="R47" s="1882" t="s">
        <v>1529</v>
      </c>
    </row>
    <row r="48" spans="1:18" s="1838" customFormat="1" ht="28.5" thickBot="1">
      <c r="A48" s="1357" t="s">
        <v>1135</v>
      </c>
      <c r="B48" s="345" t="s">
        <v>1401</v>
      </c>
      <c r="C48" s="1813">
        <f ca="1">C49+C53+C55</f>
        <v>0</v>
      </c>
      <c r="D48" s="1359"/>
      <c r="E48" s="1360"/>
      <c r="F48" s="1178"/>
      <c r="G48" s="792"/>
      <c r="H48" s="793"/>
      <c r="I48" s="1883" t="s">
        <v>1530</v>
      </c>
      <c r="J48" s="1884" t="s">
        <v>3078</v>
      </c>
      <c r="K48" s="1885" t="s">
        <v>1531</v>
      </c>
      <c r="L48" s="1886">
        <f ca="1">INDIRECT("'数据-取费表'!f"&amp;$G$1)</f>
        <v>33.04</v>
      </c>
      <c r="O48" s="1880" t="s">
        <v>1041</v>
      </c>
      <c r="P48" s="1881" t="s">
        <v>1532</v>
      </c>
      <c r="Q48" s="1882" t="str">
        <f ca="1">J60</f>
        <v>0</v>
      </c>
      <c r="R48" s="1882" t="s">
        <v>1533</v>
      </c>
    </row>
    <row r="49" spans="1:18" s="1838" customFormat="1" ht="13.5" thickBot="1">
      <c r="A49" s="1191" t="s">
        <v>1136</v>
      </c>
      <c r="B49" s="1825" t="s">
        <v>1490</v>
      </c>
      <c r="C49" s="1361">
        <f ca="1">ROUND(F49*F51*F50*(1-F52)/10000,0)</f>
        <v>0</v>
      </c>
      <c r="D49" s="1273" t="s">
        <v>3022</v>
      </c>
      <c r="E49" s="1826" t="s">
        <v>1491</v>
      </c>
      <c r="F49" s="1278"/>
      <c r="G49" s="1887"/>
      <c r="H49" s="793"/>
      <c r="I49" s="1883" t="s">
        <v>1534</v>
      </c>
      <c r="J49" s="1888"/>
      <c r="K49" s="1885" t="s">
        <v>1535</v>
      </c>
      <c r="L49" s="1889"/>
      <c r="O49" s="1890" t="s">
        <v>1042</v>
      </c>
      <c r="P49" s="1881" t="s">
        <v>1536</v>
      </c>
      <c r="Q49" s="1882">
        <f ca="1">C29</f>
        <v>35051</v>
      </c>
      <c r="R49" s="1882" t="s">
        <v>1529</v>
      </c>
    </row>
    <row r="50" spans="1:18" s="1838" customFormat="1" ht="13.5" thickBot="1">
      <c r="A50" s="1192"/>
      <c r="B50" s="1195"/>
      <c r="C50" s="1365"/>
      <c r="D50" s="1169"/>
      <c r="E50" s="1274" t="s">
        <v>1406</v>
      </c>
      <c r="F50" s="1275">
        <f ca="1">F7</f>
        <v>44726.05</v>
      </c>
      <c r="H50" s="793"/>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3"/>
      <c r="B51" s="1195"/>
      <c r="C51" s="1196"/>
      <c r="D51" s="1169"/>
      <c r="E51" s="1197" t="s">
        <v>1407</v>
      </c>
      <c r="F51" s="348">
        <f ca="1">F8</f>
        <v>365</v>
      </c>
      <c r="I51" s="1894" t="s">
        <v>1540</v>
      </c>
      <c r="J51" s="1895">
        <f>IF(J49="",J50,J49+J50-YEAR('数据-取费表'!B2))</f>
        <v>60</v>
      </c>
      <c r="K51" s="1896" t="s">
        <v>1541</v>
      </c>
      <c r="L51" s="1897">
        <f ca="1">ROUND(-PV(INDIRECT("'数据-取费表'!h"&amp;$G$1),L48,(C39-C13*C76),0),0)</f>
        <v>69367</v>
      </c>
      <c r="M51" s="1898"/>
      <c r="O51" s="1890" t="s">
        <v>1044</v>
      </c>
      <c r="P51" s="1881" t="s">
        <v>1542</v>
      </c>
      <c r="Q51" s="1893">
        <f>J52</f>
        <v>0</v>
      </c>
      <c r="R51" s="1882"/>
    </row>
    <row r="52" spans="1:18" s="1838" customFormat="1" ht="13.5" thickBot="1">
      <c r="A52" s="1193"/>
      <c r="B52" s="1195"/>
      <c r="C52" s="1196"/>
      <c r="D52" s="1169"/>
      <c r="E52" s="1197" t="s">
        <v>1408</v>
      </c>
      <c r="F52" s="1272"/>
      <c r="I52" s="1899" t="s">
        <v>1543</v>
      </c>
      <c r="J52" s="1900"/>
      <c r="K52" s="1899" t="s">
        <v>1544</v>
      </c>
      <c r="L52" s="1900"/>
      <c r="O52" s="1890" t="s">
        <v>1045</v>
      </c>
      <c r="P52" s="1881" t="s">
        <v>1545</v>
      </c>
      <c r="Q52" s="1882">
        <f ca="1">J53</f>
        <v>31.54</v>
      </c>
      <c r="R52" s="1882" t="s">
        <v>1546</v>
      </c>
    </row>
    <row r="53" spans="1:18" s="1838" customFormat="1" ht="24.75" thickBot="1">
      <c r="A53" s="1402" t="s">
        <v>1137</v>
      </c>
      <c r="B53" s="1827" t="s">
        <v>1409</v>
      </c>
      <c r="C53" s="361">
        <f ca="1">ROUND(IF(F53="押一",C49/12*F11,IF(F53="押二",C49/12*2*F11,IF(F53="押三",C49/12*3*F11,C54*F11))),0)</f>
        <v>0</v>
      </c>
      <c r="D53" s="1820" t="s">
        <v>3029</v>
      </c>
      <c r="E53" s="358" t="s">
        <v>1410</v>
      </c>
      <c r="F53" s="1363"/>
      <c r="I53" s="1901" t="s">
        <v>1547</v>
      </c>
      <c r="J53" s="1902">
        <f ca="1">IF(M47="住宅",IF(D1="——",MAX(J51,L48),IF(D1="在建（套用方法）",MAX(J51,L48-'数据-取费表'!B24),MAX(J51,L48-'数据-取费表'!B20))),IF(D1="——",MIN(J51,L48),IF(D1="在建（套用方法）",MIN(J51,L48-'数据-取费表'!B24),IF(D1="土地（套用方法）",MIN(J51,L48-'数据-取费表'!B20)))))</f>
        <v>31.54</v>
      </c>
      <c r="K53" s="3252" t="s">
        <v>1548</v>
      </c>
      <c r="L53" s="3253"/>
      <c r="O53" s="1880" t="s">
        <v>1046</v>
      </c>
      <c r="P53" s="1881" t="s">
        <v>1549</v>
      </c>
      <c r="Q53" s="1882">
        <f ca="1">Q47+Q48</f>
        <v>145184</v>
      </c>
      <c r="R53" s="1882" t="s">
        <v>1047</v>
      </c>
    </row>
    <row r="54" spans="1:18" s="1838" customFormat="1" ht="13.5" thickBot="1">
      <c r="A54" s="1403"/>
      <c r="B54" s="1821" t="s">
        <v>1388</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3">
        <v>2</v>
      </c>
      <c r="B56" s="1174" t="s">
        <v>1414</v>
      </c>
      <c r="C56" s="276">
        <f ca="1">C13</f>
        <v>35051</v>
      </c>
      <c r="D56" s="1910"/>
      <c r="E56" s="1911"/>
      <c r="F56" s="1903"/>
      <c r="I56" s="1912" t="s">
        <v>1554</v>
      </c>
      <c r="J56" s="1913" t="s">
        <v>3044</v>
      </c>
      <c r="K56" s="1883" t="s">
        <v>1555</v>
      </c>
      <c r="L56" s="1886" t="str">
        <f ca="1">IF(L48&lt;J51,"——",L48-J53)</f>
        <v>——</v>
      </c>
      <c r="O56" s="1880" t="s">
        <v>1040</v>
      </c>
      <c r="P56" s="1881" t="s">
        <v>1528</v>
      </c>
      <c r="Q56" s="1882">
        <f ca="1">C40+J29</f>
        <v>145184</v>
      </c>
      <c r="R56" s="1882" t="s">
        <v>1529</v>
      </c>
    </row>
    <row r="57" spans="1:18" s="1838" customFormat="1" ht="24.75" thickBot="1">
      <c r="A57" s="1914"/>
      <c r="B57" s="1166" t="s">
        <v>1478</v>
      </c>
      <c r="C57" s="282">
        <f ca="1">C29</f>
        <v>35051</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4" t="s">
        <v>1424</v>
      </c>
      <c r="C58" s="361">
        <f ca="1">ROUND(C59+C64+C65+C66,0)</f>
        <v>3336</v>
      </c>
      <c r="D58" s="1176" t="s">
        <v>1425</v>
      </c>
      <c r="E58" s="1177"/>
      <c r="F58" s="1178"/>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ROUND(IF(项目基本情况!B11="自然人",C48*F59,C60+C61+C62),1)</f>
        <v>2950.5</v>
      </c>
      <c r="D59" s="1179" t="s">
        <v>1430</v>
      </c>
      <c r="E59" s="1180" t="s">
        <v>1431</v>
      </c>
      <c r="F59" s="368"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8" t="s">
        <v>1492</v>
      </c>
      <c r="B61" s="1166" t="s">
        <v>1493</v>
      </c>
      <c r="C61" s="24">
        <f ca="1">IF(项目基本情况!B11="自然人","——",IF(D61="按租金收入计税",ROUND(C48*F61,2),IF(D61="按房产原值计税",ROUND(C57*F61*0.7,2),INDIRECT("'数据-取费表'!Aj"&amp;$G$1))))</f>
        <v>2944.28</v>
      </c>
      <c r="D61" s="1824" t="s">
        <v>1438</v>
      </c>
      <c r="E61" s="1166" t="s">
        <v>1494</v>
      </c>
      <c r="F61" s="367">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8" t="s">
        <v>1495</v>
      </c>
      <c r="B62" s="1165" t="s">
        <v>1496</v>
      </c>
      <c r="C62" s="25">
        <f ca="1">IF(项目基本情况!B11="自然人","——",ROUND(F62*F63/10000,2))</f>
        <v>6.17</v>
      </c>
      <c r="D62" s="1181" t="s">
        <v>1497</v>
      </c>
      <c r="E62" s="1166" t="s">
        <v>1498</v>
      </c>
      <c r="F62" s="371">
        <f t="shared" si="0"/>
        <v>20</v>
      </c>
      <c r="I62" s="1925" t="s">
        <v>1570</v>
      </c>
      <c r="J62" s="1926" t="s">
        <v>1571</v>
      </c>
      <c r="K62" s="1926" t="s">
        <v>1572</v>
      </c>
      <c r="L62" s="1926" t="s">
        <v>1573</v>
      </c>
      <c r="M62" s="1927" t="s">
        <v>1574</v>
      </c>
      <c r="O62" s="1880" t="s">
        <v>1046</v>
      </c>
      <c r="P62" s="1881" t="s">
        <v>1575</v>
      </c>
      <c r="Q62" s="1882">
        <f ca="1">Q56+Q57</f>
        <v>145184</v>
      </c>
      <c r="R62" s="1882" t="s">
        <v>1047</v>
      </c>
    </row>
    <row r="63" spans="1:18" s="1838" customFormat="1" ht="13.5" thickBot="1">
      <c r="A63" s="372"/>
      <c r="B63" s="1172"/>
      <c r="C63" s="29"/>
      <c r="D63" s="1182"/>
      <c r="E63" s="1166" t="s">
        <v>1499</v>
      </c>
      <c r="F63" s="348">
        <f t="shared" ca="1" si="0"/>
        <v>3082.5400000000004</v>
      </c>
      <c r="I63" s="1925" t="s">
        <v>1576</v>
      </c>
      <c r="J63" s="1926">
        <v>70</v>
      </c>
      <c r="K63" s="1926">
        <v>50</v>
      </c>
      <c r="L63" s="1926">
        <v>80</v>
      </c>
      <c r="M63" s="1928">
        <v>0.02</v>
      </c>
      <c r="O63" s="1865" t="s">
        <v>1577</v>
      </c>
      <c r="P63" s="1835"/>
      <c r="Q63" s="1835"/>
      <c r="R63" s="1835"/>
    </row>
    <row r="64" spans="1:18" s="1838" customFormat="1" ht="13.5" thickBot="1">
      <c r="A64" s="1198" t="s">
        <v>1500</v>
      </c>
      <c r="B64" s="1166" t="s">
        <v>1501</v>
      </c>
      <c r="C64" s="24">
        <f ca="1">ROUND(C57*F64,1)</f>
        <v>350.5</v>
      </c>
      <c r="D64" s="1180" t="s">
        <v>1502</v>
      </c>
      <c r="E64" s="1166" t="s">
        <v>1494</v>
      </c>
      <c r="F64" s="374">
        <f t="shared" ca="1" si="0"/>
        <v>0.01</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ROUND(C56*F65,1)</f>
        <v>35.1</v>
      </c>
      <c r="D65" s="1180" t="s">
        <v>1454</v>
      </c>
      <c r="E65" s="1166" t="s">
        <v>1455</v>
      </c>
      <c r="F65" s="376">
        <f t="shared" ca="1" si="0"/>
        <v>1E-3</v>
      </c>
      <c r="I65" s="1925" t="s">
        <v>1579</v>
      </c>
      <c r="J65" s="1926">
        <v>40</v>
      </c>
      <c r="K65" s="1926">
        <v>30</v>
      </c>
      <c r="L65" s="1926">
        <v>50</v>
      </c>
      <c r="M65" s="1928">
        <v>0.02</v>
      </c>
      <c r="O65" s="1880" t="s">
        <v>1040</v>
      </c>
      <c r="P65" s="1881" t="s">
        <v>1580</v>
      </c>
      <c r="Q65" s="1882">
        <f ca="1">C40+J29</f>
        <v>145184</v>
      </c>
      <c r="R65" s="1882" t="s">
        <v>1529</v>
      </c>
    </row>
    <row r="66" spans="1:18" s="1838" customFormat="1" ht="16.5" thickBot="1">
      <c r="A66" s="1198" t="s">
        <v>1504</v>
      </c>
      <c r="B66" s="1166" t="s">
        <v>1439</v>
      </c>
      <c r="C66" s="24">
        <f ca="1">ROUND(C48*F66,1)</f>
        <v>0</v>
      </c>
      <c r="D66" s="1180" t="s">
        <v>1505</v>
      </c>
      <c r="E66" s="1166" t="s">
        <v>1422</v>
      </c>
      <c r="F66" s="357">
        <f t="shared" ca="1" si="0"/>
        <v>0.02</v>
      </c>
      <c r="O66" s="1880" t="s">
        <v>1041</v>
      </c>
      <c r="P66" s="1881" t="s">
        <v>1558</v>
      </c>
      <c r="Q66" s="1882">
        <f ca="1">L60</f>
        <v>0</v>
      </c>
      <c r="R66" s="1882" t="s">
        <v>1581</v>
      </c>
    </row>
    <row r="67" spans="1:18" s="1838" customFormat="1" ht="16.5" thickBot="1">
      <c r="A67" s="1173" t="s">
        <v>1031</v>
      </c>
      <c r="B67" s="1183" t="s">
        <v>1463</v>
      </c>
      <c r="C67" s="361">
        <f ca="1">C48-C58</f>
        <v>-3336</v>
      </c>
      <c r="D67" s="1179" t="s">
        <v>1464</v>
      </c>
      <c r="E67" s="1184"/>
      <c r="F67" s="1185"/>
      <c r="O67" s="1890" t="s">
        <v>1042</v>
      </c>
      <c r="P67" s="1881" t="s">
        <v>1562</v>
      </c>
      <c r="Q67" s="1929">
        <f ca="1">L51</f>
        <v>69367</v>
      </c>
      <c r="R67" s="1882" t="s">
        <v>1582</v>
      </c>
    </row>
    <row r="68" spans="1:18" s="1838" customFormat="1" ht="16.5" thickBot="1">
      <c r="A68" s="1163" t="s">
        <v>1032</v>
      </c>
      <c r="B68" s="1164" t="s">
        <v>1485</v>
      </c>
      <c r="C68" s="346">
        <f ca="1">ROUND(C67*(1-((1+F70)/(1+F68))^F69)/(F68-F70),0)</f>
        <v>-46750</v>
      </c>
      <c r="D68" s="1181" t="s">
        <v>1469</v>
      </c>
      <c r="E68" s="1166" t="s">
        <v>1470</v>
      </c>
      <c r="F68" s="357">
        <f ca="1">F40</f>
        <v>0.06</v>
      </c>
      <c r="O68" s="1890" t="s">
        <v>1043</v>
      </c>
      <c r="P68" s="1930" t="s">
        <v>1583</v>
      </c>
      <c r="Q68" s="1882">
        <f ca="1">ROUND(Q69-Q70*Q71,0)</f>
        <v>4333</v>
      </c>
      <c r="R68" s="1882" t="s">
        <v>1051</v>
      </c>
    </row>
    <row r="69" spans="1:18" s="1838" customFormat="1" ht="13.5" thickBot="1">
      <c r="A69" s="1167"/>
      <c r="B69" s="1168"/>
      <c r="C69" s="351"/>
      <c r="D69" s="1186" t="s">
        <v>1473</v>
      </c>
      <c r="E69" s="1166" t="s">
        <v>1474</v>
      </c>
      <c r="F69" s="379">
        <f ca="1">F41</f>
        <v>31.54</v>
      </c>
      <c r="O69" s="1890" t="s">
        <v>1048</v>
      </c>
      <c r="P69" s="1930" t="s">
        <v>1584</v>
      </c>
      <c r="Q69" s="1882">
        <f ca="1">C39</f>
        <v>7312</v>
      </c>
      <c r="R69" s="1882" t="s">
        <v>1529</v>
      </c>
    </row>
    <row r="70" spans="1:18" s="1838" customFormat="1" ht="13.5" thickBot="1">
      <c r="A70" s="1170"/>
      <c r="B70" s="1171"/>
      <c r="C70" s="355"/>
      <c r="D70" s="1182"/>
      <c r="E70" s="1166" t="s">
        <v>1477</v>
      </c>
      <c r="F70" s="1272"/>
      <c r="O70" s="1890" t="s">
        <v>1049</v>
      </c>
      <c r="P70" s="1930" t="s">
        <v>1585</v>
      </c>
      <c r="Q70" s="1882">
        <f ca="1">C13</f>
        <v>35051</v>
      </c>
      <c r="R70" s="1882" t="s">
        <v>1529</v>
      </c>
    </row>
    <row r="71" spans="1:18" s="1838" customFormat="1" ht="13.5" thickBot="1">
      <c r="A71" s="1187" t="s">
        <v>1033</v>
      </c>
      <c r="B71" s="1188" t="s">
        <v>1487</v>
      </c>
      <c r="C71" s="382">
        <f ca="1">ROUND(C68*10000/F71,0)</f>
        <v>-10453</v>
      </c>
      <c r="D71" s="1189" t="s">
        <v>1488</v>
      </c>
      <c r="E71" s="1190" t="s">
        <v>1489</v>
      </c>
      <c r="F71" s="385">
        <f ca="1">F43</f>
        <v>44726.05</v>
      </c>
      <c r="O71" s="1890" t="s">
        <v>1050</v>
      </c>
      <c r="P71" s="1930" t="s">
        <v>1586</v>
      </c>
      <c r="Q71" s="1893">
        <f ca="1">C76</f>
        <v>8.5000000000000006E-2</v>
      </c>
      <c r="R71" s="1882"/>
    </row>
    <row r="72" spans="1:18" s="1838" customFormat="1" ht="13.5" thickBot="1">
      <c r="B72" s="796"/>
      <c r="C72" s="796"/>
      <c r="O72" s="1890" t="s">
        <v>1044</v>
      </c>
      <c r="P72" s="1881" t="s">
        <v>1564</v>
      </c>
      <c r="Q72" s="1893">
        <f>L52</f>
        <v>0</v>
      </c>
      <c r="R72" s="1882"/>
    </row>
    <row r="73" spans="1:18" ht="16.5" thickBot="1">
      <c r="A73" s="1838"/>
      <c r="B73" s="796"/>
      <c r="C73" s="796"/>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6" t="s">
        <v>1506</v>
      </c>
      <c r="C75" s="387">
        <f ca="1">ROUND(C13*C76,0)</f>
        <v>2979</v>
      </c>
      <c r="D75" s="1838"/>
      <c r="E75" s="1838"/>
      <c r="F75" s="1838"/>
      <c r="K75" s="1864"/>
      <c r="L75" s="1838"/>
      <c r="O75" s="1880" t="s">
        <v>1046</v>
      </c>
      <c r="P75" s="1881" t="s">
        <v>1549</v>
      </c>
      <c r="Q75" s="1882">
        <f ca="1">Q65+Q66</f>
        <v>145184</v>
      </c>
      <c r="R75" s="1882" t="s">
        <v>1047</v>
      </c>
    </row>
    <row r="76" spans="1:18">
      <c r="B76" s="388" t="s">
        <v>1507</v>
      </c>
      <c r="C76" s="389">
        <f ca="1">INDIRECT("'数据-取费表'!j"&amp;$G$1)</f>
        <v>8.5000000000000006E-2</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0.59299999999999997</v>
      </c>
    </row>
    <row r="80" spans="1:18">
      <c r="B80" s="386" t="s">
        <v>1511</v>
      </c>
      <c r="C80" s="318">
        <f ca="1">ROUND(C75/C39,3)</f>
        <v>0.40699999999999997</v>
      </c>
    </row>
    <row r="81" spans="2:3">
      <c r="B81" s="314" t="s">
        <v>1512</v>
      </c>
      <c r="C81" s="282"/>
    </row>
    <row r="82" spans="2:3">
      <c r="B82" s="317" t="s">
        <v>1513</v>
      </c>
      <c r="C82" s="319">
        <f ca="1">1-C83</f>
        <v>0.75900000000000001</v>
      </c>
    </row>
    <row r="83" spans="2:3">
      <c r="B83" s="317" t="s">
        <v>1514</v>
      </c>
      <c r="C83" s="318">
        <f ca="1">ROUND(C13/C40,3)</f>
        <v>0.24099999999999999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E19" sqref="E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2"/>
      <c r="C1" s="1833" t="s">
        <v>3075</v>
      </c>
      <c r="D1" s="1816" t="s">
        <v>3080</v>
      </c>
      <c r="E1" s="1817" t="s">
        <v>1387</v>
      </c>
      <c r="F1" s="1280">
        <f ca="1">J53</f>
        <v>31.54</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1515</v>
      </c>
      <c r="B2" s="1840">
        <f ca="1">C40+J29+L46</f>
        <v>80137</v>
      </c>
      <c r="C2" s="1841" t="s">
        <v>1516</v>
      </c>
      <c r="D2" s="1841"/>
      <c r="E2" s="1842"/>
      <c r="F2" s="1843"/>
      <c r="G2" s="1844"/>
      <c r="H2" s="1836"/>
      <c r="I2" s="1836"/>
      <c r="J2" s="1836"/>
      <c r="K2" s="1837"/>
      <c r="L2" s="1836"/>
      <c r="M2" s="1836"/>
    </row>
    <row r="3" spans="1:37" ht="18" customHeight="1" thickBot="1">
      <c r="A3" s="1845" t="s">
        <v>1517</v>
      </c>
      <c r="B3" s="1846">
        <f ca="1">IF(ISERROR(B2*10000/F43),0,ROUND(B2*10000/F43,0))</f>
        <v>24568</v>
      </c>
      <c r="C3" s="1841" t="s">
        <v>1518</v>
      </c>
      <c r="D3" s="1841"/>
      <c r="E3" s="1842"/>
      <c r="F3" s="1843"/>
      <c r="G3" s="1844"/>
      <c r="H3" s="744"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9">
        <f ca="1">C6+C10+C12</f>
        <v>5358</v>
      </c>
      <c r="D5" s="1818" t="s">
        <v>1402</v>
      </c>
      <c r="E5" s="1290"/>
      <c r="F5" s="1291"/>
      <c r="G5" s="1847"/>
      <c r="H5" s="344">
        <v>1</v>
      </c>
      <c r="I5" s="345" t="s">
        <v>1401</v>
      </c>
      <c r="J5" s="1289">
        <f ca="1">J6+J10+J12</f>
        <v>0</v>
      </c>
      <c r="K5" s="1818" t="s">
        <v>1402</v>
      </c>
      <c r="L5" s="1290"/>
      <c r="M5" s="1291"/>
    </row>
    <row r="6" spans="1:37" ht="18" customHeight="1">
      <c r="A6" s="1288" t="s">
        <v>1035</v>
      </c>
      <c r="B6" s="3254" t="s">
        <v>1403</v>
      </c>
      <c r="C6" s="1293">
        <f ca="1">ROUND(F6*F8*F7*(1-F9)/10000,0)</f>
        <v>5358</v>
      </c>
      <c r="D6" s="164" t="s">
        <v>3021</v>
      </c>
      <c r="E6" s="347" t="s">
        <v>1405</v>
      </c>
      <c r="F6" s="348">
        <f ca="1">INDIRECT("'数据-取费表'!u"&amp;$G$1)</f>
        <v>5</v>
      </c>
      <c r="G6" s="1847"/>
      <c r="H6" s="1288" t="s">
        <v>1035</v>
      </c>
      <c r="I6" s="3254" t="s">
        <v>1403</v>
      </c>
      <c r="J6" s="346">
        <f ca="1">ROUND(M6*M8*M7*(1-M9)/10000,0)</f>
        <v>0</v>
      </c>
      <c r="K6" s="164" t="s">
        <v>3020</v>
      </c>
      <c r="L6" s="347" t="s">
        <v>1405</v>
      </c>
      <c r="M6" s="348">
        <f ca="1">INDIRECT("'数据-取费表'!z"&amp;$G$1)</f>
        <v>0</v>
      </c>
    </row>
    <row r="7" spans="1:37" ht="18" customHeight="1">
      <c r="A7" s="1292"/>
      <c r="B7" s="3255"/>
      <c r="C7" s="1294"/>
      <c r="D7" s="352"/>
      <c r="E7" s="2947" t="s">
        <v>1406</v>
      </c>
      <c r="F7" s="348">
        <f ca="1">IF(INDIRECT("'数据-取费表'!ah"&amp;$G$1)="",INDIRECT("'数据-取费表'!k"&amp;$G$1),INDIRECT("'数据-取费表'!ah"&amp;$G$1))</f>
        <v>32618.32</v>
      </c>
      <c r="G7" s="1847"/>
      <c r="H7" s="349"/>
      <c r="I7" s="3255"/>
      <c r="J7" s="351"/>
      <c r="K7" s="352"/>
      <c r="L7" s="347" t="s">
        <v>1406</v>
      </c>
      <c r="M7" s="348">
        <f ca="1">F7</f>
        <v>32618.32</v>
      </c>
    </row>
    <row r="8" spans="1:37" ht="18" customHeight="1">
      <c r="A8" s="349"/>
      <c r="B8" s="3255"/>
      <c r="C8" s="351"/>
      <c r="D8" s="352"/>
      <c r="E8" s="347" t="s">
        <v>1407</v>
      </c>
      <c r="F8" s="348">
        <f ca="1">INDIRECT("'数据-取费表'!ai"&amp;$G$1)</f>
        <v>365</v>
      </c>
      <c r="G8" s="1847"/>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47"/>
      <c r="H9" s="349"/>
      <c r="I9" s="3256"/>
      <c r="J9" s="351"/>
      <c r="K9" s="352"/>
      <c r="L9" s="358" t="s">
        <v>1408</v>
      </c>
      <c r="M9" s="359">
        <f ca="1">INDIRECT("'数据-取费表'!ab"&amp;$G$1)</f>
        <v>0</v>
      </c>
    </row>
    <row r="10" spans="1:37" ht="18" customHeight="1">
      <c r="A10" s="1288" t="s">
        <v>1039</v>
      </c>
      <c r="B10" s="1819" t="s">
        <v>1409</v>
      </c>
      <c r="C10" s="361">
        <f ca="1">ROUND(IF(F10="押一",C6/12*F11,IF(F10="押二",C6/12*2*F11,IF(F10="押三",C6/12*3*F11,C11*F11))),0)</f>
        <v>0</v>
      </c>
      <c r="D10" s="1820" t="s">
        <v>3029</v>
      </c>
      <c r="E10" s="358" t="s">
        <v>1410</v>
      </c>
      <c r="F10" s="1363"/>
      <c r="G10" s="1847"/>
      <c r="H10" s="1288" t="s">
        <v>1039</v>
      </c>
      <c r="I10" s="1819" t="s">
        <v>1409</v>
      </c>
      <c r="J10" s="346">
        <f ca="1">ROUND(IF(M10="押一",J6/12*M11,IF(M10="押二",J6/12*2*M11,IF(M10="押三",J6/12*3*M11,J11*M11))),0)</f>
        <v>0</v>
      </c>
      <c r="K10" s="1820" t="s">
        <v>3029</v>
      </c>
      <c r="L10" s="358" t="s">
        <v>1410</v>
      </c>
      <c r="M10" s="1363" t="s">
        <v>1411</v>
      </c>
    </row>
    <row r="11" spans="1:37" ht="18" customHeight="1">
      <c r="A11" s="353"/>
      <c r="B11" s="1821" t="s">
        <v>1388</v>
      </c>
      <c r="C11" s="1175"/>
      <c r="D11" s="1822"/>
      <c r="E11" s="358" t="s">
        <v>1412</v>
      </c>
      <c r="F11" s="359">
        <f ca="1">'数据-取费表'!B39</f>
        <v>1.4999999999999999E-2</v>
      </c>
      <c r="G11" s="1847"/>
      <c r="H11" s="1296"/>
      <c r="I11" s="1821" t="s">
        <v>1388</v>
      </c>
      <c r="J11" s="1175"/>
      <c r="K11" s="748"/>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25561</v>
      </c>
      <c r="D13" s="1328" t="s">
        <v>1415</v>
      </c>
      <c r="E13" s="1328" t="s">
        <v>1416</v>
      </c>
      <c r="F13" s="1329">
        <f ca="1">INDIRECT("'数据-取费表'!y"&amp;$G$1)</f>
        <v>1</v>
      </c>
      <c r="G13" s="1847"/>
      <c r="H13" s="1326">
        <v>2</v>
      </c>
      <c r="I13" s="1327" t="s">
        <v>1414</v>
      </c>
      <c r="J13" s="1287">
        <f ca="1">ROUND(J14*J15,0)</f>
        <v>0</v>
      </c>
      <c r="K13" s="1334" t="s">
        <v>1415</v>
      </c>
      <c r="L13" s="1848"/>
      <c r="M13" s="1849"/>
    </row>
    <row r="14" spans="1:37" ht="18" customHeight="1">
      <c r="A14" s="1198" t="s">
        <v>1034</v>
      </c>
      <c r="B14" s="347" t="s">
        <v>1417</v>
      </c>
      <c r="C14" s="363">
        <f ca="1">INDIRECT("'数据-取费表'!m"&amp;$G$1)+INDIRECT("'数据-取费表'!t"&amp;$G$1)</f>
        <v>15165</v>
      </c>
      <c r="D14" s="2940" t="s">
        <v>1418</v>
      </c>
      <c r="E14" s="2938"/>
      <c r="F14" s="364"/>
      <c r="G14" s="1847"/>
      <c r="H14" s="1198" t="s">
        <v>1035</v>
      </c>
      <c r="I14" s="347" t="s">
        <v>1419</v>
      </c>
      <c r="J14" s="24">
        <f ca="1">C29</f>
        <v>25561</v>
      </c>
      <c r="K14" s="2946"/>
      <c r="L14" s="976"/>
      <c r="M14" s="977"/>
    </row>
    <row r="15" spans="1:37" s="1854" customFormat="1" ht="18" customHeight="1" thickBot="1">
      <c r="A15" s="1198" t="s">
        <v>1036</v>
      </c>
      <c r="B15" s="347" t="s">
        <v>1420</v>
      </c>
      <c r="C15" s="24">
        <f ca="1">ROUND(C14*F15,0)</f>
        <v>455</v>
      </c>
      <c r="D15" s="365" t="s">
        <v>1421</v>
      </c>
      <c r="E15" s="365" t="s">
        <v>1422</v>
      </c>
      <c r="F15" s="366">
        <f>'数据-取费表'!B33</f>
        <v>0.03</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7"/>
      <c r="H16" s="1326" t="s">
        <v>1030</v>
      </c>
      <c r="I16" s="1327" t="s">
        <v>1424</v>
      </c>
      <c r="J16" s="355">
        <f ca="1">ROUND(J17+J22+J23+J24,0)</f>
        <v>475</v>
      </c>
      <c r="K16" s="1334" t="s">
        <v>1425</v>
      </c>
      <c r="L16" s="2941"/>
      <c r="M16" s="1291"/>
    </row>
    <row r="17" spans="1:37" s="1854" customFormat="1" ht="18" customHeight="1">
      <c r="A17" s="1198" t="s">
        <v>1390</v>
      </c>
      <c r="B17" s="347" t="s">
        <v>1426</v>
      </c>
      <c r="C17" s="24">
        <f ca="1">ROUND(F17*(F43+INDIRECT("'数据-取费表'!S"&amp;$G$1))/10000,0)</f>
        <v>677</v>
      </c>
      <c r="D17" s="347" t="s">
        <v>1427</v>
      </c>
      <c r="E17" s="347" t="s">
        <v>1428</v>
      </c>
      <c r="F17" s="26">
        <f>'数据-取费表'!B35</f>
        <v>200</v>
      </c>
      <c r="G17" s="1850"/>
      <c r="H17" s="1198" t="s">
        <v>1035</v>
      </c>
      <c r="I17" s="347" t="s">
        <v>1429</v>
      </c>
      <c r="J17" s="24">
        <f ca="1">ROUND(IF(项目基本情况!B11="自然人",J5*M17,J18+J19+J20),1)</f>
        <v>219.2</v>
      </c>
      <c r="K17" s="2940" t="s">
        <v>1430</v>
      </c>
      <c r="L17" s="2939"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227</v>
      </c>
      <c r="D18" s="347" t="s">
        <v>1421</v>
      </c>
      <c r="E18" s="347" t="s">
        <v>1422</v>
      </c>
      <c r="F18" s="367">
        <f>'数据-取费表'!B36</f>
        <v>1.4999999999999999E-2</v>
      </c>
      <c r="G18" s="1850"/>
      <c r="H18" s="1198" t="s">
        <v>1034</v>
      </c>
      <c r="I18" s="347" t="s">
        <v>1433</v>
      </c>
      <c r="J18" s="24">
        <f ca="1">ROUND(J5*M18/(1+'数据-取费表'!C42),2)</f>
        <v>0</v>
      </c>
      <c r="K18" s="2939"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16524</v>
      </c>
      <c r="D19" s="140" t="s">
        <v>1436</v>
      </c>
      <c r="E19" s="2945"/>
      <c r="F19" s="26"/>
      <c r="G19" s="1847"/>
      <c r="H19" s="1198" t="s">
        <v>1036</v>
      </c>
      <c r="I19" s="347" t="s">
        <v>1437</v>
      </c>
      <c r="J19" s="24">
        <f ca="1">IF(K19="按租金收入计税",ROUND(J5*M19,2),ROUND(C29*M19*0.7,2))</f>
        <v>214.71</v>
      </c>
      <c r="K19" s="1824" t="s">
        <v>1438</v>
      </c>
      <c r="L19" s="347" t="s">
        <v>1422</v>
      </c>
      <c r="M19" s="367">
        <f>IF(K19="按租金收入计税",'数据-取费表'!B51,'数据-取费表'!B50)</f>
        <v>1.2E-2</v>
      </c>
    </row>
    <row r="20" spans="1:37" s="1854" customFormat="1" ht="18" customHeight="1">
      <c r="A20" s="1198" t="s">
        <v>1039</v>
      </c>
      <c r="B20" s="347" t="s">
        <v>1439</v>
      </c>
      <c r="C20" s="24">
        <f ca="1">ROUND(C19*F20,0)</f>
        <v>330</v>
      </c>
      <c r="D20" s="369" t="s">
        <v>1440</v>
      </c>
      <c r="E20" s="347" t="s">
        <v>1422</v>
      </c>
      <c r="F20" s="367">
        <f>'数据-取费表'!B37</f>
        <v>0.02</v>
      </c>
      <c r="G20" s="1850"/>
      <c r="H20" s="1198" t="s">
        <v>1389</v>
      </c>
      <c r="I20" s="164" t="s">
        <v>1441</v>
      </c>
      <c r="J20" s="25">
        <f ca="1">ROUND(M20*M21/10000,2)</f>
        <v>4.5</v>
      </c>
      <c r="K20" s="370" t="s">
        <v>1442</v>
      </c>
      <c r="L20" s="347" t="s">
        <v>1443</v>
      </c>
      <c r="M20" s="371">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18</v>
      </c>
      <c r="D21" s="369" t="s">
        <v>1445</v>
      </c>
      <c r="E21" s="347" t="s">
        <v>1446</v>
      </c>
      <c r="F21" s="367">
        <f>'数据-取费表'!B38</f>
        <v>0.05</v>
      </c>
      <c r="G21" s="1850"/>
      <c r="H21" s="372"/>
      <c r="I21" s="356"/>
      <c r="J21" s="29"/>
      <c r="K21" s="373"/>
      <c r="L21" s="347" t="s">
        <v>1447</v>
      </c>
      <c r="M21" s="348">
        <f ca="1">INDIRECT("'数据-取费表'!r"&amp;$G$1)</f>
        <v>2248.0700000000002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5"/>
      <c r="F22" s="26"/>
      <c r="G22" s="1847"/>
      <c r="H22" s="1198" t="s">
        <v>1039</v>
      </c>
      <c r="I22" s="347" t="s">
        <v>1449</v>
      </c>
      <c r="J22" s="24">
        <f ca="1">ROUND(J14*M22,1)</f>
        <v>255.6</v>
      </c>
      <c r="K22" s="2939" t="s">
        <v>1450</v>
      </c>
      <c r="L22" s="347" t="s">
        <v>1422</v>
      </c>
      <c r="M22" s="374">
        <f ca="1">INDIRECT("'数据-取费表'!Ak"&amp;$G$1)</f>
        <v>0.01</v>
      </c>
    </row>
    <row r="23" spans="1:37" s="1854" customFormat="1" ht="18" customHeight="1">
      <c r="A23" s="1198" t="s">
        <v>1034</v>
      </c>
      <c r="B23" s="347" t="s">
        <v>1451</v>
      </c>
      <c r="C23" s="24">
        <f ca="1">IF('数据-取费表'!B22&lt;=1,ROUND(C19*F24*F23/2,0)+ROUND(C20*F24*F23/2,0),ROUND(C19*(POWER((1+F24),F23/2)-1),0)+ROUND(C20*(POWER((1+F24),F23/2)-1),0))</f>
        <v>1426</v>
      </c>
      <c r="D23" s="375" t="str">
        <f>IF(F23&lt;=1,"(建造成本+管理费用)×利率×(建设周期÷2)","(建造成本+管理费用)×((1+利率)^(建设周期÷2)-1)")</f>
        <v>(建造成本+管理费用)×((1+利率)^(建设周期÷2)-1)</v>
      </c>
      <c r="E23" s="347" t="s">
        <v>1452</v>
      </c>
      <c r="F23" s="371">
        <f>'数据-取费表'!B20</f>
        <v>3.5</v>
      </c>
      <c r="G23" s="1850"/>
      <c r="H23" s="1198" t="s">
        <v>1075</v>
      </c>
      <c r="I23" s="347" t="s">
        <v>1453</v>
      </c>
      <c r="J23" s="24">
        <f ca="1">ROUND(J13*M23,1)</f>
        <v>0</v>
      </c>
      <c r="K23" s="2939" t="s">
        <v>1454</v>
      </c>
      <c r="L23" s="347" t="s">
        <v>1422</v>
      </c>
      <c r="M23" s="376">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1036</v>
      </c>
      <c r="B24" s="347" t="s">
        <v>1457</v>
      </c>
      <c r="C24" s="24">
        <f ca="1">ROUND(IF('数据-取费表'!B22&lt;=1,F21*F24*F23/2,F21*(POWER((1+F24),F23/2)-1)),4)</f>
        <v>4.1999999999999997E-3</v>
      </c>
      <c r="D24" s="375" t="str">
        <f>IF(F23&lt;=1,"销售费用×利率×(建设周期÷2)","销售费用×((1+利率)^(建设周期÷2)-1)")</f>
        <v>销售费用×((1+利率)^(建设周期÷2)-1)</v>
      </c>
      <c r="E24" s="347" t="s">
        <v>1458</v>
      </c>
      <c r="F24" s="377">
        <f ca="1">'数据-取费表'!B40</f>
        <v>4.7500000000000001E-2</v>
      </c>
      <c r="G24" s="1850"/>
      <c r="H24" s="1336" t="s">
        <v>1392</v>
      </c>
      <c r="I24" s="1337" t="s">
        <v>1439</v>
      </c>
      <c r="J24" s="1338">
        <f ca="1">ROUND(J5*M24,1)</f>
        <v>0</v>
      </c>
      <c r="K24" s="1339" t="s">
        <v>1459</v>
      </c>
      <c r="L24" s="1337" t="s">
        <v>1422</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1460</v>
      </c>
      <c r="B25" s="347" t="s">
        <v>1461</v>
      </c>
      <c r="C25" s="24"/>
      <c r="D25" s="140" t="s">
        <v>1462</v>
      </c>
      <c r="E25" s="2945"/>
      <c r="F25" s="26"/>
      <c r="G25" s="1847"/>
      <c r="H25" s="1326" t="s">
        <v>1031</v>
      </c>
      <c r="I25" s="1341" t="s">
        <v>1463</v>
      </c>
      <c r="J25" s="355">
        <f ca="1">J5-J16</f>
        <v>-475</v>
      </c>
      <c r="K25" s="1342" t="s">
        <v>1464</v>
      </c>
      <c r="L25" s="1343"/>
      <c r="M25" s="1344"/>
    </row>
    <row r="26" spans="1:37">
      <c r="A26" s="1198" t="s">
        <v>1034</v>
      </c>
      <c r="B26" s="347" t="s">
        <v>1465</v>
      </c>
      <c r="C26" s="24">
        <f ca="1">ROUND((C19+C20)*F26,0)</f>
        <v>4214</v>
      </c>
      <c r="D26" s="369" t="s">
        <v>1466</v>
      </c>
      <c r="E26" s="358" t="s">
        <v>1467</v>
      </c>
      <c r="F26" s="357">
        <f ca="1">INDIRECT("'数据-取费表'!q"&amp;$G$1)</f>
        <v>0.25</v>
      </c>
      <c r="G26" s="1847"/>
      <c r="H26" s="344" t="s">
        <v>1032</v>
      </c>
      <c r="I26" s="345" t="s">
        <v>1468</v>
      </c>
      <c r="J26" s="346">
        <f ca="1">IF(J5&lt;&gt;0,ROUND(J25*(1-((1+M28)/(1+M26))^M27)/(M26-M28),0),0)</f>
        <v>0</v>
      </c>
      <c r="K26" s="370" t="s">
        <v>1469</v>
      </c>
      <c r="L26" s="347" t="s">
        <v>1470</v>
      </c>
      <c r="M26" s="357">
        <f ca="1">INDIRECT("'数据-取费表'!I"&amp;$G$1)</f>
        <v>0.06</v>
      </c>
    </row>
    <row r="27" spans="1:37" ht="18" customHeight="1">
      <c r="A27" s="1198" t="s">
        <v>1036</v>
      </c>
      <c r="B27" s="347" t="s">
        <v>1471</v>
      </c>
      <c r="C27" s="24">
        <f ca="1">ROUND(F21*F26,4)</f>
        <v>1.2500000000000001E-2</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25561</v>
      </c>
      <c r="D29" s="1339"/>
      <c r="E29" s="1337"/>
      <c r="F29" s="1340"/>
      <c r="G29" s="1850"/>
      <c r="H29" s="380" t="s">
        <v>1033</v>
      </c>
      <c r="I29" s="381" t="s">
        <v>1479</v>
      </c>
      <c r="J29" s="382">
        <f ca="1">ROUND(J26/(1+F40)^F41,0)</f>
        <v>0</v>
      </c>
      <c r="K29" s="383" t="s">
        <v>1480</v>
      </c>
      <c r="L29" s="384"/>
      <c r="M29" s="385">
        <f ca="1">INDIRECT("'数据-取费表'!k"&amp;$G$1)</f>
        <v>32618.32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1322</v>
      </c>
      <c r="D30" s="1334" t="s">
        <v>1425</v>
      </c>
      <c r="E30" s="2941"/>
      <c r="F30" s="1291"/>
      <c r="G30" s="1847"/>
      <c r="H30" s="745"/>
      <c r="I30" s="746"/>
      <c r="J30" s="747"/>
      <c r="K30" s="748"/>
      <c r="L30" s="749"/>
      <c r="M30" s="750"/>
    </row>
    <row r="31" spans="1:37" ht="18" customHeight="1">
      <c r="A31" s="1198" t="s">
        <v>1035</v>
      </c>
      <c r="B31" s="347" t="s">
        <v>1429</v>
      </c>
      <c r="C31" s="24">
        <f ca="1">ROUND(IF(项目基本情况!B11="自然人",C5*F31,C32+C33+C34),1)</f>
        <v>933.2</v>
      </c>
      <c r="D31" s="2940" t="s">
        <v>1430</v>
      </c>
      <c r="E31" s="2939" t="s">
        <v>1481</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1034</v>
      </c>
      <c r="B32" s="347" t="s">
        <v>1433</v>
      </c>
      <c r="C32" s="24">
        <f ca="1">IF(项目基本情况!B11="自然人","——",ROUND(C5*F32/(1+'数据-取费表'!C42),2))</f>
        <v>285.76</v>
      </c>
      <c r="D32" s="2939" t="s">
        <v>1434</v>
      </c>
      <c r="E32" s="347" t="s">
        <v>1422</v>
      </c>
      <c r="F32" s="377">
        <f>'数据-取费表'!B41</f>
        <v>5.6000000000000001E-2</v>
      </c>
      <c r="G32" s="1847"/>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642.96</v>
      </c>
      <c r="D33" s="1824" t="s">
        <v>3079</v>
      </c>
      <c r="E33" s="347" t="s">
        <v>1422</v>
      </c>
      <c r="F33" s="367">
        <f>IF(D33="按票据","——",IF(D33="按租金收入计税",'数据-取费表'!B51,'数据-取费表'!B50))</f>
        <v>0.12</v>
      </c>
      <c r="G33" s="1847"/>
      <c r="H33" s="1855"/>
      <c r="I33" s="1856"/>
      <c r="J33" s="1857"/>
      <c r="K33" s="1858"/>
      <c r="L33" s="1855"/>
      <c r="M33" s="1855"/>
    </row>
    <row r="34" spans="1:18" ht="18" customHeight="1">
      <c r="A34" s="1288" t="s">
        <v>1389</v>
      </c>
      <c r="B34" s="164" t="s">
        <v>1441</v>
      </c>
      <c r="C34" s="25">
        <f ca="1">IF(项目基本情况!B11="自然人","——",ROUND(F34*F35/10000,2))</f>
        <v>4.5</v>
      </c>
      <c r="D34" s="370" t="s">
        <v>1442</v>
      </c>
      <c r="E34" s="347" t="s">
        <v>1443</v>
      </c>
      <c r="F34" s="371">
        <f>'数据-取费表'!B52</f>
        <v>20</v>
      </c>
      <c r="G34" s="1847"/>
      <c r="H34" s="745"/>
      <c r="I34" s="1856"/>
      <c r="J34" s="1857"/>
      <c r="K34" s="1859"/>
      <c r="L34" s="1860"/>
      <c r="M34" s="1860"/>
    </row>
    <row r="35" spans="1:18" ht="18" customHeight="1">
      <c r="A35" s="1350"/>
      <c r="B35" s="1348"/>
      <c r="C35" s="29"/>
      <c r="D35" s="373"/>
      <c r="E35" s="347" t="s">
        <v>1447</v>
      </c>
      <c r="F35" s="348">
        <f ca="1">INDIRECT("'数据-取费表'!r"&amp;$G$1)</f>
        <v>2248.0700000000002</v>
      </c>
      <c r="G35" s="1847"/>
      <c r="H35" s="745"/>
      <c r="I35" s="1856"/>
      <c r="J35" s="1857"/>
      <c r="K35" s="1858"/>
      <c r="L35" s="1855"/>
      <c r="M35" s="1855"/>
    </row>
    <row r="36" spans="1:18" ht="18" customHeight="1">
      <c r="A36" s="1349" t="s">
        <v>1039</v>
      </c>
      <c r="B36" s="347" t="s">
        <v>1449</v>
      </c>
      <c r="C36" s="24">
        <f ca="1">ROUND(C29*F36,1)</f>
        <v>255.6</v>
      </c>
      <c r="D36" s="2939" t="s">
        <v>1482</v>
      </c>
      <c r="E36" s="347" t="s">
        <v>1422</v>
      </c>
      <c r="F36" s="374">
        <f ca="1">INDIRECT("'数据-取费表'!Ak"&amp;$G$1)</f>
        <v>0.01</v>
      </c>
      <c r="G36" s="1847"/>
      <c r="H36" s="1855"/>
      <c r="I36" s="1856"/>
      <c r="J36" s="1857"/>
      <c r="K36" s="751"/>
      <c r="L36" s="1855"/>
      <c r="M36" s="1855"/>
    </row>
    <row r="37" spans="1:18" ht="18" customHeight="1">
      <c r="A37" s="1198" t="s">
        <v>1075</v>
      </c>
      <c r="B37" s="347" t="s">
        <v>1453</v>
      </c>
      <c r="C37" s="24">
        <f ca="1">ROUND(C13*F37,1)</f>
        <v>25.6</v>
      </c>
      <c r="D37" s="2939" t="s">
        <v>1454</v>
      </c>
      <c r="E37" s="347" t="s">
        <v>1422</v>
      </c>
      <c r="F37" s="376">
        <f ca="1">INDIRECT("'数据-取费表'!Al"&amp;$G$1)</f>
        <v>1E-3</v>
      </c>
      <c r="G37" s="1847"/>
      <c r="H37" s="1855"/>
      <c r="I37" s="1856"/>
      <c r="J37" s="1857"/>
      <c r="K37" s="751"/>
      <c r="L37" s="1855"/>
      <c r="M37" s="1855"/>
    </row>
    <row r="38" spans="1:18" ht="18" customHeight="1" thickBot="1">
      <c r="A38" s="1336" t="s">
        <v>1392</v>
      </c>
      <c r="B38" s="1337" t="s">
        <v>1439</v>
      </c>
      <c r="C38" s="1338">
        <f ca="1">ROUND(C5*F38,1)</f>
        <v>107.2</v>
      </c>
      <c r="D38" s="1339" t="s">
        <v>1459</v>
      </c>
      <c r="E38" s="1337" t="s">
        <v>1422</v>
      </c>
      <c r="F38" s="1333">
        <f ca="1">INDIRECT("'数据-取费表'!Am"&amp;$G$1)</f>
        <v>0.02</v>
      </c>
      <c r="G38" s="1847"/>
      <c r="H38" s="1855"/>
      <c r="I38" s="1856"/>
      <c r="J38" s="1857"/>
      <c r="K38" s="1861"/>
      <c r="L38" s="1855"/>
      <c r="M38" s="1855"/>
    </row>
    <row r="39" spans="1:18" ht="24.6" customHeight="1" thickTop="1">
      <c r="A39" s="1326" t="s">
        <v>1031</v>
      </c>
      <c r="B39" s="1341" t="s">
        <v>1463</v>
      </c>
      <c r="C39" s="355">
        <f ca="1">C5-C30</f>
        <v>4036</v>
      </c>
      <c r="D39" s="1342" t="s">
        <v>1464</v>
      </c>
      <c r="E39" s="1343"/>
      <c r="F39" s="1344"/>
      <c r="G39" s="1847"/>
      <c r="H39" s="1855"/>
      <c r="I39" s="1856"/>
      <c r="J39" s="1857"/>
      <c r="K39" s="1861"/>
      <c r="L39" s="1855"/>
      <c r="M39" s="1855"/>
    </row>
    <row r="40" spans="1:18" ht="18" customHeight="1">
      <c r="A40" s="344" t="s">
        <v>1032</v>
      </c>
      <c r="B40" s="345" t="s">
        <v>1485</v>
      </c>
      <c r="C40" s="346">
        <f ca="1">ROUND(C39*(1-((1+F42)/(1+F40))^F41)/(F40-F42),0)</f>
        <v>80137</v>
      </c>
      <c r="D40" s="370" t="s">
        <v>1469</v>
      </c>
      <c r="E40" s="347" t="s">
        <v>1470</v>
      </c>
      <c r="F40" s="357">
        <f ca="1">INDIRECT("'数据-取费表'!I"&amp;$G$1)</f>
        <v>0.06</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31.54</v>
      </c>
      <c r="G41" s="1847"/>
      <c r="H41" s="732"/>
      <c r="I41" s="1856"/>
      <c r="J41" s="1857"/>
      <c r="K41" s="751"/>
      <c r="L41" s="732"/>
      <c r="M41" s="732"/>
    </row>
    <row r="42" spans="1:18" ht="18" customHeight="1">
      <c r="A42" s="353"/>
      <c r="B42" s="354"/>
      <c r="C42" s="355"/>
      <c r="D42" s="373"/>
      <c r="E42" s="347" t="s">
        <v>1477</v>
      </c>
      <c r="F42" s="357">
        <f ca="1">INDIRECT("'数据-取费表'!v"&amp;$G$1)</f>
        <v>0.03</v>
      </c>
      <c r="G42" s="1847"/>
      <c r="H42" s="732"/>
      <c r="I42" s="1856"/>
      <c r="J42" s="1857"/>
      <c r="K42" s="751"/>
      <c r="L42" s="732"/>
      <c r="M42" s="732"/>
    </row>
    <row r="43" spans="1:18" ht="18" customHeight="1" thickBot="1">
      <c r="A43" s="380" t="s">
        <v>1033</v>
      </c>
      <c r="B43" s="381" t="s">
        <v>1487</v>
      </c>
      <c r="C43" s="382">
        <f ca="1">ROUND(C40*10000/F43,0)</f>
        <v>24568</v>
      </c>
      <c r="D43" s="383" t="s">
        <v>1488</v>
      </c>
      <c r="E43" s="384" t="s">
        <v>1489</v>
      </c>
      <c r="F43" s="385">
        <f ca="1">INDIRECT("'数据-取费表'!k"&amp;$G$1)</f>
        <v>32618.32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1519</v>
      </c>
      <c r="P45" s="1835"/>
      <c r="Q45" s="1835"/>
      <c r="R45" s="1835"/>
    </row>
    <row r="46" spans="1:18" s="1838" customFormat="1" ht="13.5" thickBot="1">
      <c r="A46" s="1866" t="s">
        <v>1520</v>
      </c>
      <c r="C46" s="1867">
        <f ca="1">C68-C40</f>
        <v>-114233</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2" t="s">
        <v>1396</v>
      </c>
      <c r="B47" s="1194" t="s">
        <v>1397</v>
      </c>
      <c r="C47" s="1364" t="s">
        <v>1398</v>
      </c>
      <c r="D47" s="1194" t="s">
        <v>1399</v>
      </c>
      <c r="E47" s="1276" t="s">
        <v>1400</v>
      </c>
      <c r="F47" s="1277"/>
      <c r="G47" s="792"/>
      <c r="I47" s="1876" t="s">
        <v>1526</v>
      </c>
      <c r="J47" s="1877" t="s">
        <v>3077</v>
      </c>
      <c r="K47" s="1878" t="s">
        <v>1527</v>
      </c>
      <c r="L47" s="1879">
        <f ca="1">INDIRECT("'数据-取费表'!d"&amp;$G$1)</f>
        <v>40</v>
      </c>
      <c r="M47" s="1834" t="str">
        <f>IF(ISNUMBER(FIND("住宅",C1)),"住宅","非住宅")</f>
        <v>非住宅</v>
      </c>
      <c r="O47" s="1880" t="s">
        <v>1040</v>
      </c>
      <c r="P47" s="1881" t="s">
        <v>1528</v>
      </c>
      <c r="Q47" s="1882">
        <f ca="1">C40+J29</f>
        <v>80137</v>
      </c>
      <c r="R47" s="1882" t="s">
        <v>1529</v>
      </c>
    </row>
    <row r="48" spans="1:18" s="1838" customFormat="1" ht="28.5" thickBot="1">
      <c r="A48" s="1357" t="s">
        <v>1135</v>
      </c>
      <c r="B48" s="345" t="s">
        <v>1401</v>
      </c>
      <c r="C48" s="2944">
        <f ca="1">C49+C53+C55</f>
        <v>0</v>
      </c>
      <c r="D48" s="1359"/>
      <c r="E48" s="1360"/>
      <c r="F48" s="1178"/>
      <c r="G48" s="792"/>
      <c r="H48" s="793"/>
      <c r="I48" s="1883" t="s">
        <v>1530</v>
      </c>
      <c r="J48" s="1884" t="s">
        <v>3078</v>
      </c>
      <c r="K48" s="1885" t="s">
        <v>1531</v>
      </c>
      <c r="L48" s="1886">
        <f ca="1">INDIRECT("'数据-取费表'!f"&amp;$G$1)</f>
        <v>33.04</v>
      </c>
      <c r="O48" s="1880" t="s">
        <v>1041</v>
      </c>
      <c r="P48" s="1881" t="s">
        <v>1532</v>
      </c>
      <c r="Q48" s="1882" t="str">
        <f ca="1">J60</f>
        <v>0</v>
      </c>
      <c r="R48" s="1882" t="s">
        <v>1533</v>
      </c>
    </row>
    <row r="49" spans="1:18" s="1838" customFormat="1" ht="13.5" thickBot="1">
      <c r="A49" s="1191" t="s">
        <v>1136</v>
      </c>
      <c r="B49" s="1825" t="s">
        <v>1490</v>
      </c>
      <c r="C49" s="1361">
        <f ca="1">ROUND(F49*F51*F50*(1-F52)/10000,0)</f>
        <v>0</v>
      </c>
      <c r="D49" s="1273" t="s">
        <v>3020</v>
      </c>
      <c r="E49" s="1826" t="s">
        <v>1491</v>
      </c>
      <c r="F49" s="1278"/>
      <c r="G49" s="1887"/>
      <c r="H49" s="793"/>
      <c r="I49" s="1883" t="s">
        <v>1534</v>
      </c>
      <c r="J49" s="1888"/>
      <c r="K49" s="1885" t="s">
        <v>1535</v>
      </c>
      <c r="L49" s="1889"/>
      <c r="O49" s="1890" t="s">
        <v>1042</v>
      </c>
      <c r="P49" s="1881" t="s">
        <v>1536</v>
      </c>
      <c r="Q49" s="1882">
        <f ca="1">C29</f>
        <v>25561</v>
      </c>
      <c r="R49" s="1882" t="s">
        <v>1529</v>
      </c>
    </row>
    <row r="50" spans="1:18" s="1838" customFormat="1" ht="13.5" thickBot="1">
      <c r="A50" s="1192"/>
      <c r="B50" s="1195"/>
      <c r="C50" s="1365"/>
      <c r="D50" s="1169"/>
      <c r="E50" s="1274" t="s">
        <v>1406</v>
      </c>
      <c r="F50" s="1275">
        <f ca="1">F7</f>
        <v>32618.32</v>
      </c>
      <c r="H50" s="793"/>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3"/>
      <c r="B51" s="1195"/>
      <c r="C51" s="1196"/>
      <c r="D51" s="1169"/>
      <c r="E51" s="1197" t="s">
        <v>1407</v>
      </c>
      <c r="F51" s="348">
        <f ca="1">F8</f>
        <v>365</v>
      </c>
      <c r="I51" s="1894" t="s">
        <v>1540</v>
      </c>
      <c r="J51" s="1895">
        <f>IF(J49="",J50,J49+J50-YEAR('数据-取费表'!B2))</f>
        <v>60</v>
      </c>
      <c r="K51" s="1896" t="s">
        <v>1541</v>
      </c>
      <c r="L51" s="1897">
        <f ca="1">ROUND(-PV(INDIRECT("'数据-取费表'!h"&amp;$G$1),L48,(C39-C13*C76),0),0)</f>
        <v>29832</v>
      </c>
      <c r="M51" s="1898"/>
      <c r="O51" s="1890" t="s">
        <v>1044</v>
      </c>
      <c r="P51" s="1881" t="s">
        <v>1542</v>
      </c>
      <c r="Q51" s="1893">
        <f>J52</f>
        <v>0</v>
      </c>
      <c r="R51" s="1882"/>
    </row>
    <row r="52" spans="1:18" s="1838" customFormat="1" ht="13.5" thickBot="1">
      <c r="A52" s="1193"/>
      <c r="B52" s="1195"/>
      <c r="C52" s="1196"/>
      <c r="D52" s="1169"/>
      <c r="E52" s="1197" t="s">
        <v>1408</v>
      </c>
      <c r="F52" s="1272"/>
      <c r="I52" s="1899" t="s">
        <v>1543</v>
      </c>
      <c r="J52" s="1900"/>
      <c r="K52" s="1899" t="s">
        <v>1544</v>
      </c>
      <c r="L52" s="1900"/>
      <c r="O52" s="1890" t="s">
        <v>1045</v>
      </c>
      <c r="P52" s="1881" t="s">
        <v>1545</v>
      </c>
      <c r="Q52" s="1882">
        <f ca="1">J53</f>
        <v>31.54</v>
      </c>
      <c r="R52" s="1882" t="s">
        <v>1546</v>
      </c>
    </row>
    <row r="53" spans="1:18" s="1838" customFormat="1" ht="24.75" thickBot="1">
      <c r="A53" s="1402" t="s">
        <v>1137</v>
      </c>
      <c r="B53" s="1827" t="s">
        <v>1409</v>
      </c>
      <c r="C53" s="361">
        <f ca="1">ROUND(IF(F53="押一",C49/12*F11,IF(F53="押二",C49/12*2*F11,IF(F53="押三",C49/12*3*F11,C54*F11))),0)</f>
        <v>0</v>
      </c>
      <c r="D53" s="1820" t="s">
        <v>3029</v>
      </c>
      <c r="E53" s="358" t="s">
        <v>1410</v>
      </c>
      <c r="F53" s="1363"/>
      <c r="I53" s="1901" t="s">
        <v>1547</v>
      </c>
      <c r="J53" s="1902">
        <f ca="1">IF(M47="住宅",IF(D1="——",MAX(J51,L48),IF(D1="在建（套用方法）",MAX(J51,L48-'数据-取费表'!B24),MAX(J51,L48-'数据-取费表'!B20))),IF(D1="——",MIN(J51,L48),IF(D1="在建（套用方法）",MIN(J51,L48-'数据-取费表'!B24),IF(D1="土地（套用方法）",MIN(J51,L48-'数据-取费表'!B20)))))</f>
        <v>31.54</v>
      </c>
      <c r="K53" s="3252" t="s">
        <v>1548</v>
      </c>
      <c r="L53" s="3253"/>
      <c r="O53" s="1880" t="s">
        <v>1046</v>
      </c>
      <c r="P53" s="1881" t="s">
        <v>1549</v>
      </c>
      <c r="Q53" s="1882">
        <f ca="1">Q47+Q48</f>
        <v>80137</v>
      </c>
      <c r="R53" s="1882" t="s">
        <v>1047</v>
      </c>
    </row>
    <row r="54" spans="1:18" s="1838" customFormat="1" ht="13.5" thickBot="1">
      <c r="A54" s="1403"/>
      <c r="B54" s="1821" t="s">
        <v>1388</v>
      </c>
      <c r="C54" s="1175"/>
      <c r="D54" s="1820"/>
      <c r="E54" s="294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2943"/>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3">
        <v>2</v>
      </c>
      <c r="B56" s="1174" t="s">
        <v>1414</v>
      </c>
      <c r="C56" s="276">
        <f ca="1">C13</f>
        <v>25561</v>
      </c>
      <c r="D56" s="1910"/>
      <c r="E56" s="1911"/>
      <c r="F56" s="1903"/>
      <c r="I56" s="1912" t="s">
        <v>1554</v>
      </c>
      <c r="J56" s="1913" t="s">
        <v>3044</v>
      </c>
      <c r="K56" s="1883" t="s">
        <v>1555</v>
      </c>
      <c r="L56" s="1886" t="str">
        <f ca="1">IF(L48&lt;J51,"——",L48-J53)</f>
        <v>——</v>
      </c>
      <c r="O56" s="1880" t="s">
        <v>1040</v>
      </c>
      <c r="P56" s="1881" t="s">
        <v>1528</v>
      </c>
      <c r="Q56" s="1882">
        <f ca="1">C40+J29</f>
        <v>80137</v>
      </c>
      <c r="R56" s="1882" t="s">
        <v>1529</v>
      </c>
    </row>
    <row r="57" spans="1:18" s="1838" customFormat="1" ht="24.75" thickBot="1">
      <c r="A57" s="1914"/>
      <c r="B57" s="1166" t="s">
        <v>1478</v>
      </c>
      <c r="C57" s="282">
        <f ca="1">C29</f>
        <v>25561</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4" t="s">
        <v>1424</v>
      </c>
      <c r="C58" s="361">
        <f ca="1">ROUND(C59+C64+C65+C66,0)</f>
        <v>2433</v>
      </c>
      <c r="D58" s="1176" t="s">
        <v>1425</v>
      </c>
      <c r="E58" s="1177"/>
      <c r="F58" s="1178"/>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ROUND(IF(项目基本情况!B11="自然人",C48*F59,C60+C61+C62),1)</f>
        <v>2151.6</v>
      </c>
      <c r="D59" s="1179" t="s">
        <v>1430</v>
      </c>
      <c r="E59" s="1180" t="s">
        <v>1431</v>
      </c>
      <c r="F59" s="368"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8" t="s">
        <v>1492</v>
      </c>
      <c r="B61" s="1166" t="s">
        <v>1437</v>
      </c>
      <c r="C61" s="24">
        <f ca="1">IF(项目基本情况!B11="自然人","——",IF(D61="按租金收入计税",ROUND(C48*F61,2),IF(D61="按房产原值计税",ROUND(C57*F61*0.7,2),INDIRECT("'数据-取费表'!Aj"&amp;$G$1))))</f>
        <v>2147.12</v>
      </c>
      <c r="D61" s="1824" t="s">
        <v>1438</v>
      </c>
      <c r="E61" s="1166" t="s">
        <v>1422</v>
      </c>
      <c r="F61" s="367">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8" t="s">
        <v>1495</v>
      </c>
      <c r="B62" s="1165" t="s">
        <v>1441</v>
      </c>
      <c r="C62" s="25">
        <f ca="1">IF(项目基本情况!B11="自然人","——",ROUND(F62*F63/10000,2))</f>
        <v>4.5</v>
      </c>
      <c r="D62" s="1181" t="s">
        <v>1442</v>
      </c>
      <c r="E62" s="1166" t="s">
        <v>1443</v>
      </c>
      <c r="F62" s="371">
        <f t="shared" si="0"/>
        <v>20</v>
      </c>
      <c r="I62" s="1925" t="s">
        <v>1570</v>
      </c>
      <c r="J62" s="1926" t="s">
        <v>1571</v>
      </c>
      <c r="K62" s="1926" t="s">
        <v>1572</v>
      </c>
      <c r="L62" s="1926" t="s">
        <v>1573</v>
      </c>
      <c r="M62" s="1927" t="s">
        <v>1574</v>
      </c>
      <c r="O62" s="1880" t="s">
        <v>1046</v>
      </c>
      <c r="P62" s="1881" t="s">
        <v>1549</v>
      </c>
      <c r="Q62" s="1882">
        <f ca="1">Q56+Q57</f>
        <v>80137</v>
      </c>
      <c r="R62" s="1882" t="s">
        <v>1047</v>
      </c>
    </row>
    <row r="63" spans="1:18" s="1838" customFormat="1" ht="13.5" thickBot="1">
      <c r="A63" s="372"/>
      <c r="B63" s="1172"/>
      <c r="C63" s="29"/>
      <c r="D63" s="1182"/>
      <c r="E63" s="1166" t="s">
        <v>1447</v>
      </c>
      <c r="F63" s="348">
        <f t="shared" ca="1" si="0"/>
        <v>2248.0700000000002</v>
      </c>
      <c r="I63" s="1925" t="s">
        <v>1576</v>
      </c>
      <c r="J63" s="1926">
        <v>70</v>
      </c>
      <c r="K63" s="1926">
        <v>50</v>
      </c>
      <c r="L63" s="1926">
        <v>80</v>
      </c>
      <c r="M63" s="1928">
        <v>0.02</v>
      </c>
      <c r="O63" s="1865" t="s">
        <v>1577</v>
      </c>
      <c r="P63" s="1835"/>
      <c r="Q63" s="1835"/>
      <c r="R63" s="1835"/>
    </row>
    <row r="64" spans="1:18" s="1838" customFormat="1" ht="13.5" thickBot="1">
      <c r="A64" s="1198" t="s">
        <v>1039</v>
      </c>
      <c r="B64" s="1166" t="s">
        <v>1449</v>
      </c>
      <c r="C64" s="24">
        <f ca="1">ROUND(C57*F64,1)</f>
        <v>255.6</v>
      </c>
      <c r="D64" s="1180" t="s">
        <v>1482</v>
      </c>
      <c r="E64" s="1166" t="s">
        <v>1422</v>
      </c>
      <c r="F64" s="374">
        <f t="shared" ca="1" si="0"/>
        <v>0.01</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ROUND(C56*F65,1)</f>
        <v>25.6</v>
      </c>
      <c r="D65" s="1180" t="s">
        <v>1454</v>
      </c>
      <c r="E65" s="1166" t="s">
        <v>1422</v>
      </c>
      <c r="F65" s="376">
        <f t="shared" ca="1" si="0"/>
        <v>1E-3</v>
      </c>
      <c r="I65" s="1925" t="s">
        <v>1579</v>
      </c>
      <c r="J65" s="1926">
        <v>40</v>
      </c>
      <c r="K65" s="1926">
        <v>30</v>
      </c>
      <c r="L65" s="1926">
        <v>50</v>
      </c>
      <c r="M65" s="1928">
        <v>0.02</v>
      </c>
      <c r="O65" s="1880" t="s">
        <v>1040</v>
      </c>
      <c r="P65" s="1881" t="s">
        <v>1528</v>
      </c>
      <c r="Q65" s="1882">
        <f ca="1">C40+J29</f>
        <v>80137</v>
      </c>
      <c r="R65" s="1882" t="s">
        <v>1529</v>
      </c>
    </row>
    <row r="66" spans="1:18" s="1838" customFormat="1" ht="16.5" thickBot="1">
      <c r="A66" s="1198" t="s">
        <v>1504</v>
      </c>
      <c r="B66" s="1166" t="s">
        <v>1439</v>
      </c>
      <c r="C66" s="24">
        <f ca="1">ROUND(C48*F66,1)</f>
        <v>0</v>
      </c>
      <c r="D66" s="1180" t="s">
        <v>1459</v>
      </c>
      <c r="E66" s="1166" t="s">
        <v>1422</v>
      </c>
      <c r="F66" s="357">
        <f t="shared" ca="1" si="0"/>
        <v>0.02</v>
      </c>
      <c r="O66" s="1880" t="s">
        <v>1041</v>
      </c>
      <c r="P66" s="1881" t="s">
        <v>1558</v>
      </c>
      <c r="Q66" s="1882">
        <f ca="1">L60</f>
        <v>0</v>
      </c>
      <c r="R66" s="1882" t="s">
        <v>1581</v>
      </c>
    </row>
    <row r="67" spans="1:18" s="1838" customFormat="1" ht="16.5" thickBot="1">
      <c r="A67" s="1173" t="s">
        <v>1031</v>
      </c>
      <c r="B67" s="1183" t="s">
        <v>1463</v>
      </c>
      <c r="C67" s="361">
        <f ca="1">C48-C58</f>
        <v>-2433</v>
      </c>
      <c r="D67" s="1179" t="s">
        <v>1464</v>
      </c>
      <c r="E67" s="1184"/>
      <c r="F67" s="1185"/>
      <c r="O67" s="1890" t="s">
        <v>1042</v>
      </c>
      <c r="P67" s="1881" t="s">
        <v>1562</v>
      </c>
      <c r="Q67" s="1929">
        <f ca="1">L51</f>
        <v>29832</v>
      </c>
      <c r="R67" s="1882" t="s">
        <v>1582</v>
      </c>
    </row>
    <row r="68" spans="1:18" s="1838" customFormat="1" ht="16.5" thickBot="1">
      <c r="A68" s="1163" t="s">
        <v>1032</v>
      </c>
      <c r="B68" s="1164" t="s">
        <v>1485</v>
      </c>
      <c r="C68" s="346">
        <f ca="1">ROUND(C67*(1-((1+F70)/(1+F68))^F69)/(F68-F70),0)</f>
        <v>-34096</v>
      </c>
      <c r="D68" s="1181" t="s">
        <v>1469</v>
      </c>
      <c r="E68" s="1166" t="s">
        <v>1470</v>
      </c>
      <c r="F68" s="357">
        <f ca="1">F40</f>
        <v>0.06</v>
      </c>
      <c r="O68" s="1890" t="s">
        <v>1043</v>
      </c>
      <c r="P68" s="1930" t="s">
        <v>1583</v>
      </c>
      <c r="Q68" s="1882">
        <f ca="1">ROUND(Q69-Q70*Q71,0)</f>
        <v>1863</v>
      </c>
      <c r="R68" s="1882" t="s">
        <v>1051</v>
      </c>
    </row>
    <row r="69" spans="1:18" s="1838" customFormat="1" ht="13.5" thickBot="1">
      <c r="A69" s="1167"/>
      <c r="B69" s="1168"/>
      <c r="C69" s="351"/>
      <c r="D69" s="1186" t="s">
        <v>1473</v>
      </c>
      <c r="E69" s="1166" t="s">
        <v>1474</v>
      </c>
      <c r="F69" s="379">
        <f ca="1">F41</f>
        <v>31.54</v>
      </c>
      <c r="O69" s="1890" t="s">
        <v>1048</v>
      </c>
      <c r="P69" s="1930" t="s">
        <v>1584</v>
      </c>
      <c r="Q69" s="1882">
        <f ca="1">C39</f>
        <v>4036</v>
      </c>
      <c r="R69" s="1882" t="s">
        <v>1529</v>
      </c>
    </row>
    <row r="70" spans="1:18" s="1838" customFormat="1" ht="13.5" thickBot="1">
      <c r="A70" s="1170"/>
      <c r="B70" s="1171"/>
      <c r="C70" s="355"/>
      <c r="D70" s="1182"/>
      <c r="E70" s="1166" t="s">
        <v>1477</v>
      </c>
      <c r="F70" s="1272"/>
      <c r="O70" s="1890" t="s">
        <v>1049</v>
      </c>
      <c r="P70" s="1930" t="s">
        <v>1585</v>
      </c>
      <c r="Q70" s="1882">
        <f ca="1">C13</f>
        <v>25561</v>
      </c>
      <c r="R70" s="1882" t="s">
        <v>1529</v>
      </c>
    </row>
    <row r="71" spans="1:18" s="1838" customFormat="1" ht="13.5" thickBot="1">
      <c r="A71" s="1187" t="s">
        <v>1033</v>
      </c>
      <c r="B71" s="1188" t="s">
        <v>1487</v>
      </c>
      <c r="C71" s="382">
        <f ca="1">ROUND(C68*10000/F71,0)</f>
        <v>-10453</v>
      </c>
      <c r="D71" s="1189" t="s">
        <v>1488</v>
      </c>
      <c r="E71" s="1190" t="s">
        <v>1489</v>
      </c>
      <c r="F71" s="385">
        <f ca="1">F43</f>
        <v>32618.32</v>
      </c>
      <c r="O71" s="1890" t="s">
        <v>1050</v>
      </c>
      <c r="P71" s="1930" t="s">
        <v>1586</v>
      </c>
      <c r="Q71" s="1893">
        <f ca="1">C76</f>
        <v>8.5000000000000006E-2</v>
      </c>
      <c r="R71" s="1882"/>
    </row>
    <row r="72" spans="1:18" s="1838" customFormat="1" ht="13.5" thickBot="1">
      <c r="B72" s="796"/>
      <c r="C72" s="796"/>
      <c r="O72" s="1890" t="s">
        <v>1044</v>
      </c>
      <c r="P72" s="1881" t="s">
        <v>1564</v>
      </c>
      <c r="Q72" s="1893">
        <f>L52</f>
        <v>0</v>
      </c>
      <c r="R72" s="1882"/>
    </row>
    <row r="73" spans="1:18" ht="16.5" thickBot="1">
      <c r="A73" s="1838"/>
      <c r="B73" s="796"/>
      <c r="C73" s="796"/>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6" t="s">
        <v>1506</v>
      </c>
      <c r="C75" s="387">
        <f ca="1">ROUND(C13*C76,0)</f>
        <v>2173</v>
      </c>
      <c r="D75" s="1838"/>
      <c r="E75" s="1838"/>
      <c r="F75" s="1838"/>
      <c r="K75" s="1864"/>
      <c r="L75" s="1838"/>
      <c r="O75" s="1880" t="s">
        <v>1046</v>
      </c>
      <c r="P75" s="1881" t="s">
        <v>1549</v>
      </c>
      <c r="Q75" s="1882">
        <f ca="1">Q65+Q66</f>
        <v>80137</v>
      </c>
      <c r="R75" s="1882" t="s">
        <v>1047</v>
      </c>
    </row>
    <row r="76" spans="1:18">
      <c r="B76" s="388" t="s">
        <v>1507</v>
      </c>
      <c r="C76" s="389">
        <f ca="1">INDIRECT("'数据-取费表'!j"&amp;$G$1)</f>
        <v>8.5000000000000006E-2</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0.46199999999999997</v>
      </c>
    </row>
    <row r="80" spans="1:18">
      <c r="B80" s="386" t="s">
        <v>1511</v>
      </c>
      <c r="C80" s="318">
        <f ca="1">ROUND(C75/C39,3)</f>
        <v>0.53800000000000003</v>
      </c>
    </row>
    <row r="81" spans="2:3">
      <c r="B81" s="314" t="s">
        <v>1512</v>
      </c>
      <c r="C81" s="282"/>
    </row>
    <row r="82" spans="2:3">
      <c r="B82" s="317" t="s">
        <v>1513</v>
      </c>
      <c r="C82" s="319">
        <f ca="1">1-C83</f>
        <v>0.68100000000000005</v>
      </c>
    </row>
    <row r="83" spans="2:3">
      <c r="B83" s="317" t="s">
        <v>1514</v>
      </c>
      <c r="C83" s="318">
        <f ca="1">ROUND(C13/C40,3)</f>
        <v>0.31900000000000001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3" sqref="E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2517</v>
      </c>
      <c r="B1" s="2576" t="s">
        <v>2518</v>
      </c>
      <c r="C1" s="1630" t="s">
        <v>2519</v>
      </c>
      <c r="D1" s="1617" t="s">
        <v>27</v>
      </c>
      <c r="E1" s="2577"/>
      <c r="F1" s="2578" t="s">
        <v>2520</v>
      </c>
      <c r="G1" s="1627" t="s">
        <v>2521</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1394</v>
      </c>
      <c r="B2" s="1415" t="e">
        <f>IF(C2="——",ROUND(C49*D3/10000,0),ROUND(C49*D3/10000,0)-D2)</f>
        <v>#DIV/0!</v>
      </c>
      <c r="C2" s="2580" t="s">
        <v>70</v>
      </c>
      <c r="D2" s="1362" t="e">
        <f ca="1">SUMIF(INDIRECT("'"&amp;F2&amp;"'"&amp;"!A:A"),"承租人权益价值",INDIRECT("'"&amp;F2&amp;"'"&amp;"!c:c"))</f>
        <v>#REF!</v>
      </c>
      <c r="E2" s="2581" t="s">
        <v>2320</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1395</v>
      </c>
      <c r="B3" s="399" t="e">
        <f>IF(C2="——",C49,ROUND(B2*10000/D3,0))</f>
        <v>#DIV/0!</v>
      </c>
      <c r="C3" s="400" t="s">
        <v>2523</v>
      </c>
      <c r="D3" s="399">
        <f>IF(D1="",'数据-汇总表'!E3,SUMIF('数据-汇总表'!$C19:$C33,D1,'数据-汇总表'!$E19:$E33))</f>
        <v>82985.51999999999</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1" t="s">
        <v>2524</v>
      </c>
      <c r="B4" s="402"/>
      <c r="C4" s="3212" t="s">
        <v>2525</v>
      </c>
      <c r="D4" s="3225"/>
      <c r="E4" s="3226" t="s">
        <v>2526</v>
      </c>
      <c r="F4" s="3227"/>
      <c r="G4" s="3212" t="s">
        <v>2527</v>
      </c>
      <c r="H4" s="3225"/>
      <c r="I4" s="3212" t="s">
        <v>2528</v>
      </c>
      <c r="J4" s="3225"/>
      <c r="K4" s="2590" t="s">
        <v>2529</v>
      </c>
      <c r="L4" s="1127"/>
      <c r="M4" s="1128"/>
      <c r="N4" s="1128"/>
      <c r="O4" s="1128"/>
      <c r="P4" s="3228" t="s">
        <v>2530</v>
      </c>
      <c r="Q4" s="3229"/>
      <c r="R4" s="3234" t="s">
        <v>2526</v>
      </c>
      <c r="S4" s="3235"/>
      <c r="T4" s="3234" t="s">
        <v>2527</v>
      </c>
      <c r="U4" s="3235"/>
      <c r="V4" s="3221" t="s">
        <v>2528</v>
      </c>
      <c r="W4" s="3221"/>
      <c r="X4" s="2950"/>
      <c r="Y4" s="3234" t="s">
        <v>2530</v>
      </c>
      <c r="Z4" s="3235"/>
      <c r="AA4" s="3222" t="s">
        <v>2526</v>
      </c>
      <c r="AB4" s="3222" t="s">
        <v>2527</v>
      </c>
      <c r="AC4" s="3222" t="s">
        <v>2528</v>
      </c>
    </row>
    <row r="5" spans="1:29" ht="15">
      <c r="A5" s="404"/>
      <c r="B5" s="405"/>
      <c r="C5" s="3242" t="s">
        <v>2531</v>
      </c>
      <c r="D5" s="3243"/>
      <c r="E5" s="3249" t="s">
        <v>2532</v>
      </c>
      <c r="F5" s="3250"/>
      <c r="G5" s="3242" t="s">
        <v>2533</v>
      </c>
      <c r="H5" s="3243"/>
      <c r="I5" s="3242" t="s">
        <v>2534</v>
      </c>
      <c r="J5" s="3243"/>
      <c r="K5" s="2591"/>
      <c r="L5" s="1127"/>
      <c r="M5" s="1128"/>
      <c r="N5" s="1128"/>
      <c r="O5" s="1128"/>
      <c r="P5" s="3230"/>
      <c r="Q5" s="3231"/>
      <c r="R5" s="3236"/>
      <c r="S5" s="3237"/>
      <c r="T5" s="3236"/>
      <c r="U5" s="3237"/>
      <c r="V5" s="3221"/>
      <c r="W5" s="3221"/>
      <c r="X5" s="2950"/>
      <c r="Y5" s="3236"/>
      <c r="Z5" s="3237"/>
      <c r="AA5" s="3223"/>
      <c r="AB5" s="3223"/>
      <c r="AC5" s="3223"/>
    </row>
    <row r="6" spans="1:29" ht="15.75" thickBot="1">
      <c r="A6" s="406"/>
      <c r="B6" s="407"/>
      <c r="C6" s="3240" t="s">
        <v>2535</v>
      </c>
      <c r="D6" s="3241"/>
      <c r="E6" s="3247" t="s">
        <v>2535</v>
      </c>
      <c r="F6" s="3248"/>
      <c r="G6" s="3240" t="s">
        <v>2535</v>
      </c>
      <c r="H6" s="3241"/>
      <c r="I6" s="3240" t="s">
        <v>2535</v>
      </c>
      <c r="J6" s="3241"/>
      <c r="K6" s="2591" t="s">
        <v>2536</v>
      </c>
      <c r="L6" s="1127"/>
      <c r="M6" s="1128"/>
      <c r="N6" s="1128"/>
      <c r="O6" s="1128"/>
      <c r="P6" s="3232"/>
      <c r="Q6" s="3233"/>
      <c r="R6" s="3236"/>
      <c r="S6" s="3237"/>
      <c r="T6" s="3238"/>
      <c r="U6" s="3239"/>
      <c r="V6" s="3221"/>
      <c r="W6" s="3221"/>
      <c r="X6" s="2950"/>
      <c r="Y6" s="3238"/>
      <c r="Z6" s="3239"/>
      <c r="AA6" s="3224"/>
      <c r="AB6" s="3224"/>
      <c r="AC6" s="3224"/>
    </row>
    <row r="7" spans="1:29" s="117" customFormat="1" ht="15.75" thickBot="1">
      <c r="A7" s="408" t="s">
        <v>2537</v>
      </c>
      <c r="B7" s="409"/>
      <c r="C7" s="410">
        <f>'数据-取费表'!B2</f>
        <v>43332</v>
      </c>
      <c r="D7" s="411">
        <v>100</v>
      </c>
      <c r="E7" s="412"/>
      <c r="F7" s="413">
        <f>SUMIF(58:58,YEAR(E7)&amp;"-"&amp;MONTH(E7),59:59)</f>
        <v>0</v>
      </c>
      <c r="G7" s="412"/>
      <c r="H7" s="411">
        <f>SUMIF(58:58,YEAR(G7)&amp;"-"&amp;MONTH(G7),59:59)</f>
        <v>0</v>
      </c>
      <c r="I7" s="412"/>
      <c r="J7" s="411">
        <f>SUMIF(58:58,YEAR(I7)&amp;"-"&amp;MONTH(I7),59:59)</f>
        <v>0</v>
      </c>
      <c r="K7" s="2592"/>
      <c r="L7" s="1129"/>
      <c r="M7" s="1130"/>
      <c r="N7" s="1130"/>
      <c r="O7" s="1130"/>
      <c r="P7" s="3244" t="s">
        <v>2538</v>
      </c>
      <c r="Q7" s="3246"/>
      <c r="R7" s="770" t="s">
        <v>23</v>
      </c>
      <c r="S7" s="771">
        <f t="shared" ref="S7:S15" si="0">F7</f>
        <v>0</v>
      </c>
      <c r="T7" s="770" t="s">
        <v>23</v>
      </c>
      <c r="U7" s="771">
        <f t="shared" ref="U7:U15" si="1">H7</f>
        <v>0</v>
      </c>
      <c r="V7" s="770" t="s">
        <v>23</v>
      </c>
      <c r="W7" s="771">
        <f t="shared" ref="W7:W15" si="2">J7</f>
        <v>0</v>
      </c>
      <c r="X7" s="772"/>
      <c r="Y7" s="3244" t="s">
        <v>2538</v>
      </c>
      <c r="Z7" s="3245"/>
      <c r="AA7" s="773" t="e">
        <f>D7/F7</f>
        <v>#DIV/0!</v>
      </c>
      <c r="AB7" s="773" t="e">
        <f>D7/H7</f>
        <v>#DIV/0!</v>
      </c>
      <c r="AC7" s="773" t="e">
        <f>D7/J7</f>
        <v>#DIV/0!</v>
      </c>
    </row>
    <row r="8" spans="1:29" s="117" customFormat="1" ht="15.75" thickBot="1">
      <c r="A8" s="408" t="s">
        <v>2539</v>
      </c>
      <c r="B8" s="409"/>
      <c r="C8" s="414" t="s">
        <v>2540</v>
      </c>
      <c r="D8" s="411">
        <v>100</v>
      </c>
      <c r="E8" s="2593"/>
      <c r="F8" s="413">
        <f>SUMIF(61:61,E8,62:62)-SUMIF(61:61,C8,62:62)+100</f>
        <v>0</v>
      </c>
      <c r="G8" s="414"/>
      <c r="H8" s="411">
        <f>SUMIF(61:61,G8,62:62)-SUMIF(61:61,C8,62:62)+100</f>
        <v>0</v>
      </c>
      <c r="I8" s="2593"/>
      <c r="J8" s="411">
        <f>SUMIF(61:61,I8,62:62)-SUMIF(61:61,C8,62:62)+100</f>
        <v>0</v>
      </c>
      <c r="K8" s="2592"/>
      <c r="L8" s="1129"/>
      <c r="M8" s="1130"/>
      <c r="N8" s="1130"/>
      <c r="O8" s="1130"/>
      <c r="P8" s="3244" t="s">
        <v>2541</v>
      </c>
      <c r="Q8" s="3245"/>
      <c r="R8" s="770" t="s">
        <v>23</v>
      </c>
      <c r="S8" s="771">
        <f t="shared" si="0"/>
        <v>0</v>
      </c>
      <c r="T8" s="770" t="s">
        <v>23</v>
      </c>
      <c r="U8" s="771">
        <f t="shared" si="1"/>
        <v>0</v>
      </c>
      <c r="V8" s="770" t="s">
        <v>23</v>
      </c>
      <c r="W8" s="771">
        <f t="shared" si="2"/>
        <v>0</v>
      </c>
      <c r="X8" s="772"/>
      <c r="Y8" s="3244" t="s">
        <v>2541</v>
      </c>
      <c r="Z8" s="3245"/>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2"/>
      <c r="L9" s="1129"/>
      <c r="M9" s="1130"/>
      <c r="N9" s="1130"/>
      <c r="O9" s="1130"/>
      <c r="P9" s="3214" t="s">
        <v>2544</v>
      </c>
      <c r="Q9" s="2936" t="str">
        <f t="shared" ref="Q9:Q15" si="6">B9</f>
        <v>用途</v>
      </c>
      <c r="R9" s="770" t="s">
        <v>17</v>
      </c>
      <c r="S9" s="771">
        <f t="shared" si="0"/>
        <v>100</v>
      </c>
      <c r="T9" s="770" t="s">
        <v>17</v>
      </c>
      <c r="U9" s="771">
        <f t="shared" si="1"/>
        <v>100</v>
      </c>
      <c r="V9" s="770" t="s">
        <v>17</v>
      </c>
      <c r="W9" s="771">
        <f t="shared" si="2"/>
        <v>100</v>
      </c>
      <c r="X9" s="772"/>
      <c r="Y9" s="3059" t="s">
        <v>2545</v>
      </c>
      <c r="Z9" s="2937" t="str">
        <f t="shared" ref="Z9:Z15" si="7">Q9</f>
        <v>用途</v>
      </c>
      <c r="AA9" s="773">
        <f t="shared" si="3"/>
        <v>1</v>
      </c>
      <c r="AB9" s="773">
        <f t="shared" si="4"/>
        <v>1</v>
      </c>
      <c r="AC9" s="773">
        <f t="shared" si="5"/>
        <v>1</v>
      </c>
    </row>
    <row r="10" spans="1:29" s="427" customFormat="1" ht="27">
      <c r="A10" s="421"/>
      <c r="B10" s="2942" t="s">
        <v>2546</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4"/>
      <c r="Q10" s="2936" t="str">
        <f t="shared" si="6"/>
        <v>土地使用年限（年）</v>
      </c>
      <c r="R10" s="770" t="s">
        <v>17</v>
      </c>
      <c r="S10" s="771">
        <f t="shared" si="0"/>
        <v>100</v>
      </c>
      <c r="T10" s="770" t="s">
        <v>17</v>
      </c>
      <c r="U10" s="771">
        <f t="shared" si="1"/>
        <v>100</v>
      </c>
      <c r="V10" s="770" t="s">
        <v>17</v>
      </c>
      <c r="W10" s="771">
        <f t="shared" si="2"/>
        <v>100</v>
      </c>
      <c r="X10" s="772"/>
      <c r="Y10" s="3059"/>
      <c r="Z10" s="2937" t="str">
        <f t="shared" si="7"/>
        <v>土地使用年限（年）</v>
      </c>
      <c r="AA10" s="773">
        <f t="shared" si="3"/>
        <v>1</v>
      </c>
      <c r="AB10" s="773">
        <f t="shared" si="4"/>
        <v>1</v>
      </c>
      <c r="AC10" s="773">
        <f t="shared" si="5"/>
        <v>1</v>
      </c>
    </row>
    <row r="11" spans="1:29" ht="15">
      <c r="A11" s="428"/>
      <c r="B11" s="294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4"/>
      <c r="Q11" s="2936" t="str">
        <f t="shared" si="6"/>
        <v>容积率</v>
      </c>
      <c r="R11" s="770" t="s">
        <v>21</v>
      </c>
      <c r="S11" s="771" t="e">
        <f t="shared" si="0"/>
        <v>#N/A</v>
      </c>
      <c r="T11" s="770" t="s">
        <v>21</v>
      </c>
      <c r="U11" s="771" t="e">
        <f t="shared" si="1"/>
        <v>#N/A</v>
      </c>
      <c r="V11" s="770" t="s">
        <v>21</v>
      </c>
      <c r="W11" s="771" t="e">
        <f t="shared" si="2"/>
        <v>#N/A</v>
      </c>
      <c r="X11" s="772"/>
      <c r="Y11" s="3059"/>
      <c r="Z11" s="2937" t="str">
        <f t="shared" si="7"/>
        <v>容积率</v>
      </c>
      <c r="AA11" s="773" t="e">
        <f t="shared" si="3"/>
        <v>#N/A</v>
      </c>
      <c r="AB11" s="773" t="e">
        <f t="shared" si="4"/>
        <v>#N/A</v>
      </c>
      <c r="AC11" s="773" t="e">
        <f t="shared" si="5"/>
        <v>#N/A</v>
      </c>
    </row>
    <row r="12" spans="1:29" s="117" customFormat="1" ht="15">
      <c r="A12" s="431"/>
      <c r="B12" s="2594"/>
      <c r="C12" s="432"/>
      <c r="D12" s="433">
        <v>100</v>
      </c>
      <c r="E12" s="432"/>
      <c r="F12" s="425">
        <f>SUMIF(70:70,E12,71:71)-SUMIF(70:70,C12,71:71)+100</f>
        <v>100</v>
      </c>
      <c r="G12" s="432"/>
      <c r="H12" s="136">
        <f>SUMIF(70:70,G12,71:71)-SUMIF(70:70,C12,71:71)+100</f>
        <v>100</v>
      </c>
      <c r="I12" s="432"/>
      <c r="J12" s="136">
        <f>SUMIF(70:70,I12,71:71)-SUMIF(70:70,C12,71:71)+100</f>
        <v>100</v>
      </c>
      <c r="K12" s="2595"/>
      <c r="L12" s="1129"/>
      <c r="M12" s="1130"/>
      <c r="N12" s="1130"/>
      <c r="O12" s="1130"/>
      <c r="P12" s="3214"/>
      <c r="Q12" s="2936">
        <f t="shared" si="6"/>
        <v>0</v>
      </c>
      <c r="R12" s="770" t="s">
        <v>21</v>
      </c>
      <c r="S12" s="771">
        <f t="shared" si="0"/>
        <v>100</v>
      </c>
      <c r="T12" s="770" t="s">
        <v>21</v>
      </c>
      <c r="U12" s="771">
        <f t="shared" si="1"/>
        <v>100</v>
      </c>
      <c r="V12" s="770" t="s">
        <v>21</v>
      </c>
      <c r="W12" s="771">
        <f t="shared" si="2"/>
        <v>100</v>
      </c>
      <c r="X12" s="772"/>
      <c r="Y12" s="3059"/>
      <c r="Z12" s="2937">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2595"/>
      <c r="L13" s="1137"/>
      <c r="M13" s="1128"/>
      <c r="N13" s="1128"/>
      <c r="O13" s="1128"/>
      <c r="P13" s="3214"/>
      <c r="Q13" s="2936">
        <f t="shared" si="6"/>
        <v>0</v>
      </c>
      <c r="R13" s="770" t="s">
        <v>21</v>
      </c>
      <c r="S13" s="771">
        <f t="shared" si="0"/>
        <v>100</v>
      </c>
      <c r="T13" s="770" t="s">
        <v>21</v>
      </c>
      <c r="U13" s="771">
        <f t="shared" si="1"/>
        <v>100</v>
      </c>
      <c r="V13" s="770" t="s">
        <v>21</v>
      </c>
      <c r="W13" s="771">
        <f t="shared" si="2"/>
        <v>100</v>
      </c>
      <c r="X13" s="772"/>
      <c r="Y13" s="3059"/>
      <c r="Z13" s="2937">
        <f t="shared" si="7"/>
        <v>0</v>
      </c>
      <c r="AA13" s="773">
        <f t="shared" si="3"/>
        <v>1</v>
      </c>
      <c r="AB13" s="773">
        <f t="shared" si="4"/>
        <v>1</v>
      </c>
      <c r="AC13" s="773">
        <f t="shared" si="5"/>
        <v>1</v>
      </c>
    </row>
    <row r="14" spans="1:29" ht="15.75" thickBot="1">
      <c r="A14" s="436"/>
      <c r="B14" s="2596"/>
      <c r="C14" s="437"/>
      <c r="D14" s="438">
        <v>100</v>
      </c>
      <c r="E14" s="437"/>
      <c r="F14" s="439">
        <f>SUMIF(74:74,E14,75:75)-SUMIF(74:74,C14,75:75)+100</f>
        <v>100</v>
      </c>
      <c r="G14" s="437"/>
      <c r="H14" s="438">
        <f>SUMIF(74:74,G14,75:75)-SUMIF(74:74,C14,75:75)+100</f>
        <v>100</v>
      </c>
      <c r="I14" s="437"/>
      <c r="J14" s="438">
        <f>SUMIF(74:74,I14,75:75)-SUMIF(74:74,C14,75:75)+100</f>
        <v>100</v>
      </c>
      <c r="K14" s="2595"/>
      <c r="L14" s="1137"/>
      <c r="M14" s="1128"/>
      <c r="N14" s="1128"/>
      <c r="O14" s="1128"/>
      <c r="P14" s="3214"/>
      <c r="Q14" s="2936">
        <f t="shared" si="6"/>
        <v>0</v>
      </c>
      <c r="R14" s="770" t="s">
        <v>21</v>
      </c>
      <c r="S14" s="771">
        <f t="shared" si="0"/>
        <v>100</v>
      </c>
      <c r="T14" s="770" t="s">
        <v>21</v>
      </c>
      <c r="U14" s="771">
        <f t="shared" si="1"/>
        <v>100</v>
      </c>
      <c r="V14" s="770" t="s">
        <v>21</v>
      </c>
      <c r="W14" s="771">
        <f t="shared" si="2"/>
        <v>100</v>
      </c>
      <c r="X14" s="772"/>
      <c r="Y14" s="3059"/>
      <c r="Z14" s="2937">
        <f t="shared" si="7"/>
        <v>0</v>
      </c>
      <c r="AA14" s="773">
        <f t="shared" si="3"/>
        <v>1</v>
      </c>
      <c r="AB14" s="773">
        <f t="shared" si="4"/>
        <v>1</v>
      </c>
      <c r="AC14" s="773">
        <f t="shared" si="5"/>
        <v>1</v>
      </c>
    </row>
    <row r="15" spans="1:29" ht="57">
      <c r="A15" s="440" t="s">
        <v>2548</v>
      </c>
      <c r="B15" s="69" t="s">
        <v>2084</v>
      </c>
      <c r="C15" s="2597" t="str">
        <f>估价对象房地状况!C3</f>
        <v>周边居住用地比例、居住小区规模和社区发展完善程度</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59" t="s">
        <v>2549</v>
      </c>
      <c r="Q15" s="2948" t="str">
        <f t="shared" si="6"/>
        <v>居住社区成熟度</v>
      </c>
      <c r="R15" s="774" t="s">
        <v>21</v>
      </c>
      <c r="S15" s="775">
        <f t="shared" si="0"/>
        <v>100</v>
      </c>
      <c r="T15" s="774" t="s">
        <v>21</v>
      </c>
      <c r="U15" s="775">
        <f t="shared" si="1"/>
        <v>100</v>
      </c>
      <c r="V15" s="774" t="s">
        <v>21</v>
      </c>
      <c r="W15" s="775">
        <f t="shared" si="2"/>
        <v>100</v>
      </c>
      <c r="X15" s="2950"/>
      <c r="Y15" s="3217" t="s">
        <v>2549</v>
      </c>
      <c r="Z15" s="2951" t="str">
        <f t="shared" si="7"/>
        <v>居住社区成熟度</v>
      </c>
      <c r="AA15" s="2949">
        <f t="shared" si="3"/>
        <v>1</v>
      </c>
      <c r="AB15" s="2949">
        <f t="shared" si="4"/>
        <v>1</v>
      </c>
      <c r="AC15" s="2949">
        <f t="shared" si="5"/>
        <v>1</v>
      </c>
    </row>
    <row r="16" spans="1:29" ht="15">
      <c r="A16" s="428"/>
      <c r="B16" s="446"/>
      <c r="C16" s="447"/>
      <c r="D16" s="448"/>
      <c r="E16" s="2598"/>
      <c r="F16" s="448"/>
      <c r="G16" s="2599"/>
      <c r="H16" s="450"/>
      <c r="I16" s="2599"/>
      <c r="J16" s="448"/>
      <c r="K16" s="2600"/>
      <c r="L16" s="1137"/>
      <c r="M16" s="1128"/>
      <c r="N16" s="1128"/>
      <c r="O16" s="1128"/>
      <c r="P16" s="3260"/>
      <c r="Q16" s="2948"/>
      <c r="R16" s="774"/>
      <c r="S16" s="775"/>
      <c r="T16" s="774"/>
      <c r="U16" s="775"/>
      <c r="V16" s="774"/>
      <c r="W16" s="775"/>
      <c r="X16" s="2950"/>
      <c r="Y16" s="3218"/>
      <c r="Z16" s="2951"/>
      <c r="AA16" s="2949">
        <v>1</v>
      </c>
      <c r="AB16" s="2949">
        <v>1</v>
      </c>
      <c r="AC16" s="2949">
        <v>1</v>
      </c>
    </row>
    <row r="17" spans="1:29" ht="71.25">
      <c r="A17" s="428"/>
      <c r="B17" s="451" t="s">
        <v>2090</v>
      </c>
      <c r="C17" s="2601" t="str">
        <f>估价对象房地状况!C6</f>
        <v>周边道路状况、公共交通通达情况、停车便捷程度（地铁三号线观音桥</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60"/>
      <c r="Q17" s="2948" t="str">
        <f>B17</f>
        <v>交通便捷度</v>
      </c>
      <c r="R17" s="774" t="s">
        <v>21</v>
      </c>
      <c r="S17" s="775">
        <f>F17</f>
        <v>100</v>
      </c>
      <c r="T17" s="774" t="s">
        <v>21</v>
      </c>
      <c r="U17" s="775">
        <f>H17</f>
        <v>100</v>
      </c>
      <c r="V17" s="774" t="s">
        <v>21</v>
      </c>
      <c r="W17" s="775">
        <f>J17</f>
        <v>100</v>
      </c>
      <c r="X17" s="2950"/>
      <c r="Y17" s="3218"/>
      <c r="Z17" s="2951" t="str">
        <f>Q17</f>
        <v>交通便捷度</v>
      </c>
      <c r="AA17" s="2949">
        <f t="shared" si="3"/>
        <v>1</v>
      </c>
      <c r="AB17" s="2949">
        <f t="shared" si="4"/>
        <v>1</v>
      </c>
      <c r="AC17" s="2949">
        <f t="shared" si="5"/>
        <v>1</v>
      </c>
    </row>
    <row r="18" spans="1:29" ht="15">
      <c r="A18" s="428"/>
      <c r="B18" s="456"/>
      <c r="C18" s="2602"/>
      <c r="D18" s="450"/>
      <c r="E18" s="2603"/>
      <c r="F18" s="450"/>
      <c r="G18" s="2604"/>
      <c r="H18" s="448"/>
      <c r="I18" s="2604"/>
      <c r="J18" s="448"/>
      <c r="K18" s="2600"/>
      <c r="L18" s="1137"/>
      <c r="M18" s="1128"/>
      <c r="N18" s="1128"/>
      <c r="O18" s="1128"/>
      <c r="P18" s="3260"/>
      <c r="Q18" s="2948"/>
      <c r="R18" s="774"/>
      <c r="S18" s="775"/>
      <c r="T18" s="774"/>
      <c r="U18" s="775"/>
      <c r="V18" s="774"/>
      <c r="W18" s="775"/>
      <c r="X18" s="2950"/>
      <c r="Y18" s="3218"/>
      <c r="Z18" s="2951"/>
      <c r="AA18" s="2949">
        <v>1</v>
      </c>
      <c r="AB18" s="2949">
        <v>1</v>
      </c>
      <c r="AC18" s="2949">
        <v>1</v>
      </c>
    </row>
    <row r="19" spans="1:29" ht="15">
      <c r="A19" s="428"/>
      <c r="B19" s="451" t="s">
        <v>2089</v>
      </c>
      <c r="C19" s="260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60"/>
      <c r="Q19" s="2948" t="str">
        <f>B19</f>
        <v>公共配套设施</v>
      </c>
      <c r="R19" s="774" t="s">
        <v>21</v>
      </c>
      <c r="S19" s="775">
        <f>F19</f>
        <v>100</v>
      </c>
      <c r="T19" s="774" t="s">
        <v>21</v>
      </c>
      <c r="U19" s="775">
        <f>H19</f>
        <v>100</v>
      </c>
      <c r="V19" s="774" t="s">
        <v>21</v>
      </c>
      <c r="W19" s="775">
        <f>J19</f>
        <v>100</v>
      </c>
      <c r="X19" s="2950"/>
      <c r="Y19" s="3218"/>
      <c r="Z19" s="2951" t="str">
        <f>Q19</f>
        <v>公共配套设施</v>
      </c>
      <c r="AA19" s="2949">
        <f t="shared" si="3"/>
        <v>1</v>
      </c>
      <c r="AB19" s="2949">
        <f t="shared" si="4"/>
        <v>1</v>
      </c>
      <c r="AC19" s="2949">
        <f t="shared" si="5"/>
        <v>1</v>
      </c>
    </row>
    <row r="20" spans="1:29" ht="15">
      <c r="A20" s="428"/>
      <c r="B20" s="456"/>
      <c r="C20" s="447"/>
      <c r="D20" s="448"/>
      <c r="E20" s="2598"/>
      <c r="F20" s="448"/>
      <c r="G20" s="2599"/>
      <c r="H20" s="448"/>
      <c r="I20" s="2599"/>
      <c r="J20" s="448"/>
      <c r="K20" s="2600"/>
      <c r="L20" s="1137"/>
      <c r="M20" s="1128"/>
      <c r="N20" s="1128"/>
      <c r="O20" s="1128"/>
      <c r="P20" s="3260"/>
      <c r="Q20" s="2948"/>
      <c r="R20" s="774"/>
      <c r="S20" s="775"/>
      <c r="T20" s="774"/>
      <c r="U20" s="775"/>
      <c r="V20" s="774"/>
      <c r="W20" s="775"/>
      <c r="X20" s="2950"/>
      <c r="Y20" s="3218"/>
      <c r="Z20" s="2951"/>
      <c r="AA20" s="2949">
        <v>1</v>
      </c>
      <c r="AB20" s="2949">
        <v>1</v>
      </c>
      <c r="AC20" s="2949">
        <v>1</v>
      </c>
    </row>
    <row r="21" spans="1:29" ht="15">
      <c r="A21" s="428"/>
      <c r="B21" s="1381" t="s">
        <v>2091</v>
      </c>
      <c r="C21" s="260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60"/>
      <c r="Q21" s="2948" t="str">
        <f>B21</f>
        <v>基础设施水平</v>
      </c>
      <c r="R21" s="774" t="s">
        <v>17</v>
      </c>
      <c r="S21" s="775">
        <f>F21</f>
        <v>100</v>
      </c>
      <c r="T21" s="774" t="s">
        <v>17</v>
      </c>
      <c r="U21" s="775">
        <f>H21</f>
        <v>100</v>
      </c>
      <c r="V21" s="774" t="s">
        <v>17</v>
      </c>
      <c r="W21" s="775">
        <f>J21</f>
        <v>100</v>
      </c>
      <c r="X21" s="2950"/>
      <c r="Y21" s="3218"/>
      <c r="Z21" s="2951" t="str">
        <f>Q21</f>
        <v>基础设施水平</v>
      </c>
      <c r="AA21" s="2949">
        <f t="shared" ref="AA21" si="8">D21/F21</f>
        <v>1</v>
      </c>
      <c r="AB21" s="2949">
        <f t="shared" ref="AB21" si="9">D21/H21</f>
        <v>1</v>
      </c>
      <c r="AC21" s="2949">
        <f t="shared" ref="AC21" si="10">D21/J21</f>
        <v>1</v>
      </c>
    </row>
    <row r="22" spans="1:29" ht="15">
      <c r="A22" s="428"/>
      <c r="B22" s="1381"/>
      <c r="C22" s="2602"/>
      <c r="D22" s="448"/>
      <c r="E22" s="447"/>
      <c r="F22" s="448"/>
      <c r="G22" s="2605"/>
      <c r="H22" s="448"/>
      <c r="I22" s="447"/>
      <c r="J22" s="448"/>
      <c r="K22" s="2606"/>
      <c r="L22" s="1137"/>
      <c r="M22" s="1128"/>
      <c r="N22" s="1128"/>
      <c r="O22" s="1128"/>
      <c r="P22" s="3260"/>
      <c r="Q22" s="2948"/>
      <c r="R22" s="774"/>
      <c r="S22" s="775"/>
      <c r="T22" s="774"/>
      <c r="U22" s="775"/>
      <c r="V22" s="774"/>
      <c r="W22" s="775"/>
      <c r="X22" s="2950"/>
      <c r="Y22" s="3218"/>
      <c r="Z22" s="2951"/>
      <c r="AA22" s="2949">
        <v>1</v>
      </c>
      <c r="AB22" s="2949">
        <v>1</v>
      </c>
      <c r="AC22" s="2949">
        <v>1</v>
      </c>
    </row>
    <row r="23" spans="1:29" ht="15">
      <c r="A23" s="428"/>
      <c r="B23" s="451" t="s">
        <v>2093</v>
      </c>
      <c r="C23" s="260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60"/>
      <c r="Q23" s="2948" t="str">
        <f>B23</f>
        <v>自然及人文环境</v>
      </c>
      <c r="R23" s="774" t="s">
        <v>21</v>
      </c>
      <c r="S23" s="775">
        <f>F23</f>
        <v>100</v>
      </c>
      <c r="T23" s="774" t="s">
        <v>21</v>
      </c>
      <c r="U23" s="775">
        <f>H23</f>
        <v>100</v>
      </c>
      <c r="V23" s="774" t="s">
        <v>21</v>
      </c>
      <c r="W23" s="775">
        <f>J23</f>
        <v>100</v>
      </c>
      <c r="X23" s="2950"/>
      <c r="Y23" s="3218"/>
      <c r="Z23" s="2951" t="str">
        <f>Q23</f>
        <v>自然及人文环境</v>
      </c>
      <c r="AA23" s="2949">
        <f>D23/F23</f>
        <v>1</v>
      </c>
      <c r="AB23" s="2949">
        <f>D23/H23</f>
        <v>1</v>
      </c>
      <c r="AC23" s="2949">
        <f>D23/J23</f>
        <v>1</v>
      </c>
    </row>
    <row r="24" spans="1:29" ht="15">
      <c r="A24" s="428"/>
      <c r="B24" s="456"/>
      <c r="C24" s="447"/>
      <c r="D24" s="448"/>
      <c r="E24" s="2598"/>
      <c r="F24" s="448"/>
      <c r="G24" s="2599"/>
      <c r="H24" s="448"/>
      <c r="I24" s="2599"/>
      <c r="J24" s="448"/>
      <c r="K24" s="2600"/>
      <c r="L24" s="1137"/>
      <c r="M24" s="1128"/>
      <c r="N24" s="1128"/>
      <c r="O24" s="1128"/>
      <c r="P24" s="3260"/>
      <c r="Q24" s="2948"/>
      <c r="R24" s="774"/>
      <c r="S24" s="775"/>
      <c r="T24" s="774"/>
      <c r="U24" s="775"/>
      <c r="V24" s="774"/>
      <c r="W24" s="775"/>
      <c r="X24" s="2950"/>
      <c r="Y24" s="3218"/>
      <c r="Z24" s="2951"/>
      <c r="AA24" s="2949">
        <v>1</v>
      </c>
      <c r="AB24" s="2949">
        <v>1</v>
      </c>
      <c r="AC24" s="2949">
        <v>1</v>
      </c>
    </row>
    <row r="25" spans="1:29" ht="15">
      <c r="A25" s="428"/>
      <c r="B25" s="2942"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7"/>
      <c r="M25" s="1128"/>
      <c r="N25" s="1128"/>
      <c r="O25" s="1128"/>
      <c r="P25" s="3260"/>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50"/>
      <c r="Y25" s="3218"/>
      <c r="Z25" s="2951" t="str">
        <f>Q25</f>
        <v>楼层-1</v>
      </c>
      <c r="AA25" s="2949">
        <f t="shared" ref="AA25:AA46" si="15">D25/F25</f>
        <v>1</v>
      </c>
      <c r="AB25" s="2949">
        <f t="shared" ref="AB25:AB46" si="16">D25/H25</f>
        <v>1</v>
      </c>
      <c r="AC25" s="2949">
        <f t="shared" ref="AC25:AC46" si="17">D25/J25</f>
        <v>1</v>
      </c>
    </row>
    <row r="26" spans="1:29" ht="15">
      <c r="A26" s="428"/>
      <c r="B26" s="2942"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7"/>
      <c r="M26" s="1128"/>
      <c r="N26" s="1128"/>
      <c r="O26" s="1128"/>
      <c r="P26" s="3260"/>
      <c r="Q26" s="2948" t="str">
        <f t="shared" si="11"/>
        <v>朝向</v>
      </c>
      <c r="R26" s="774" t="s">
        <v>21</v>
      </c>
      <c r="S26" s="775">
        <f t="shared" si="12"/>
        <v>100</v>
      </c>
      <c r="T26" s="774" t="s">
        <v>21</v>
      </c>
      <c r="U26" s="775">
        <f t="shared" si="13"/>
        <v>100</v>
      </c>
      <c r="V26" s="774" t="s">
        <v>21</v>
      </c>
      <c r="W26" s="775">
        <f t="shared" si="14"/>
        <v>100</v>
      </c>
      <c r="X26" s="2950"/>
      <c r="Y26" s="3218"/>
      <c r="Z26" s="2951" t="str">
        <f>Q26</f>
        <v>朝向</v>
      </c>
      <c r="AA26" s="2949">
        <f t="shared" si="15"/>
        <v>1</v>
      </c>
      <c r="AB26" s="2949">
        <f t="shared" si="16"/>
        <v>1</v>
      </c>
      <c r="AC26" s="2949">
        <f t="shared" si="17"/>
        <v>1</v>
      </c>
    </row>
    <row r="27" spans="1:29" s="117" customFormat="1" ht="15">
      <c r="A27" s="431"/>
      <c r="B27" s="1383"/>
      <c r="C27" s="432"/>
      <c r="D27" s="462">
        <v>100</v>
      </c>
      <c r="E27" s="465"/>
      <c r="F27" s="462">
        <f>SUMIF(90:90,E27,91:91)-SUMIF(90:90,C27,91:91)+100</f>
        <v>100</v>
      </c>
      <c r="G27" s="463"/>
      <c r="H27" s="462">
        <f>SUMIF(90:90,G27,91:91)-SUMIF(90:90,C27,91:91)+100</f>
        <v>100</v>
      </c>
      <c r="I27" s="463"/>
      <c r="J27" s="462">
        <f>SUMIF(90:90,I27,91:91)-SUMIF(90:90,C27,91:91)+100</f>
        <v>100</v>
      </c>
      <c r="K27" s="2595"/>
      <c r="L27" s="1129"/>
      <c r="M27" s="1130"/>
      <c r="N27" s="1130"/>
      <c r="O27" s="1130"/>
      <c r="P27" s="3260"/>
      <c r="Q27" s="2936">
        <f t="shared" si="11"/>
        <v>0</v>
      </c>
      <c r="R27" s="770" t="s">
        <v>21</v>
      </c>
      <c r="S27" s="771">
        <f t="shared" si="12"/>
        <v>100</v>
      </c>
      <c r="T27" s="770" t="s">
        <v>21</v>
      </c>
      <c r="U27" s="771">
        <f t="shared" si="13"/>
        <v>100</v>
      </c>
      <c r="V27" s="770" t="s">
        <v>21</v>
      </c>
      <c r="W27" s="771">
        <f t="shared" si="14"/>
        <v>100</v>
      </c>
      <c r="X27" s="772"/>
      <c r="Y27" s="3218"/>
      <c r="Z27" s="2937">
        <f>Q27</f>
        <v>0</v>
      </c>
      <c r="AA27" s="2949">
        <f t="shared" si="15"/>
        <v>1</v>
      </c>
      <c r="AB27" s="2949">
        <f t="shared" si="16"/>
        <v>1</v>
      </c>
      <c r="AC27" s="2949">
        <f t="shared" si="17"/>
        <v>1</v>
      </c>
    </row>
    <row r="28" spans="1:29" ht="15">
      <c r="A28" s="428"/>
      <c r="B28" s="1383"/>
      <c r="C28" s="434"/>
      <c r="D28" s="435">
        <v>100</v>
      </c>
      <c r="E28" s="434"/>
      <c r="F28" s="435">
        <f>SUMIF(92:92,E28,93:93)-SUMIF(92:92,C28,93:93)+100</f>
        <v>100</v>
      </c>
      <c r="G28" s="2609"/>
      <c r="H28" s="435">
        <f>SUMIF(92:92,G28,93:93)-SUMIF(92:92,C28,93:93)+100</f>
        <v>100</v>
      </c>
      <c r="I28" s="434"/>
      <c r="J28" s="435">
        <f>SUMIF(92:92,I28,93:93)-SUMIF(92:92,C28,93:93)+100</f>
        <v>100</v>
      </c>
      <c r="K28" s="2595"/>
      <c r="L28" s="1137"/>
      <c r="M28" s="1128"/>
      <c r="N28" s="1128"/>
      <c r="O28" s="1128"/>
      <c r="P28" s="3260"/>
      <c r="Q28" s="2948">
        <f t="shared" si="11"/>
        <v>0</v>
      </c>
      <c r="R28" s="774" t="s">
        <v>21</v>
      </c>
      <c r="S28" s="775">
        <f t="shared" si="12"/>
        <v>100</v>
      </c>
      <c r="T28" s="774" t="s">
        <v>21</v>
      </c>
      <c r="U28" s="775">
        <f t="shared" si="13"/>
        <v>100</v>
      </c>
      <c r="V28" s="774" t="s">
        <v>21</v>
      </c>
      <c r="W28" s="775">
        <f t="shared" si="14"/>
        <v>100</v>
      </c>
      <c r="X28" s="2950"/>
      <c r="Y28" s="3218"/>
      <c r="Z28" s="2951">
        <f t="shared" ref="Z28:Z46" si="18">Q28</f>
        <v>0</v>
      </c>
      <c r="AA28" s="2949">
        <f t="shared" si="15"/>
        <v>1</v>
      </c>
      <c r="AB28" s="2949">
        <f t="shared" si="16"/>
        <v>1</v>
      </c>
      <c r="AC28" s="2949">
        <f t="shared" si="17"/>
        <v>1</v>
      </c>
    </row>
    <row r="29" spans="1:29" ht="15">
      <c r="A29" s="428"/>
      <c r="B29" s="1383"/>
      <c r="C29" s="434"/>
      <c r="D29" s="435">
        <v>100</v>
      </c>
      <c r="E29" s="434"/>
      <c r="F29" s="435">
        <f>SUMIF(94:94,E29,95:95)-SUMIF(94:94,C29,95:95)+100</f>
        <v>100</v>
      </c>
      <c r="G29" s="2609"/>
      <c r="H29" s="435">
        <f>SUMIF(94:94,G29,95:95)-SUMIF(94:94,C29,95:95)+100</f>
        <v>100</v>
      </c>
      <c r="I29" s="434"/>
      <c r="J29" s="435">
        <f>SUMIF(94:94,I29,95:95)-SUMIF(94:94,C29,95:95)+100</f>
        <v>100</v>
      </c>
      <c r="K29" s="2595"/>
      <c r="L29" s="1137"/>
      <c r="M29" s="1128"/>
      <c r="N29" s="1128"/>
      <c r="O29" s="1128"/>
      <c r="P29" s="3260"/>
      <c r="Q29" s="2948">
        <f t="shared" si="11"/>
        <v>0</v>
      </c>
      <c r="R29" s="774" t="s">
        <v>21</v>
      </c>
      <c r="S29" s="775">
        <f t="shared" si="12"/>
        <v>100</v>
      </c>
      <c r="T29" s="774" t="s">
        <v>21</v>
      </c>
      <c r="U29" s="775">
        <f t="shared" si="13"/>
        <v>100</v>
      </c>
      <c r="V29" s="774" t="s">
        <v>21</v>
      </c>
      <c r="W29" s="775">
        <f t="shared" si="14"/>
        <v>100</v>
      </c>
      <c r="X29" s="2950"/>
      <c r="Y29" s="3218"/>
      <c r="Z29" s="2951">
        <f t="shared" si="18"/>
        <v>0</v>
      </c>
      <c r="AA29" s="2949">
        <f t="shared" si="15"/>
        <v>1</v>
      </c>
      <c r="AB29" s="2949">
        <f t="shared" si="16"/>
        <v>1</v>
      </c>
      <c r="AC29" s="2949">
        <f t="shared" si="17"/>
        <v>1</v>
      </c>
    </row>
    <row r="30" spans="1:29" ht="15">
      <c r="A30" s="428"/>
      <c r="B30" s="1383"/>
      <c r="C30" s="434"/>
      <c r="D30" s="435">
        <v>100</v>
      </c>
      <c r="E30" s="434"/>
      <c r="F30" s="435">
        <f>SUMIF(96:96,E30,97:97)-SUMIF(96:96,C30,97:97)+100</f>
        <v>100</v>
      </c>
      <c r="G30" s="2609"/>
      <c r="H30" s="435">
        <f>SUMIF(96:96,G30,97:97)-SUMIF(96:96,C30,97:97)+100</f>
        <v>100</v>
      </c>
      <c r="I30" s="434"/>
      <c r="J30" s="435">
        <f>SUMIF(96:96,I30,97:97)-SUMIF(96:96,C30,97:97)+100</f>
        <v>100</v>
      </c>
      <c r="K30" s="2595"/>
      <c r="L30" s="1137"/>
      <c r="M30" s="1128"/>
      <c r="N30" s="1128"/>
      <c r="O30" s="1128"/>
      <c r="P30" s="3260"/>
      <c r="Q30" s="2948">
        <f t="shared" si="11"/>
        <v>0</v>
      </c>
      <c r="R30" s="774" t="s">
        <v>21</v>
      </c>
      <c r="S30" s="775">
        <f t="shared" si="12"/>
        <v>100</v>
      </c>
      <c r="T30" s="774" t="s">
        <v>21</v>
      </c>
      <c r="U30" s="775">
        <f t="shared" si="13"/>
        <v>100</v>
      </c>
      <c r="V30" s="774" t="s">
        <v>21</v>
      </c>
      <c r="W30" s="775">
        <f t="shared" si="14"/>
        <v>100</v>
      </c>
      <c r="X30" s="2950"/>
      <c r="Y30" s="3218"/>
      <c r="Z30" s="2951">
        <f t="shared" si="18"/>
        <v>0</v>
      </c>
      <c r="AA30" s="2949">
        <f t="shared" si="15"/>
        <v>1</v>
      </c>
      <c r="AB30" s="2949">
        <f t="shared" si="16"/>
        <v>1</v>
      </c>
      <c r="AC30" s="2949">
        <f t="shared" si="17"/>
        <v>1</v>
      </c>
    </row>
    <row r="31" spans="1:29" ht="15.75" thickBot="1">
      <c r="A31" s="436"/>
      <c r="B31" s="1383"/>
      <c r="C31" s="437"/>
      <c r="D31" s="438">
        <v>100</v>
      </c>
      <c r="E31" s="437"/>
      <c r="F31" s="438">
        <f>SUMIF(98:98,E31,99:99)-SUMIF(98:98,C31,99:99)+100</f>
        <v>100</v>
      </c>
      <c r="G31" s="2610"/>
      <c r="H31" s="438">
        <f>SUMIF(98:98,G31,99:99)-SUMIF(98:98,C31,99:99)+100</f>
        <v>100</v>
      </c>
      <c r="I31" s="437"/>
      <c r="J31" s="438">
        <f>SUMIF(98:98,I31,99:99)-SUMIF(98:98,C31,99:99)+100</f>
        <v>100</v>
      </c>
      <c r="K31" s="2595"/>
      <c r="L31" s="1137"/>
      <c r="M31" s="1128"/>
      <c r="N31" s="1128"/>
      <c r="O31" s="1128"/>
      <c r="P31" s="3260"/>
      <c r="Q31" s="2948">
        <f t="shared" si="11"/>
        <v>0</v>
      </c>
      <c r="R31" s="774" t="s">
        <v>21</v>
      </c>
      <c r="S31" s="775">
        <f t="shared" si="12"/>
        <v>100</v>
      </c>
      <c r="T31" s="774" t="s">
        <v>21</v>
      </c>
      <c r="U31" s="775">
        <f t="shared" si="13"/>
        <v>100</v>
      </c>
      <c r="V31" s="774" t="s">
        <v>21</v>
      </c>
      <c r="W31" s="775">
        <f t="shared" si="14"/>
        <v>100</v>
      </c>
      <c r="X31" s="2950"/>
      <c r="Y31" s="3218"/>
      <c r="Z31" s="2951">
        <f t="shared" si="18"/>
        <v>0</v>
      </c>
      <c r="AA31" s="2949">
        <f t="shared" si="15"/>
        <v>1</v>
      </c>
      <c r="AB31" s="2949">
        <f t="shared" si="16"/>
        <v>1</v>
      </c>
      <c r="AC31" s="2949">
        <f t="shared" si="17"/>
        <v>1</v>
      </c>
    </row>
    <row r="32" spans="1:29" ht="15">
      <c r="A32" s="440" t="s">
        <v>2552</v>
      </c>
      <c r="B32" s="71" t="s">
        <v>2553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7"/>
      <c r="M32" s="1128"/>
      <c r="N32" s="1128"/>
      <c r="O32" s="1128"/>
      <c r="P32" s="3261" t="s">
        <v>2554</v>
      </c>
      <c r="Q32" s="2948" t="str">
        <f t="shared" si="11"/>
        <v>建筑类型</v>
      </c>
      <c r="R32" s="774" t="s">
        <v>21</v>
      </c>
      <c r="S32" s="775">
        <f t="shared" si="12"/>
        <v>100</v>
      </c>
      <c r="T32" s="774" t="s">
        <v>21</v>
      </c>
      <c r="U32" s="775">
        <f t="shared" si="13"/>
        <v>100</v>
      </c>
      <c r="V32" s="774" t="s">
        <v>21</v>
      </c>
      <c r="W32" s="775">
        <f t="shared" si="14"/>
        <v>100</v>
      </c>
      <c r="X32" s="2950"/>
      <c r="Y32" s="3220" t="s">
        <v>2554</v>
      </c>
      <c r="Z32" s="2951" t="str">
        <f t="shared" si="18"/>
        <v>建筑类型</v>
      </c>
      <c r="AA32" s="2949">
        <f t="shared" si="15"/>
        <v>1</v>
      </c>
      <c r="AB32" s="2949">
        <f t="shared" si="16"/>
        <v>1</v>
      </c>
      <c r="AC32" s="2949">
        <f t="shared" si="17"/>
        <v>1</v>
      </c>
    </row>
    <row r="33" spans="1:29" s="471" customFormat="1" ht="15">
      <c r="A33" s="468"/>
      <c r="B33" s="294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5"/>
      <c r="M33" s="1138"/>
      <c r="N33" s="1138"/>
      <c r="O33" s="1138"/>
      <c r="P33" s="3262"/>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2949" t="e">
        <f t="shared" si="15"/>
        <v>#N/A</v>
      </c>
      <c r="AB33" s="2949" t="e">
        <f t="shared" si="16"/>
        <v>#N/A</v>
      </c>
      <c r="AC33" s="2949" t="e">
        <f t="shared" si="17"/>
        <v>#N/A</v>
      </c>
    </row>
    <row r="34" spans="1:29" ht="15">
      <c r="A34" s="472"/>
      <c r="B34" s="2942" t="s">
        <v>2556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7"/>
      <c r="M34" s="1128"/>
      <c r="N34" s="1128"/>
      <c r="O34" s="1128"/>
      <c r="P34" s="3262"/>
      <c r="Q34" s="2948" t="str">
        <f t="shared" si="11"/>
        <v>建筑结构</v>
      </c>
      <c r="R34" s="774" t="s">
        <v>21</v>
      </c>
      <c r="S34" s="775">
        <f t="shared" si="12"/>
        <v>100</v>
      </c>
      <c r="T34" s="774" t="s">
        <v>21</v>
      </c>
      <c r="U34" s="775">
        <f t="shared" si="13"/>
        <v>100</v>
      </c>
      <c r="V34" s="774" t="s">
        <v>21</v>
      </c>
      <c r="W34" s="775">
        <f t="shared" si="14"/>
        <v>100</v>
      </c>
      <c r="X34" s="2950"/>
      <c r="Y34" s="3220"/>
      <c r="Z34" s="2951" t="str">
        <f t="shared" si="18"/>
        <v>建筑结构</v>
      </c>
      <c r="AA34" s="2949">
        <f t="shared" si="15"/>
        <v>1</v>
      </c>
      <c r="AB34" s="2949">
        <f t="shared" si="16"/>
        <v>1</v>
      </c>
      <c r="AC34" s="2949">
        <f t="shared" si="17"/>
        <v>1</v>
      </c>
    </row>
    <row r="35" spans="1:29" ht="15">
      <c r="A35" s="472"/>
      <c r="B35" s="2942" t="s">
        <v>2557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7"/>
      <c r="M35" s="1128"/>
      <c r="N35" s="1128"/>
      <c r="O35" s="1128"/>
      <c r="P35" s="3262"/>
      <c r="Q35" s="2948" t="str">
        <f t="shared" si="11"/>
        <v>建筑品质</v>
      </c>
      <c r="R35" s="774" t="s">
        <v>21</v>
      </c>
      <c r="S35" s="775">
        <f t="shared" si="12"/>
        <v>100</v>
      </c>
      <c r="T35" s="774" t="s">
        <v>21</v>
      </c>
      <c r="U35" s="775">
        <f t="shared" si="13"/>
        <v>100</v>
      </c>
      <c r="V35" s="774" t="s">
        <v>21</v>
      </c>
      <c r="W35" s="775">
        <f t="shared" si="14"/>
        <v>100</v>
      </c>
      <c r="X35" s="2950"/>
      <c r="Y35" s="3220"/>
      <c r="Z35" s="2951" t="str">
        <f t="shared" si="18"/>
        <v>建筑品质</v>
      </c>
      <c r="AA35" s="2949">
        <f t="shared" si="15"/>
        <v>1</v>
      </c>
      <c r="AB35" s="2949">
        <f t="shared" si="16"/>
        <v>1</v>
      </c>
      <c r="AC35" s="2949">
        <f t="shared" si="17"/>
        <v>1</v>
      </c>
    </row>
    <row r="36" spans="1:29" ht="15">
      <c r="A36" s="472"/>
      <c r="B36" s="2942" t="s">
        <v>2558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7"/>
      <c r="M36" s="1128"/>
      <c r="N36" s="1128"/>
      <c r="O36" s="1128"/>
      <c r="P36" s="3262"/>
      <c r="Q36" s="2948" t="str">
        <f t="shared" si="11"/>
        <v>公共部分装修</v>
      </c>
      <c r="R36" s="774" t="s">
        <v>21</v>
      </c>
      <c r="S36" s="775">
        <f t="shared" si="12"/>
        <v>100</v>
      </c>
      <c r="T36" s="774" t="s">
        <v>21</v>
      </c>
      <c r="U36" s="775">
        <f t="shared" si="13"/>
        <v>100</v>
      </c>
      <c r="V36" s="774" t="s">
        <v>21</v>
      </c>
      <c r="W36" s="775">
        <f t="shared" si="14"/>
        <v>100</v>
      </c>
      <c r="X36" s="2950"/>
      <c r="Y36" s="3220"/>
      <c r="Z36" s="2951" t="str">
        <f t="shared" si="18"/>
        <v>公共部分装修</v>
      </c>
      <c r="AA36" s="2949">
        <f t="shared" si="15"/>
        <v>1</v>
      </c>
      <c r="AB36" s="2949">
        <f t="shared" si="16"/>
        <v>1</v>
      </c>
      <c r="AC36" s="2949">
        <f t="shared" si="17"/>
        <v>1</v>
      </c>
    </row>
    <row r="37" spans="1:29" s="117" customFormat="1" ht="15">
      <c r="A37" s="473"/>
      <c r="B37" s="294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62"/>
      <c r="Q37" s="2936" t="str">
        <f t="shared" si="11"/>
        <v>成新度</v>
      </c>
      <c r="R37" s="770" t="s">
        <v>21</v>
      </c>
      <c r="S37" s="771" t="e">
        <f t="shared" si="12"/>
        <v>#N/A</v>
      </c>
      <c r="T37" s="770" t="s">
        <v>21</v>
      </c>
      <c r="U37" s="771" t="e">
        <f t="shared" si="13"/>
        <v>#N/A</v>
      </c>
      <c r="V37" s="770" t="s">
        <v>21</v>
      </c>
      <c r="W37" s="771" t="e">
        <f t="shared" si="14"/>
        <v>#N/A</v>
      </c>
      <c r="X37" s="772"/>
      <c r="Y37" s="3220"/>
      <c r="Z37" s="2937" t="str">
        <f t="shared" si="18"/>
        <v>成新度</v>
      </c>
      <c r="AA37" s="773" t="e">
        <f t="shared" si="15"/>
        <v>#N/A</v>
      </c>
      <c r="AB37" s="773" t="e">
        <f t="shared" si="16"/>
        <v>#N/A</v>
      </c>
      <c r="AC37" s="773" t="e">
        <f t="shared" si="17"/>
        <v>#N/A</v>
      </c>
    </row>
    <row r="38" spans="1:29" ht="15">
      <c r="A38" s="472"/>
      <c r="B38" s="2942" t="s">
        <v>2560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7"/>
      <c r="M38" s="1128"/>
      <c r="N38" s="1128"/>
      <c r="O38" s="1128"/>
      <c r="P38" s="3262" t="s">
        <v>2554</v>
      </c>
      <c r="Q38" s="2948" t="str">
        <f t="shared" si="11"/>
        <v>物业管理</v>
      </c>
      <c r="R38" s="774" t="s">
        <v>21</v>
      </c>
      <c r="S38" s="775">
        <f t="shared" si="12"/>
        <v>100</v>
      </c>
      <c r="T38" s="774" t="s">
        <v>21</v>
      </c>
      <c r="U38" s="775">
        <f t="shared" si="13"/>
        <v>100</v>
      </c>
      <c r="V38" s="774" t="s">
        <v>21</v>
      </c>
      <c r="W38" s="775">
        <f t="shared" si="14"/>
        <v>100</v>
      </c>
      <c r="X38" s="2950"/>
      <c r="Y38" s="3220" t="s">
        <v>2554</v>
      </c>
      <c r="Z38" s="2951" t="str">
        <f t="shared" si="18"/>
        <v>物业管理</v>
      </c>
      <c r="AA38" s="2949">
        <f t="shared" si="15"/>
        <v>1</v>
      </c>
      <c r="AB38" s="2949">
        <f t="shared" si="16"/>
        <v>1</v>
      </c>
      <c r="AC38" s="2949">
        <f t="shared" si="17"/>
        <v>1</v>
      </c>
    </row>
    <row r="39" spans="1:29" ht="15">
      <c r="A39" s="472"/>
      <c r="B39" s="2942" t="s">
        <v>2561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7"/>
      <c r="M39" s="1128"/>
      <c r="N39" s="1128"/>
      <c r="O39" s="1128"/>
      <c r="P39" s="3262"/>
      <c r="Q39" s="2948" t="str">
        <f t="shared" si="11"/>
        <v>市政基础设施</v>
      </c>
      <c r="R39" s="774" t="s">
        <v>21</v>
      </c>
      <c r="S39" s="775">
        <f t="shared" si="12"/>
        <v>100</v>
      </c>
      <c r="T39" s="774" t="s">
        <v>21</v>
      </c>
      <c r="U39" s="775">
        <f t="shared" si="13"/>
        <v>100</v>
      </c>
      <c r="V39" s="774" t="s">
        <v>21</v>
      </c>
      <c r="W39" s="775">
        <f t="shared" si="14"/>
        <v>100</v>
      </c>
      <c r="X39" s="2950"/>
      <c r="Y39" s="3220"/>
      <c r="Z39" s="2951" t="str">
        <f t="shared" si="18"/>
        <v>市政基础设施</v>
      </c>
      <c r="AA39" s="2949">
        <f t="shared" si="15"/>
        <v>1</v>
      </c>
      <c r="AB39" s="2949">
        <f t="shared" si="16"/>
        <v>1</v>
      </c>
      <c r="AC39" s="2949">
        <f t="shared" si="17"/>
        <v>1</v>
      </c>
    </row>
    <row r="40" spans="1:29" ht="15">
      <c r="A40" s="472"/>
      <c r="B40" s="2942" t="s">
        <v>2562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7"/>
      <c r="M40" s="1128"/>
      <c r="N40" s="1128"/>
      <c r="O40" s="1128"/>
      <c r="P40" s="3262"/>
      <c r="Q40" s="2948" t="str">
        <f t="shared" si="11"/>
        <v>房型</v>
      </c>
      <c r="R40" s="774" t="s">
        <v>21</v>
      </c>
      <c r="S40" s="775">
        <f t="shared" si="12"/>
        <v>100</v>
      </c>
      <c r="T40" s="774" t="s">
        <v>21</v>
      </c>
      <c r="U40" s="775">
        <f t="shared" si="13"/>
        <v>100</v>
      </c>
      <c r="V40" s="774" t="s">
        <v>21</v>
      </c>
      <c r="W40" s="775">
        <f t="shared" si="14"/>
        <v>100</v>
      </c>
      <c r="X40" s="2950"/>
      <c r="Y40" s="3220"/>
      <c r="Z40" s="2951" t="str">
        <f t="shared" si="18"/>
        <v>房型</v>
      </c>
      <c r="AA40" s="2949">
        <f t="shared" si="15"/>
        <v>1</v>
      </c>
      <c r="AB40" s="2949">
        <f t="shared" si="16"/>
        <v>1</v>
      </c>
      <c r="AC40" s="2949">
        <f t="shared" si="17"/>
        <v>1</v>
      </c>
    </row>
    <row r="41" spans="1:29" s="471" customFormat="1" ht="28.5">
      <c r="A41" s="468"/>
      <c r="B41" s="294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5"/>
      <c r="M41" s="1138"/>
      <c r="N41" s="1138"/>
      <c r="O41" s="1138"/>
      <c r="P41" s="3262"/>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2949">
        <f t="shared" si="15"/>
        <v>1</v>
      </c>
      <c r="AB41" s="2949">
        <f t="shared" si="16"/>
        <v>1</v>
      </c>
      <c r="AC41" s="2949">
        <f t="shared" si="17"/>
        <v>1</v>
      </c>
    </row>
    <row r="42" spans="1:29" ht="15">
      <c r="A42" s="472"/>
      <c r="B42" s="2942" t="s">
        <v>2564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7"/>
      <c r="M42" s="1128"/>
      <c r="N42" s="1128"/>
      <c r="O42" s="1128"/>
      <c r="P42" s="3262"/>
      <c r="Q42" s="2948" t="str">
        <f t="shared" si="11"/>
        <v>内部装修</v>
      </c>
      <c r="R42" s="774" t="s">
        <v>21</v>
      </c>
      <c r="S42" s="775">
        <f t="shared" si="12"/>
        <v>100</v>
      </c>
      <c r="T42" s="774" t="s">
        <v>21</v>
      </c>
      <c r="U42" s="775">
        <f t="shared" si="13"/>
        <v>100</v>
      </c>
      <c r="V42" s="774" t="s">
        <v>21</v>
      </c>
      <c r="W42" s="775">
        <f t="shared" si="14"/>
        <v>100</v>
      </c>
      <c r="X42" s="2950"/>
      <c r="Y42" s="3220"/>
      <c r="Z42" s="2951" t="str">
        <f t="shared" si="18"/>
        <v>内部装修</v>
      </c>
      <c r="AA42" s="2949">
        <f t="shared" si="15"/>
        <v>1</v>
      </c>
      <c r="AB42" s="2949">
        <f t="shared" si="16"/>
        <v>1</v>
      </c>
      <c r="AC42" s="2949">
        <f t="shared" si="17"/>
        <v>1</v>
      </c>
    </row>
    <row r="43" spans="1:29" ht="15">
      <c r="A43" s="472"/>
      <c r="B43" s="2942" t="s">
        <v>2565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7"/>
      <c r="M43" s="1128"/>
      <c r="N43" s="1128"/>
      <c r="O43" s="1128"/>
      <c r="P43" s="3262"/>
      <c r="Q43" s="2948" t="str">
        <f t="shared" si="11"/>
        <v>内部装修维护情况</v>
      </c>
      <c r="R43" s="774" t="s">
        <v>21</v>
      </c>
      <c r="S43" s="775">
        <f t="shared" si="12"/>
        <v>100</v>
      </c>
      <c r="T43" s="774" t="s">
        <v>21</v>
      </c>
      <c r="U43" s="775">
        <f t="shared" si="13"/>
        <v>100</v>
      </c>
      <c r="V43" s="774" t="s">
        <v>21</v>
      </c>
      <c r="W43" s="775">
        <f t="shared" si="14"/>
        <v>100</v>
      </c>
      <c r="X43" s="2950"/>
      <c r="Y43" s="3220"/>
      <c r="Z43" s="2951" t="str">
        <f t="shared" si="18"/>
        <v>内部装修维护情况</v>
      </c>
      <c r="AA43" s="2949">
        <f t="shared" si="15"/>
        <v>1</v>
      </c>
      <c r="AB43" s="2949">
        <f t="shared" si="16"/>
        <v>1</v>
      </c>
      <c r="AC43" s="2949">
        <f t="shared" si="17"/>
        <v>1</v>
      </c>
    </row>
    <row r="44" spans="1:29" s="117" customFormat="1" ht="15">
      <c r="A44" s="473"/>
      <c r="B44" s="1383"/>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9"/>
      <c r="M44" s="1130"/>
      <c r="N44" s="1130"/>
      <c r="O44" s="1130"/>
      <c r="P44" s="3262"/>
      <c r="Q44" s="2936">
        <f t="shared" si="11"/>
        <v>0</v>
      </c>
      <c r="R44" s="770" t="s">
        <v>21</v>
      </c>
      <c r="S44" s="771">
        <f t="shared" si="12"/>
        <v>100</v>
      </c>
      <c r="T44" s="770" t="s">
        <v>21</v>
      </c>
      <c r="U44" s="771">
        <f t="shared" si="13"/>
        <v>100</v>
      </c>
      <c r="V44" s="770" t="s">
        <v>21</v>
      </c>
      <c r="W44" s="771">
        <f t="shared" si="14"/>
        <v>100</v>
      </c>
      <c r="X44" s="772"/>
      <c r="Y44" s="3220"/>
      <c r="Z44" s="2937">
        <f t="shared" si="18"/>
        <v>0</v>
      </c>
      <c r="AA44" s="773">
        <f t="shared" si="15"/>
        <v>1</v>
      </c>
      <c r="AB44" s="773">
        <f t="shared" si="16"/>
        <v>1</v>
      </c>
      <c r="AC44" s="773">
        <f t="shared" si="17"/>
        <v>1</v>
      </c>
    </row>
    <row r="45" spans="1:29" ht="15">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7"/>
      <c r="M45" s="1128"/>
      <c r="N45" s="1128"/>
      <c r="O45" s="1128"/>
      <c r="P45" s="3262"/>
      <c r="Q45" s="2948">
        <f t="shared" si="11"/>
        <v>0</v>
      </c>
      <c r="R45" s="774" t="s">
        <v>21</v>
      </c>
      <c r="S45" s="775">
        <f t="shared" si="12"/>
        <v>100</v>
      </c>
      <c r="T45" s="774" t="s">
        <v>21</v>
      </c>
      <c r="U45" s="775">
        <f t="shared" si="13"/>
        <v>100</v>
      </c>
      <c r="V45" s="774" t="s">
        <v>21</v>
      </c>
      <c r="W45" s="775">
        <f t="shared" si="14"/>
        <v>100</v>
      </c>
      <c r="X45" s="2950"/>
      <c r="Y45" s="3220"/>
      <c r="Z45" s="2951">
        <f t="shared" si="18"/>
        <v>0</v>
      </c>
      <c r="AA45" s="2949">
        <f t="shared" si="15"/>
        <v>1</v>
      </c>
      <c r="AB45" s="2949">
        <f t="shared" si="16"/>
        <v>1</v>
      </c>
      <c r="AC45" s="2949">
        <f t="shared" si="17"/>
        <v>1</v>
      </c>
    </row>
    <row r="46" spans="1:29" ht="15.75" thickBot="1">
      <c r="A46" s="478"/>
      <c r="B46" s="2596"/>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7"/>
      <c r="M46" s="1128"/>
      <c r="N46" s="1128"/>
      <c r="O46" s="1128"/>
      <c r="P46" s="3263"/>
      <c r="Q46" s="2948">
        <f t="shared" si="11"/>
        <v>0</v>
      </c>
      <c r="R46" s="774" t="s">
        <v>20</v>
      </c>
      <c r="S46" s="775">
        <f t="shared" si="12"/>
        <v>100</v>
      </c>
      <c r="T46" s="774" t="s">
        <v>20</v>
      </c>
      <c r="U46" s="775">
        <f t="shared" si="13"/>
        <v>100</v>
      </c>
      <c r="V46" s="774" t="s">
        <v>20</v>
      </c>
      <c r="W46" s="775">
        <f t="shared" si="14"/>
        <v>100</v>
      </c>
      <c r="X46" s="2950"/>
      <c r="Y46" s="3264"/>
      <c r="Z46" s="2951">
        <f t="shared" si="18"/>
        <v>0</v>
      </c>
      <c r="AA46" s="2949">
        <f t="shared" si="15"/>
        <v>1</v>
      </c>
      <c r="AB46" s="2949">
        <f t="shared" si="16"/>
        <v>1</v>
      </c>
      <c r="AC46" s="2949">
        <f t="shared" si="17"/>
        <v>1</v>
      </c>
    </row>
    <row r="47" spans="1:29" ht="15">
      <c r="A47" s="479" t="s">
        <v>2566</v>
      </c>
      <c r="B47" s="480"/>
      <c r="C47" s="1404" t="s">
        <v>19</v>
      </c>
      <c r="D47" s="1405"/>
      <c r="E47" s="1406"/>
      <c r="F47" s="1407"/>
      <c r="G47" s="1408"/>
      <c r="H47" s="1409"/>
      <c r="I47" s="1406"/>
      <c r="J47" s="1409"/>
      <c r="K47" s="2615"/>
      <c r="L47" s="1140"/>
      <c r="M47" s="1141"/>
      <c r="N47" s="1128"/>
      <c r="O47" s="1141"/>
      <c r="P47" s="3215" t="str">
        <f>A47</f>
        <v>成交单价（元/平方米）</v>
      </c>
      <c r="Q47" s="3215"/>
      <c r="R47" s="3257">
        <f>E47</f>
        <v>0</v>
      </c>
      <c r="S47" s="3257"/>
      <c r="T47" s="3257">
        <f>G47</f>
        <v>0</v>
      </c>
      <c r="U47" s="3257"/>
      <c r="V47" s="3257">
        <f>I47</f>
        <v>0</v>
      </c>
      <c r="W47" s="3257"/>
      <c r="X47" s="759"/>
      <c r="Y47" s="781"/>
      <c r="Z47" s="759"/>
      <c r="AA47" s="759"/>
      <c r="AB47" s="759"/>
      <c r="AC47" s="759"/>
    </row>
    <row r="48" spans="1:29" ht="15.75" thickBot="1">
      <c r="A48" s="486" t="s">
        <v>2567</v>
      </c>
      <c r="B48" s="487"/>
      <c r="C48" s="1410" t="e">
        <f>R49</f>
        <v>#DIV/0!</v>
      </c>
      <c r="D48" s="1411"/>
      <c r="E48" s="1412" t="e">
        <f>R48</f>
        <v>#DIV/0!</v>
      </c>
      <c r="F48" s="1412"/>
      <c r="G48" s="1410" t="e">
        <f>T48</f>
        <v>#DIV/0!</v>
      </c>
      <c r="H48" s="1411"/>
      <c r="I48" s="1412" t="e">
        <f>V48</f>
        <v>#DIV/0!</v>
      </c>
      <c r="J48" s="1411"/>
      <c r="K48" s="2616"/>
      <c r="L48" s="1140"/>
      <c r="M48" s="1141"/>
      <c r="N48" s="1141"/>
      <c r="O48" s="1141"/>
      <c r="P48" s="3215" t="str">
        <f>A48</f>
        <v>比较价值（元/平方米）</v>
      </c>
      <c r="Q48" s="3215"/>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2568</v>
      </c>
      <c r="B49" s="493"/>
      <c r="C49" s="1413" t="e">
        <f>R49</f>
        <v>#DIV/0!</v>
      </c>
      <c r="D49" s="1414"/>
      <c r="E49" s="1414"/>
      <c r="F49" s="1414"/>
      <c r="G49" s="1414"/>
      <c r="H49" s="1414"/>
      <c r="I49" s="1414"/>
      <c r="J49" s="1414"/>
      <c r="K49" s="2617"/>
      <c r="L49" s="1140"/>
      <c r="M49" s="1141"/>
      <c r="N49" s="1141"/>
      <c r="O49" s="1141"/>
      <c r="P49" s="3209" t="str">
        <f>A49</f>
        <v>估价对象XX用房的比较价值（楼面单价，元/平方米）</v>
      </c>
      <c r="Q49" s="3210"/>
      <c r="R49" s="3258" t="e">
        <f>IF(F1="售价",ROUND(AVERAGE(R48:V48),0),ROUND(AVERAGE(R48:V48),1))</f>
        <v>#DIV/0!</v>
      </c>
      <c r="S49" s="3258"/>
      <c r="T49" s="3258"/>
      <c r="U49" s="3258"/>
      <c r="V49" s="3258"/>
      <c r="W49" s="325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9"/>
    </row>
    <row r="55" spans="1:29" s="502"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3" t="s">
        <v>2572</v>
      </c>
      <c r="B57" s="759"/>
      <c r="C57" s="764"/>
      <c r="D57" s="764"/>
      <c r="E57" s="764"/>
      <c r="F57" s="765"/>
      <c r="G57" s="765"/>
      <c r="H57" s="764"/>
      <c r="I57" s="764"/>
      <c r="J57" s="764"/>
      <c r="K57" s="1157"/>
      <c r="L57" s="1158"/>
      <c r="M57" s="1156"/>
      <c r="N57" s="1156"/>
      <c r="O57" s="1156"/>
      <c r="P57" s="2620"/>
      <c r="Q57" s="504"/>
    </row>
    <row r="58" spans="1:29" s="508" customFormat="1" ht="15">
      <c r="A58" s="505" t="s">
        <v>2537</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2574</v>
      </c>
      <c r="B60" s="516"/>
      <c r="C60" s="517"/>
      <c r="D60" s="518"/>
      <c r="E60" s="518"/>
      <c r="F60" s="518"/>
      <c r="G60" s="518"/>
      <c r="H60" s="518"/>
      <c r="I60" s="518"/>
      <c r="J60" s="518"/>
      <c r="K60" s="518"/>
      <c r="L60" s="518"/>
      <c r="M60" s="519"/>
      <c r="N60" s="518"/>
      <c r="O60" s="519"/>
      <c r="P60" s="2622"/>
      <c r="Q60" s="504"/>
    </row>
    <row r="61" spans="1:29" s="117" customFormat="1" ht="15">
      <c r="A61" s="521" t="s">
        <v>2539</v>
      </c>
      <c r="B61" s="510"/>
      <c r="C61" s="522" t="s">
        <v>2576</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2577</v>
      </c>
      <c r="B63" s="528" t="s">
        <v>2543</v>
      </c>
      <c r="C63" s="529">
        <f>C9</f>
        <v>0</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49"/>
      <c r="O65" s="1149"/>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4"/>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4"/>
      <c r="Q67" s="504"/>
    </row>
    <row r="68" spans="1:17" ht="15">
      <c r="A68" s="534"/>
      <c r="B68" s="548"/>
      <c r="C68" s="549"/>
      <c r="D68" s="549"/>
      <c r="E68" s="549"/>
      <c r="F68" s="549"/>
      <c r="G68" s="549"/>
      <c r="H68" s="549"/>
      <c r="I68" s="549"/>
      <c r="J68" s="549"/>
      <c r="K68" s="550"/>
      <c r="L68" s="551"/>
      <c r="M68" s="552"/>
      <c r="N68" s="1149"/>
      <c r="O68" s="1149"/>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4"/>
      <c r="Q69" s="504"/>
    </row>
    <row r="70" spans="1:17" s="471" customFormat="1" ht="15.75" thickTop="1">
      <c r="A70" s="553"/>
      <c r="B70" s="538">
        <f>B12</f>
        <v>0</v>
      </c>
      <c r="C70" s="554"/>
      <c r="D70" s="554"/>
      <c r="E70" s="554"/>
      <c r="F70" s="554"/>
      <c r="G70" s="554"/>
      <c r="H70" s="555"/>
      <c r="I70" s="555"/>
      <c r="J70" s="555"/>
      <c r="K70" s="555"/>
      <c r="L70" s="556"/>
      <c r="M70" s="557"/>
      <c r="N70" s="1151"/>
      <c r="O70" s="1151"/>
      <c r="P70" s="2625"/>
      <c r="Q70" s="559"/>
    </row>
    <row r="71" spans="1:17" s="471" customFormat="1" ht="15.75" thickBot="1">
      <c r="A71" s="553"/>
      <c r="B71" s="543"/>
      <c r="C71" s="560"/>
      <c r="D71" s="536"/>
      <c r="E71" s="536"/>
      <c r="F71" s="536"/>
      <c r="G71" s="536"/>
      <c r="H71" s="536"/>
      <c r="I71" s="536"/>
      <c r="J71" s="536"/>
      <c r="K71" s="536"/>
      <c r="L71" s="536"/>
      <c r="M71" s="537"/>
      <c r="N71" s="1150"/>
      <c r="O71" s="1150"/>
      <c r="P71" s="2625"/>
      <c r="Q71" s="559"/>
    </row>
    <row r="72" spans="1:17" s="471" customFormat="1" ht="15.75" thickTop="1">
      <c r="A72" s="553"/>
      <c r="B72" s="538">
        <f>B13</f>
        <v>0</v>
      </c>
      <c r="C72" s="554"/>
      <c r="D72" s="554"/>
      <c r="E72" s="554"/>
      <c r="F72" s="554"/>
      <c r="G72" s="554"/>
      <c r="H72" s="555"/>
      <c r="I72" s="555"/>
      <c r="J72" s="555"/>
      <c r="K72" s="555"/>
      <c r="L72" s="556"/>
      <c r="M72" s="557"/>
      <c r="N72" s="1151"/>
      <c r="O72" s="1151"/>
      <c r="P72" s="2626"/>
      <c r="Q72" s="561"/>
    </row>
    <row r="73" spans="1:17" s="471" customFormat="1" ht="15.75" thickBot="1">
      <c r="A73" s="553"/>
      <c r="B73" s="543"/>
      <c r="C73" s="560"/>
      <c r="D73" s="560"/>
      <c r="E73" s="560"/>
      <c r="F73" s="560"/>
      <c r="G73" s="560"/>
      <c r="H73" s="562"/>
      <c r="I73" s="562"/>
      <c r="J73" s="562"/>
      <c r="K73" s="562"/>
      <c r="L73" s="562"/>
      <c r="M73" s="563"/>
      <c r="N73" s="1151"/>
      <c r="O73" s="1151"/>
      <c r="P73" s="2625"/>
      <c r="Q73" s="559"/>
    </row>
    <row r="74" spans="1:17" s="471" customFormat="1" ht="15.75" thickTop="1">
      <c r="A74" s="553"/>
      <c r="B74" s="546">
        <f>B14</f>
        <v>0</v>
      </c>
      <c r="C74" s="554"/>
      <c r="D74" s="554"/>
      <c r="E74" s="554"/>
      <c r="F74" s="554"/>
      <c r="G74" s="523"/>
      <c r="H74" s="564"/>
      <c r="I74" s="564"/>
      <c r="J74" s="564"/>
      <c r="K74" s="564"/>
      <c r="L74" s="565"/>
      <c r="M74" s="566"/>
      <c r="N74" s="1151"/>
      <c r="O74" s="1151"/>
      <c r="P74" s="2627"/>
      <c r="Q74" s="559"/>
    </row>
    <row r="75" spans="1:17" s="471" customFormat="1" ht="15.75" thickBot="1">
      <c r="A75" s="568"/>
      <c r="B75" s="569"/>
      <c r="C75" s="570"/>
      <c r="D75" s="570"/>
      <c r="E75" s="570"/>
      <c r="F75" s="570"/>
      <c r="G75" s="570"/>
      <c r="H75" s="571"/>
      <c r="I75" s="571"/>
      <c r="J75" s="571"/>
      <c r="K75" s="571"/>
      <c r="L75" s="571"/>
      <c r="M75" s="572"/>
      <c r="N75" s="1151"/>
      <c r="O75" s="1151"/>
      <c r="P75" s="262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49"/>
      <c r="O76" s="1149"/>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49"/>
      <c r="O78" s="1149"/>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49"/>
      <c r="O80" s="1149"/>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4"/>
      <c r="Q81" s="504"/>
    </row>
    <row r="82" spans="1:17" ht="15.75" thickTop="1">
      <c r="A82" s="534"/>
      <c r="B82" s="546" t="s">
        <v>2091</v>
      </c>
      <c r="C82" s="539" t="s">
        <v>2593</v>
      </c>
      <c r="D82" s="539" t="s">
        <v>2594</v>
      </c>
      <c r="E82" s="539" t="s">
        <v>2595</v>
      </c>
      <c r="F82" s="539" t="s">
        <v>2596</v>
      </c>
      <c r="G82" s="539" t="s">
        <v>2597</v>
      </c>
      <c r="H82" s="539"/>
      <c r="I82" s="539"/>
      <c r="J82" s="539"/>
      <c r="K82" s="539"/>
      <c r="L82" s="539"/>
      <c r="M82" s="1379"/>
      <c r="N82" s="1150"/>
      <c r="O82" s="1150"/>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49"/>
      <c r="O84" s="1149"/>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4"/>
      <c r="Q85" s="504"/>
    </row>
    <row r="86" spans="1:17" s="117" customFormat="1" ht="15.75" thickTop="1">
      <c r="A86" s="579"/>
      <c r="B86" s="538" t="s">
        <v>2599</v>
      </c>
      <c r="C86" s="554"/>
      <c r="D86" s="554"/>
      <c r="E86" s="554"/>
      <c r="F86" s="554"/>
      <c r="G86" s="554"/>
      <c r="H86" s="554"/>
      <c r="I86" s="554"/>
      <c r="J86" s="554"/>
      <c r="K86" s="554"/>
      <c r="L86" s="580"/>
      <c r="M86" s="581"/>
      <c r="N86" s="1148"/>
      <c r="O86" s="1148"/>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4"/>
      <c r="Q87" s="504"/>
    </row>
    <row r="88" spans="1:17" s="117" customFormat="1" ht="15.75" thickTop="1">
      <c r="A88" s="579"/>
      <c r="B88" s="538" t="s">
        <v>2600</v>
      </c>
      <c r="C88" s="554"/>
      <c r="D88" s="554"/>
      <c r="E88" s="554"/>
      <c r="F88" s="2629"/>
      <c r="G88" s="554"/>
      <c r="H88" s="554"/>
      <c r="I88" s="554"/>
      <c r="J88" s="554"/>
      <c r="K88" s="554"/>
      <c r="L88" s="554"/>
      <c r="M88" s="581"/>
      <c r="N88" s="1148"/>
      <c r="O88" s="1148"/>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4"/>
      <c r="Q89" s="504"/>
    </row>
    <row r="90" spans="1:17" s="471" customFormat="1" ht="15.75" thickTop="1">
      <c r="A90" s="553"/>
      <c r="B90" s="538">
        <f>B27</f>
        <v>0</v>
      </c>
      <c r="C90" s="554"/>
      <c r="D90" s="554"/>
      <c r="E90" s="554"/>
      <c r="F90" s="554"/>
      <c r="G90" s="554"/>
      <c r="H90" s="555"/>
      <c r="I90" s="555"/>
      <c r="J90" s="555"/>
      <c r="K90" s="555"/>
      <c r="L90" s="556"/>
      <c r="M90" s="557"/>
      <c r="N90" s="1151"/>
      <c r="O90" s="1151"/>
      <c r="P90" s="2625"/>
      <c r="Q90" s="559"/>
    </row>
    <row r="91" spans="1:17" s="471" customFormat="1" ht="15.75" thickBot="1">
      <c r="A91" s="553"/>
      <c r="B91" s="543"/>
      <c r="C91" s="560"/>
      <c r="D91" s="560"/>
      <c r="E91" s="560"/>
      <c r="F91" s="560"/>
      <c r="G91" s="560"/>
      <c r="H91" s="562"/>
      <c r="I91" s="562"/>
      <c r="J91" s="562"/>
      <c r="K91" s="562"/>
      <c r="L91" s="562"/>
      <c r="M91" s="563"/>
      <c r="N91" s="1151"/>
      <c r="O91" s="1151"/>
      <c r="P91" s="2625"/>
      <c r="Q91" s="559"/>
    </row>
    <row r="92" spans="1:17" ht="15.75" thickTop="1">
      <c r="A92" s="534"/>
      <c r="B92" s="538">
        <f>B28</f>
        <v>0</v>
      </c>
      <c r="C92" s="554"/>
      <c r="D92" s="554"/>
      <c r="E92" s="554"/>
      <c r="F92" s="554"/>
      <c r="G92" s="583"/>
      <c r="H92" s="583"/>
      <c r="I92" s="583"/>
      <c r="J92" s="583"/>
      <c r="K92" s="584"/>
      <c r="L92" s="585"/>
      <c r="M92" s="586"/>
      <c r="N92" s="1149"/>
      <c r="O92" s="1149"/>
      <c r="P92" s="2624"/>
      <c r="Q92" s="504"/>
    </row>
    <row r="93" spans="1:17" ht="15.75" thickBot="1">
      <c r="A93" s="534"/>
      <c r="B93" s="543"/>
      <c r="C93" s="560"/>
      <c r="D93" s="536"/>
      <c r="E93" s="536"/>
      <c r="F93" s="536"/>
      <c r="G93" s="536"/>
      <c r="H93" s="536"/>
      <c r="I93" s="536"/>
      <c r="J93" s="536"/>
      <c r="K93" s="536"/>
      <c r="L93" s="536"/>
      <c r="M93" s="537"/>
      <c r="N93" s="1150"/>
      <c r="O93" s="1150"/>
      <c r="P93" s="2624"/>
      <c r="Q93" s="504"/>
    </row>
    <row r="94" spans="1:17" ht="15.75" thickTop="1">
      <c r="A94" s="534"/>
      <c r="B94" s="538">
        <f>B29</f>
        <v>0</v>
      </c>
      <c r="C94" s="554"/>
      <c r="D94" s="554"/>
      <c r="E94" s="554"/>
      <c r="F94" s="554"/>
      <c r="G94" s="583"/>
      <c r="H94" s="583"/>
      <c r="I94" s="583"/>
      <c r="J94" s="583"/>
      <c r="K94" s="584"/>
      <c r="L94" s="585"/>
      <c r="M94" s="586"/>
      <c r="N94" s="1149"/>
      <c r="O94" s="1149"/>
      <c r="P94" s="2624"/>
      <c r="Q94" s="504"/>
    </row>
    <row r="95" spans="1:17" ht="15.75" thickBot="1">
      <c r="A95" s="534"/>
      <c r="B95" s="543"/>
      <c r="C95" s="560"/>
      <c r="D95" s="560"/>
      <c r="E95" s="560"/>
      <c r="F95" s="560"/>
      <c r="G95" s="536"/>
      <c r="H95" s="536"/>
      <c r="I95" s="536"/>
      <c r="J95" s="536"/>
      <c r="K95" s="536"/>
      <c r="L95" s="536"/>
      <c r="M95" s="537"/>
      <c r="N95" s="1150"/>
      <c r="O95" s="1150"/>
      <c r="P95" s="2624"/>
      <c r="Q95" s="504"/>
    </row>
    <row r="96" spans="1:17" ht="15.75" thickTop="1">
      <c r="A96" s="534"/>
      <c r="B96" s="538">
        <f>B30</f>
        <v>0</v>
      </c>
      <c r="C96" s="554"/>
      <c r="D96" s="554"/>
      <c r="E96" s="554"/>
      <c r="F96" s="554"/>
      <c r="G96" s="583"/>
      <c r="H96" s="583"/>
      <c r="I96" s="583"/>
      <c r="J96" s="583"/>
      <c r="K96" s="584"/>
      <c r="L96" s="585"/>
      <c r="M96" s="586"/>
      <c r="N96" s="1149"/>
      <c r="O96" s="1149"/>
      <c r="P96" s="2624"/>
      <c r="Q96" s="504"/>
    </row>
    <row r="97" spans="1:17" ht="15.75" thickBot="1">
      <c r="A97" s="534"/>
      <c r="B97" s="543"/>
      <c r="C97" s="570"/>
      <c r="D97" s="570"/>
      <c r="E97" s="570"/>
      <c r="F97" s="570"/>
      <c r="G97" s="536"/>
      <c r="H97" s="536"/>
      <c r="I97" s="536"/>
      <c r="J97" s="536"/>
      <c r="K97" s="536"/>
      <c r="L97" s="536"/>
      <c r="M97" s="537"/>
      <c r="N97" s="1150"/>
      <c r="O97" s="1150"/>
      <c r="P97" s="2624"/>
      <c r="Q97" s="504"/>
    </row>
    <row r="98" spans="1:17" ht="15.75" thickTop="1">
      <c r="A98" s="534"/>
      <c r="B98" s="546">
        <f>B31</f>
        <v>0</v>
      </c>
      <c r="C98" s="587"/>
      <c r="D98" s="587"/>
      <c r="E98" s="587"/>
      <c r="F98" s="587"/>
      <c r="G98" s="587"/>
      <c r="H98" s="587"/>
      <c r="I98" s="587"/>
      <c r="J98" s="587"/>
      <c r="K98" s="588"/>
      <c r="L98" s="589"/>
      <c r="M98" s="590"/>
      <c r="N98" s="1149"/>
      <c r="O98" s="1149"/>
      <c r="P98" s="2624"/>
      <c r="Q98" s="504"/>
    </row>
    <row r="99" spans="1:17" ht="15.75" thickBot="1">
      <c r="A99" s="2630"/>
      <c r="B99" s="569"/>
      <c r="C99" s="591"/>
      <c r="D99" s="591"/>
      <c r="E99" s="591"/>
      <c r="F99" s="591"/>
      <c r="G99" s="591"/>
      <c r="H99" s="591"/>
      <c r="I99" s="591"/>
      <c r="J99" s="591"/>
      <c r="K99" s="591"/>
      <c r="L99" s="591"/>
      <c r="M99" s="592"/>
      <c r="N99" s="1150"/>
      <c r="O99" s="1150"/>
      <c r="P99" s="2624"/>
      <c r="Q99" s="504"/>
    </row>
    <row r="100" spans="1:17">
      <c r="A100" s="527" t="s">
        <v>2552</v>
      </c>
      <c r="B100" s="528" t="s">
        <v>2601</v>
      </c>
      <c r="C100" s="530"/>
      <c r="D100" s="530"/>
      <c r="E100" s="530"/>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4"/>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4"/>
      <c r="Q102" s="504"/>
    </row>
    <row r="103" spans="1:17" s="471" customFormat="1">
      <c r="A103" s="593"/>
      <c r="B103" s="594"/>
      <c r="C103" s="595"/>
      <c r="D103" s="595"/>
      <c r="E103" s="595"/>
      <c r="F103" s="595"/>
      <c r="G103" s="595"/>
      <c r="H103" s="595"/>
      <c r="I103" s="595"/>
      <c r="J103" s="596"/>
      <c r="K103" s="596"/>
      <c r="L103" s="597"/>
      <c r="M103" s="598"/>
      <c r="N103" s="1151"/>
      <c r="O103" s="1151"/>
      <c r="P103" s="2625"/>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5"/>
      <c r="Q104" s="559"/>
    </row>
    <row r="105" spans="1:17" ht="15" thickTop="1">
      <c r="A105" s="599"/>
      <c r="B105" s="538" t="s">
        <v>2603</v>
      </c>
      <c r="C105" s="554"/>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4"/>
      <c r="Q106" s="504"/>
    </row>
    <row r="107" spans="1:17" ht="15" thickTop="1">
      <c r="A107" s="599"/>
      <c r="B107" s="538" t="s">
        <v>2604</v>
      </c>
      <c r="C107" s="583"/>
      <c r="D107" s="583"/>
      <c r="E107" s="583"/>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4"/>
      <c r="Q108" s="504"/>
    </row>
    <row r="109" spans="1:17" ht="15" thickTop="1">
      <c r="A109" s="599"/>
      <c r="B109" s="538" t="s">
        <v>2605</v>
      </c>
      <c r="C109" s="554"/>
      <c r="D109" s="554"/>
      <c r="E109" s="554"/>
      <c r="F109" s="583"/>
      <c r="G109" s="583"/>
      <c r="H109" s="583"/>
      <c r="I109" s="583"/>
      <c r="J109" s="583"/>
      <c r="K109" s="584"/>
      <c r="L109" s="585"/>
      <c r="M109" s="586"/>
      <c r="N109" s="1149"/>
      <c r="O109" s="1149"/>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5"/>
      <c r="Q113" s="559"/>
    </row>
    <row r="114" spans="1:17" ht="15" thickTop="1">
      <c r="A114" s="599"/>
      <c r="B114" s="538" t="s">
        <v>2606</v>
      </c>
      <c r="C114" s="554"/>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4"/>
      <c r="Q115" s="504"/>
    </row>
    <row r="116" spans="1:17" ht="15" thickTop="1">
      <c r="A116" s="599"/>
      <c r="B116" s="538" t="s">
        <v>2607</v>
      </c>
      <c r="C116" s="554"/>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4"/>
      <c r="Q117" s="504"/>
    </row>
    <row r="118" spans="1:17" ht="15" thickTop="1">
      <c r="A118" s="599"/>
      <c r="B118" s="538" t="s">
        <v>2608</v>
      </c>
      <c r="C118" s="583"/>
      <c r="D118" s="583"/>
      <c r="E118" s="583"/>
      <c r="F118" s="583"/>
      <c r="G118" s="583"/>
      <c r="H118" s="583"/>
      <c r="I118" s="583"/>
      <c r="J118" s="583"/>
      <c r="K118" s="584"/>
      <c r="L118" s="585"/>
      <c r="M118" s="586"/>
      <c r="N118" s="1149"/>
      <c r="O118" s="1149"/>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4"/>
      <c r="Q119" s="504"/>
    </row>
    <row r="120" spans="1:17" s="471" customFormat="1" ht="28.5" thickTop="1">
      <c r="A120" s="593"/>
      <c r="B120" s="538" t="s">
        <v>2563</v>
      </c>
      <c r="C120" s="554"/>
      <c r="D120" s="554"/>
      <c r="E120" s="554"/>
      <c r="F120" s="554"/>
      <c r="G120" s="554"/>
      <c r="H120" s="554"/>
      <c r="I120" s="554"/>
      <c r="J120" s="554"/>
      <c r="K120" s="554"/>
      <c r="L120" s="580"/>
      <c r="M120" s="581"/>
      <c r="N120" s="1151"/>
      <c r="O120" s="1151"/>
      <c r="P120" s="2625"/>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5"/>
      <c r="Q121" s="559"/>
    </row>
    <row r="122" spans="1:17" ht="15" thickTop="1">
      <c r="A122" s="599"/>
      <c r="B122" s="538" t="s">
        <v>2609</v>
      </c>
      <c r="C122" s="554"/>
      <c r="D122" s="554"/>
      <c r="E122" s="554"/>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49"/>
      <c r="O124" s="1149"/>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4"/>
      <c r="Q125" s="504"/>
    </row>
    <row r="126" spans="1:17" s="471" customFormat="1" ht="15" thickTop="1">
      <c r="A126" s="593"/>
      <c r="B126" s="538">
        <f>B44</f>
        <v>0</v>
      </c>
      <c r="C126" s="554"/>
      <c r="D126" s="554"/>
      <c r="E126" s="554"/>
      <c r="F126" s="554"/>
      <c r="G126" s="554"/>
      <c r="H126" s="555"/>
      <c r="I126" s="555"/>
      <c r="J126" s="555"/>
      <c r="K126" s="555"/>
      <c r="L126" s="556"/>
      <c r="M126" s="557"/>
      <c r="N126" s="1151"/>
      <c r="O126" s="1151"/>
      <c r="P126" s="2625"/>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5"/>
      <c r="Q127" s="559"/>
    </row>
    <row r="128" spans="1:17" ht="15" thickTop="1">
      <c r="A128" s="599"/>
      <c r="B128" s="538">
        <f>B45</f>
        <v>0</v>
      </c>
      <c r="C128" s="554"/>
      <c r="D128" s="554"/>
      <c r="E128" s="554"/>
      <c r="F128" s="554"/>
      <c r="G128" s="583"/>
      <c r="H128" s="583"/>
      <c r="I128" s="583"/>
      <c r="J128" s="583"/>
      <c r="K128" s="584"/>
      <c r="L128" s="585"/>
      <c r="M128" s="586"/>
      <c r="N128" s="1149"/>
      <c r="O128" s="1149"/>
      <c r="P128" s="2624"/>
      <c r="Q128" s="504"/>
    </row>
    <row r="129" spans="1:17" ht="15.75" thickBot="1">
      <c r="A129" s="534"/>
      <c r="B129" s="543"/>
      <c r="C129" s="560"/>
      <c r="D129" s="560"/>
      <c r="E129" s="560"/>
      <c r="F129" s="560"/>
      <c r="G129" s="536"/>
      <c r="H129" s="536"/>
      <c r="I129" s="536"/>
      <c r="J129" s="536"/>
      <c r="K129" s="536"/>
      <c r="L129" s="536"/>
      <c r="M129" s="537"/>
      <c r="N129" s="1150"/>
      <c r="O129" s="1150"/>
      <c r="P129" s="2624"/>
      <c r="Q129" s="504"/>
    </row>
    <row r="130" spans="1:17" ht="15" thickTop="1">
      <c r="A130" s="599"/>
      <c r="B130" s="546">
        <f>B46</f>
        <v>0</v>
      </c>
      <c r="C130" s="554"/>
      <c r="D130" s="554"/>
      <c r="E130" s="554"/>
      <c r="F130" s="554"/>
      <c r="G130" s="587"/>
      <c r="H130" s="587"/>
      <c r="I130" s="587"/>
      <c r="J130" s="587"/>
      <c r="K130" s="523"/>
      <c r="L130" s="524"/>
      <c r="M130" s="590"/>
      <c r="N130" s="1149"/>
      <c r="O130" s="1149"/>
      <c r="P130" s="2624"/>
      <c r="Q130" s="504"/>
    </row>
    <row r="131" spans="1:17" ht="15.75" thickBot="1">
      <c r="A131" s="2630"/>
      <c r="B131" s="569"/>
      <c r="C131" s="570"/>
      <c r="D131" s="570"/>
      <c r="E131" s="570"/>
      <c r="F131" s="570"/>
      <c r="G131" s="591"/>
      <c r="H131" s="591"/>
      <c r="I131" s="591"/>
      <c r="J131" s="591"/>
      <c r="K131" s="591"/>
      <c r="L131" s="591"/>
      <c r="M131" s="592"/>
      <c r="N131" s="1150"/>
      <c r="O131" s="1150"/>
      <c r="P131" s="2624"/>
      <c r="Q131" s="504"/>
    </row>
    <row r="136" spans="1:17" ht="15" thickBot="1">
      <c r="B136" s="2631" t="s">
        <v>2611</v>
      </c>
    </row>
    <row r="137" spans="1:17" ht="15">
      <c r="B137" s="2632" t="s">
        <v>2612</v>
      </c>
      <c r="C137" s="2633"/>
      <c r="D137" s="2633"/>
      <c r="E137" s="2633"/>
      <c r="F137" s="2633"/>
      <c r="G137" s="2634"/>
      <c r="H137" s="2635"/>
      <c r="I137" s="2636" t="s">
        <v>2613</v>
      </c>
      <c r="J137" s="2633"/>
      <c r="K137" s="2637"/>
    </row>
    <row r="138" spans="1:17" ht="15">
      <c r="B138" s="2638"/>
      <c r="C138" s="146" t="s">
        <v>2614</v>
      </c>
      <c r="D138" s="146" t="s">
        <v>2615</v>
      </c>
      <c r="E138" s="2639" t="s">
        <v>2616</v>
      </c>
      <c r="F138" s="2640" t="s">
        <v>2617</v>
      </c>
      <c r="G138" s="146" t="s">
        <v>2615</v>
      </c>
      <c r="H138" s="147" t="s">
        <v>2616</v>
      </c>
      <c r="I138" s="2641"/>
      <c r="J138" s="146" t="s">
        <v>2618</v>
      </c>
      <c r="K138" s="147" t="s">
        <v>2619</v>
      </c>
    </row>
    <row r="139" spans="1:17" ht="15">
      <c r="B139" s="1081">
        <v>6</v>
      </c>
      <c r="C139" s="1082">
        <v>96</v>
      </c>
      <c r="D139" s="2642" t="s">
        <v>2620</v>
      </c>
      <c r="E139" s="1083">
        <v>100</v>
      </c>
      <c r="F139" s="1084">
        <v>102.5</v>
      </c>
      <c r="G139" s="2642" t="s">
        <v>2620</v>
      </c>
      <c r="H139" s="1085">
        <v>105</v>
      </c>
      <c r="I139" s="2643" t="s">
        <v>2621</v>
      </c>
      <c r="J139" s="1082">
        <v>20</v>
      </c>
      <c r="K139" s="1086">
        <f>C145/(J139-2)</f>
        <v>4.0555555555555553E-3</v>
      </c>
    </row>
    <row r="140" spans="1:17" ht="15">
      <c r="B140" s="1087">
        <v>5</v>
      </c>
      <c r="C140" s="1088">
        <v>100</v>
      </c>
      <c r="D140" s="1088"/>
      <c r="E140" s="1089"/>
      <c r="F140" s="1090">
        <v>102</v>
      </c>
      <c r="G140" s="1088"/>
      <c r="H140" s="1091"/>
      <c r="I140" s="2644" t="s">
        <v>2622</v>
      </c>
      <c r="J140" s="315">
        <f>ROUNDUP((J139-1)/2,0)</f>
        <v>10</v>
      </c>
      <c r="K140" s="1092">
        <v>100</v>
      </c>
    </row>
    <row r="141" spans="1:17" ht="15">
      <c r="B141" s="1087">
        <v>4</v>
      </c>
      <c r="C141" s="1088">
        <v>102</v>
      </c>
      <c r="D141" s="1088"/>
      <c r="E141" s="1089"/>
      <c r="F141" s="1090">
        <v>101.5</v>
      </c>
      <c r="G141" s="1088"/>
      <c r="H141" s="1091"/>
      <c r="I141" s="2644" t="s">
        <v>2623</v>
      </c>
      <c r="J141" s="315">
        <v>1</v>
      </c>
      <c r="K141" s="1093">
        <f>ROUND(100+(J141-J140)*K139*100,1)</f>
        <v>96.4</v>
      </c>
    </row>
    <row r="142" spans="1:17" ht="15">
      <c r="B142" s="1087">
        <v>3</v>
      </c>
      <c r="C142" s="1088">
        <v>103</v>
      </c>
      <c r="D142" s="1088"/>
      <c r="E142" s="1089"/>
      <c r="F142" s="1090">
        <v>101</v>
      </c>
      <c r="G142" s="1088"/>
      <c r="H142" s="1091"/>
      <c r="I142" s="2644" t="s">
        <v>2624</v>
      </c>
      <c r="J142" s="315">
        <f>J139</f>
        <v>20</v>
      </c>
      <c r="K142" s="1094">
        <v>95</v>
      </c>
    </row>
    <row r="143" spans="1:17" ht="15">
      <c r="B143" s="1087">
        <v>2</v>
      </c>
      <c r="C143" s="1088">
        <v>100</v>
      </c>
      <c r="D143" s="1088"/>
      <c r="E143" s="1089"/>
      <c r="F143" s="1090">
        <v>100.5</v>
      </c>
      <c r="G143" s="1088"/>
      <c r="H143" s="1091"/>
      <c r="I143" s="2644" t="s">
        <v>2625</v>
      </c>
      <c r="J143" s="1088">
        <v>15</v>
      </c>
      <c r="K143" s="1093">
        <f>ROUND(100+(J143-J140)*K139*100,1)</f>
        <v>102</v>
      </c>
    </row>
    <row r="144" spans="1:17" ht="15">
      <c r="B144" s="1087">
        <v>1</v>
      </c>
      <c r="C144" s="1088">
        <v>98</v>
      </c>
      <c r="D144" s="2645" t="s">
        <v>2626</v>
      </c>
      <c r="E144" s="1089">
        <v>102</v>
      </c>
      <c r="F144" s="1095">
        <v>100</v>
      </c>
      <c r="G144" s="2645" t="s">
        <v>2626</v>
      </c>
      <c r="H144" s="1091">
        <v>105</v>
      </c>
      <c r="I144" s="2644" t="s">
        <v>2625</v>
      </c>
      <c r="J144" s="1088">
        <v>18</v>
      </c>
      <c r="K144" s="1093">
        <f>ROUND(100+(J144-J140)*K139*100,1)</f>
        <v>103.2</v>
      </c>
    </row>
    <row r="145" spans="2:11" ht="15.75" thickBot="1">
      <c r="B145" s="2646" t="s">
        <v>2627</v>
      </c>
      <c r="C145" s="1096">
        <f>ROUND(MAX(C139:C144)/MIN(C139:C144)-1,3)</f>
        <v>7.2999999999999995E-2</v>
      </c>
      <c r="D145" s="1097"/>
      <c r="E145" s="1097"/>
      <c r="F145" s="2647" t="s">
        <v>2628</v>
      </c>
      <c r="G145" s="2648"/>
      <c r="H145" s="2649"/>
      <c r="I145" s="2650" t="s">
        <v>2625</v>
      </c>
      <c r="J145" s="1098">
        <v>8</v>
      </c>
      <c r="K145" s="1099">
        <f>ROUND(100+(J145-J140)*K139*100,1)</f>
        <v>99.2</v>
      </c>
    </row>
    <row r="147" spans="2:11">
      <c r="B147" s="2631" t="s">
        <v>2629</v>
      </c>
    </row>
    <row r="148" spans="2:11">
      <c r="B148" s="2631"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46" priority="14" stopIfTrue="1" operator="containsText" text="超过">
      <formula>NOT(ISERROR(SEARCH("超过",F52)))</formula>
    </cfRule>
  </conditionalFormatting>
  <conditionalFormatting sqref="J54">
    <cfRule type="containsText" dxfId="145" priority="13" stopIfTrue="1" operator="containsText" text="超过">
      <formula>NOT(ISERROR(SEARCH("超过",J54)))</formula>
    </cfRule>
  </conditionalFormatting>
  <conditionalFormatting sqref="H54">
    <cfRule type="containsText" dxfId="144" priority="12" stopIfTrue="1" operator="containsText" text="超过">
      <formula>NOT(ISERROR(SEARCH("超过",H54)))</formula>
    </cfRule>
  </conditionalFormatting>
  <conditionalFormatting sqref="F54">
    <cfRule type="containsText" dxfId="143" priority="11" stopIfTrue="1" operator="containsText" text="超过">
      <formula>NOT(ISERROR(SEARCH("超过",F54)))</formula>
    </cfRule>
  </conditionalFormatting>
  <conditionalFormatting sqref="F53 H53 J53">
    <cfRule type="containsText" dxfId="142" priority="10" stopIfTrue="1" operator="containsText" text="超过">
      <formula>NOT(ISERROR(SEARCH("超过",F53)))</formula>
    </cfRule>
  </conditionalFormatting>
  <conditionalFormatting sqref="E52">
    <cfRule type="expression" dxfId="141" priority="9"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H15" sqref="H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2517</v>
      </c>
      <c r="B1" s="2576" t="s">
        <v>2518</v>
      </c>
      <c r="C1" s="1630" t="s">
        <v>2519</v>
      </c>
      <c r="D1" s="1617" t="s">
        <v>3047</v>
      </c>
      <c r="E1" s="2577"/>
      <c r="F1" s="2578" t="s">
        <v>2520</v>
      </c>
      <c r="G1" s="1627" t="s">
        <v>2521</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1394</v>
      </c>
      <c r="B2" s="1415" t="e">
        <f>IF(C2="——",ROUND(C49*D3/10000,0),ROUND(C49*D3/10000,0)-D2)</f>
        <v>#DIV/0!</v>
      </c>
      <c r="C2" s="2580" t="s">
        <v>70</v>
      </c>
      <c r="D2" s="1362" t="e">
        <f ca="1">SUMIF(INDIRECT("'"&amp;F2&amp;"'"&amp;"!A:A"),"承租人权益价值",INDIRECT("'"&amp;F2&amp;"'"&amp;"!c:c"))</f>
        <v>#REF!</v>
      </c>
      <c r="E2" s="2581" t="s">
        <v>2320</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1395</v>
      </c>
      <c r="B3" s="399" t="e">
        <f>IF(C2="——",C49,ROUND(B2*10000/D3,0))</f>
        <v>#DIV/0!</v>
      </c>
      <c r="C3" s="400" t="s">
        <v>2523</v>
      </c>
      <c r="D3" s="399">
        <f>IF(D1="",'数据-汇总表'!E3,SUMIF('数据-汇总表'!$C19:$C33,D1,'数据-汇总表'!$E19:$E33))</f>
        <v>86542.98</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1" t="s">
        <v>2524</v>
      </c>
      <c r="B4" s="402"/>
      <c r="C4" s="3212" t="s">
        <v>2525</v>
      </c>
      <c r="D4" s="3225"/>
      <c r="E4" s="3226" t="s">
        <v>2526</v>
      </c>
      <c r="F4" s="3227"/>
      <c r="G4" s="3212" t="s">
        <v>2527</v>
      </c>
      <c r="H4" s="3225"/>
      <c r="I4" s="3212" t="s">
        <v>2528</v>
      </c>
      <c r="J4" s="3225"/>
      <c r="K4" s="2590" t="s">
        <v>2529</v>
      </c>
      <c r="L4" s="1127"/>
      <c r="M4" s="1128"/>
      <c r="N4" s="1128"/>
      <c r="O4" s="1128"/>
      <c r="P4" s="3228" t="s">
        <v>2530</v>
      </c>
      <c r="Q4" s="3229"/>
      <c r="R4" s="3234" t="s">
        <v>2526</v>
      </c>
      <c r="S4" s="3235"/>
      <c r="T4" s="3234" t="s">
        <v>2527</v>
      </c>
      <c r="U4" s="3235"/>
      <c r="V4" s="3221" t="s">
        <v>2528</v>
      </c>
      <c r="W4" s="3221"/>
      <c r="X4" s="2950"/>
      <c r="Y4" s="3234" t="s">
        <v>2530</v>
      </c>
      <c r="Z4" s="3235"/>
      <c r="AA4" s="3222" t="s">
        <v>2526</v>
      </c>
      <c r="AB4" s="3222" t="s">
        <v>2527</v>
      </c>
      <c r="AC4" s="3222" t="s">
        <v>2528</v>
      </c>
    </row>
    <row r="5" spans="1:29" ht="15">
      <c r="A5" s="404"/>
      <c r="B5" s="405"/>
      <c r="C5" s="3242" t="s">
        <v>2531</v>
      </c>
      <c r="D5" s="3243"/>
      <c r="E5" s="3249" t="s">
        <v>2532</v>
      </c>
      <c r="F5" s="3250"/>
      <c r="G5" s="3242" t="s">
        <v>2533</v>
      </c>
      <c r="H5" s="3243"/>
      <c r="I5" s="3242" t="s">
        <v>2534</v>
      </c>
      <c r="J5" s="3243"/>
      <c r="K5" s="2591"/>
      <c r="L5" s="1127"/>
      <c r="M5" s="1128"/>
      <c r="N5" s="1128"/>
      <c r="O5" s="1128"/>
      <c r="P5" s="3230"/>
      <c r="Q5" s="3231"/>
      <c r="R5" s="3236"/>
      <c r="S5" s="3237"/>
      <c r="T5" s="3236"/>
      <c r="U5" s="3237"/>
      <c r="V5" s="3221"/>
      <c r="W5" s="3221"/>
      <c r="X5" s="2950"/>
      <c r="Y5" s="3236"/>
      <c r="Z5" s="3237"/>
      <c r="AA5" s="3223"/>
      <c r="AB5" s="3223"/>
      <c r="AC5" s="3223"/>
    </row>
    <row r="6" spans="1:29" ht="15.75" thickBot="1">
      <c r="A6" s="406"/>
      <c r="B6" s="407"/>
      <c r="C6" s="3240" t="s">
        <v>2535</v>
      </c>
      <c r="D6" s="3241"/>
      <c r="E6" s="3247" t="s">
        <v>2535</v>
      </c>
      <c r="F6" s="3248"/>
      <c r="G6" s="3240" t="s">
        <v>2535</v>
      </c>
      <c r="H6" s="3241"/>
      <c r="I6" s="3240" t="s">
        <v>2535</v>
      </c>
      <c r="J6" s="3241"/>
      <c r="K6" s="2591" t="s">
        <v>2536</v>
      </c>
      <c r="L6" s="1127"/>
      <c r="M6" s="1128"/>
      <c r="N6" s="1128"/>
      <c r="O6" s="1128"/>
      <c r="P6" s="3232"/>
      <c r="Q6" s="3233"/>
      <c r="R6" s="3236"/>
      <c r="S6" s="3237"/>
      <c r="T6" s="3238"/>
      <c r="U6" s="3239"/>
      <c r="V6" s="3221"/>
      <c r="W6" s="3221"/>
      <c r="X6" s="2950"/>
      <c r="Y6" s="3238"/>
      <c r="Z6" s="3239"/>
      <c r="AA6" s="3224"/>
      <c r="AB6" s="3224"/>
      <c r="AC6" s="3224"/>
    </row>
    <row r="7" spans="1:29" s="117" customFormat="1" ht="15.75" thickBot="1">
      <c r="A7" s="408" t="s">
        <v>2537</v>
      </c>
      <c r="B7" s="409"/>
      <c r="C7" s="410">
        <f>'数据-取费表'!B2</f>
        <v>43332</v>
      </c>
      <c r="D7" s="411">
        <v>100</v>
      </c>
      <c r="E7" s="412"/>
      <c r="F7" s="413">
        <f>SUMIF(58:58,YEAR(E7)&amp;"-"&amp;MONTH(E7),59:59)</f>
        <v>0</v>
      </c>
      <c r="G7" s="412"/>
      <c r="H7" s="411">
        <f>SUMIF(58:58,YEAR(G7)&amp;"-"&amp;MONTH(G7),59:59)</f>
        <v>0</v>
      </c>
      <c r="I7" s="412"/>
      <c r="J7" s="411">
        <f>SUMIF(58:58,YEAR(I7)&amp;"-"&amp;MONTH(I7),59:59)</f>
        <v>0</v>
      </c>
      <c r="K7" s="2592"/>
      <c r="L7" s="1129"/>
      <c r="M7" s="1130"/>
      <c r="N7" s="1130"/>
      <c r="O7" s="1130"/>
      <c r="P7" s="3244" t="s">
        <v>2538</v>
      </c>
      <c r="Q7" s="3246"/>
      <c r="R7" s="770" t="s">
        <v>23</v>
      </c>
      <c r="S7" s="771">
        <f t="shared" ref="S7:S15" si="0">F7</f>
        <v>0</v>
      </c>
      <c r="T7" s="770" t="s">
        <v>23</v>
      </c>
      <c r="U7" s="771">
        <f t="shared" ref="U7:U15" si="1">H7</f>
        <v>0</v>
      </c>
      <c r="V7" s="770" t="s">
        <v>23</v>
      </c>
      <c r="W7" s="771">
        <f t="shared" ref="W7:W15" si="2">J7</f>
        <v>0</v>
      </c>
      <c r="X7" s="772"/>
      <c r="Y7" s="3244" t="s">
        <v>2538</v>
      </c>
      <c r="Z7" s="3245"/>
      <c r="AA7" s="773" t="e">
        <f>D7/F7</f>
        <v>#DIV/0!</v>
      </c>
      <c r="AB7" s="773" t="e">
        <f>D7/H7</f>
        <v>#DIV/0!</v>
      </c>
      <c r="AC7" s="773" t="e">
        <f>D7/J7</f>
        <v>#DIV/0!</v>
      </c>
    </row>
    <row r="8" spans="1:29" s="117" customFormat="1" ht="15.75" thickBot="1">
      <c r="A8" s="408" t="s">
        <v>2539</v>
      </c>
      <c r="B8" s="409"/>
      <c r="C8" s="414" t="s">
        <v>2540</v>
      </c>
      <c r="D8" s="411">
        <v>100</v>
      </c>
      <c r="E8" s="2593"/>
      <c r="F8" s="413">
        <f>SUMIF(61:61,E8,62:62)-SUMIF(61:61,C8,62:62)+100</f>
        <v>0</v>
      </c>
      <c r="G8" s="414"/>
      <c r="H8" s="411">
        <f>SUMIF(61:61,G8,62:62)-SUMIF(61:61,C8,62:62)+100</f>
        <v>0</v>
      </c>
      <c r="I8" s="2593"/>
      <c r="J8" s="411">
        <f>SUMIF(61:61,I8,62:62)-SUMIF(61:61,C8,62:62)+100</f>
        <v>0</v>
      </c>
      <c r="K8" s="2592"/>
      <c r="L8" s="1129"/>
      <c r="M8" s="1130"/>
      <c r="N8" s="1130"/>
      <c r="O8" s="1130"/>
      <c r="P8" s="3244" t="s">
        <v>2541</v>
      </c>
      <c r="Q8" s="3245"/>
      <c r="R8" s="770" t="s">
        <v>23</v>
      </c>
      <c r="S8" s="771">
        <f t="shared" si="0"/>
        <v>0</v>
      </c>
      <c r="T8" s="770" t="s">
        <v>23</v>
      </c>
      <c r="U8" s="771">
        <f t="shared" si="1"/>
        <v>0</v>
      </c>
      <c r="V8" s="770" t="s">
        <v>23</v>
      </c>
      <c r="W8" s="771">
        <f t="shared" si="2"/>
        <v>0</v>
      </c>
      <c r="X8" s="772"/>
      <c r="Y8" s="3244" t="s">
        <v>2541</v>
      </c>
      <c r="Z8" s="3245"/>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2"/>
      <c r="L9" s="1129"/>
      <c r="M9" s="1130"/>
      <c r="N9" s="1130"/>
      <c r="O9" s="1130"/>
      <c r="P9" s="3214" t="s">
        <v>2544</v>
      </c>
      <c r="Q9" s="2936" t="str">
        <f t="shared" ref="Q9:Q15" si="6">B9</f>
        <v>用途</v>
      </c>
      <c r="R9" s="770" t="s">
        <v>17</v>
      </c>
      <c r="S9" s="771">
        <f t="shared" si="0"/>
        <v>100</v>
      </c>
      <c r="T9" s="770" t="s">
        <v>17</v>
      </c>
      <c r="U9" s="771">
        <f t="shared" si="1"/>
        <v>100</v>
      </c>
      <c r="V9" s="770" t="s">
        <v>17</v>
      </c>
      <c r="W9" s="771">
        <f t="shared" si="2"/>
        <v>100</v>
      </c>
      <c r="X9" s="772"/>
      <c r="Y9" s="3059" t="s">
        <v>2545</v>
      </c>
      <c r="Z9" s="2937" t="str">
        <f t="shared" ref="Z9:Z15" si="7">Q9</f>
        <v>用途</v>
      </c>
      <c r="AA9" s="773">
        <f t="shared" si="3"/>
        <v>1</v>
      </c>
      <c r="AB9" s="773">
        <f t="shared" si="4"/>
        <v>1</v>
      </c>
      <c r="AC9" s="773">
        <f t="shared" si="5"/>
        <v>1</v>
      </c>
    </row>
    <row r="10" spans="1:29" s="427" customFormat="1" ht="27">
      <c r="A10" s="421"/>
      <c r="B10" s="2942" t="s">
        <v>2546</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4"/>
      <c r="Q10" s="2936" t="str">
        <f t="shared" si="6"/>
        <v>土地使用年限（年）</v>
      </c>
      <c r="R10" s="770" t="s">
        <v>17</v>
      </c>
      <c r="S10" s="771">
        <f t="shared" si="0"/>
        <v>100</v>
      </c>
      <c r="T10" s="770" t="s">
        <v>17</v>
      </c>
      <c r="U10" s="771">
        <f t="shared" si="1"/>
        <v>100</v>
      </c>
      <c r="V10" s="770" t="s">
        <v>17</v>
      </c>
      <c r="W10" s="771">
        <f t="shared" si="2"/>
        <v>100</v>
      </c>
      <c r="X10" s="772"/>
      <c r="Y10" s="3059"/>
      <c r="Z10" s="2937" t="str">
        <f t="shared" si="7"/>
        <v>土地使用年限（年）</v>
      </c>
      <c r="AA10" s="773">
        <f t="shared" si="3"/>
        <v>1</v>
      </c>
      <c r="AB10" s="773">
        <f t="shared" si="4"/>
        <v>1</v>
      </c>
      <c r="AC10" s="773">
        <f t="shared" si="5"/>
        <v>1</v>
      </c>
    </row>
    <row r="11" spans="1:29" ht="15">
      <c r="A11" s="428"/>
      <c r="B11" s="294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4"/>
      <c r="Q11" s="2936" t="str">
        <f t="shared" si="6"/>
        <v>容积率</v>
      </c>
      <c r="R11" s="770" t="s">
        <v>21</v>
      </c>
      <c r="S11" s="771" t="e">
        <f t="shared" si="0"/>
        <v>#N/A</v>
      </c>
      <c r="T11" s="770" t="s">
        <v>21</v>
      </c>
      <c r="U11" s="771" t="e">
        <f t="shared" si="1"/>
        <v>#N/A</v>
      </c>
      <c r="V11" s="770" t="s">
        <v>21</v>
      </c>
      <c r="W11" s="771" t="e">
        <f t="shared" si="2"/>
        <v>#N/A</v>
      </c>
      <c r="X11" s="772"/>
      <c r="Y11" s="3059"/>
      <c r="Z11" s="2937" t="str">
        <f t="shared" si="7"/>
        <v>容积率</v>
      </c>
      <c r="AA11" s="773" t="e">
        <f t="shared" si="3"/>
        <v>#N/A</v>
      </c>
      <c r="AB11" s="773" t="e">
        <f t="shared" si="4"/>
        <v>#N/A</v>
      </c>
      <c r="AC11" s="773" t="e">
        <f t="shared" si="5"/>
        <v>#N/A</v>
      </c>
    </row>
    <row r="12" spans="1:29" s="117" customFormat="1" ht="15">
      <c r="A12" s="431"/>
      <c r="B12" s="2594"/>
      <c r="C12" s="432"/>
      <c r="D12" s="433">
        <v>100</v>
      </c>
      <c r="E12" s="432"/>
      <c r="F12" s="425">
        <f>SUMIF(70:70,E12,71:71)-SUMIF(70:70,C12,71:71)+100</f>
        <v>100</v>
      </c>
      <c r="G12" s="432"/>
      <c r="H12" s="136">
        <f>SUMIF(70:70,G12,71:71)-SUMIF(70:70,C12,71:71)+100</f>
        <v>100</v>
      </c>
      <c r="I12" s="432"/>
      <c r="J12" s="136">
        <f>SUMIF(70:70,I12,71:71)-SUMIF(70:70,C12,71:71)+100</f>
        <v>100</v>
      </c>
      <c r="K12" s="2595"/>
      <c r="L12" s="1129"/>
      <c r="M12" s="1130"/>
      <c r="N12" s="1130"/>
      <c r="O12" s="1130"/>
      <c r="P12" s="3214"/>
      <c r="Q12" s="2936">
        <f t="shared" si="6"/>
        <v>0</v>
      </c>
      <c r="R12" s="770" t="s">
        <v>21</v>
      </c>
      <c r="S12" s="771">
        <f t="shared" si="0"/>
        <v>100</v>
      </c>
      <c r="T12" s="770" t="s">
        <v>21</v>
      </c>
      <c r="U12" s="771">
        <f t="shared" si="1"/>
        <v>100</v>
      </c>
      <c r="V12" s="770" t="s">
        <v>21</v>
      </c>
      <c r="W12" s="771">
        <f t="shared" si="2"/>
        <v>100</v>
      </c>
      <c r="X12" s="772"/>
      <c r="Y12" s="3059"/>
      <c r="Z12" s="2937">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2595"/>
      <c r="L13" s="1137"/>
      <c r="M13" s="1128"/>
      <c r="N13" s="1128"/>
      <c r="O13" s="1128"/>
      <c r="P13" s="3214"/>
      <c r="Q13" s="2936">
        <f t="shared" si="6"/>
        <v>0</v>
      </c>
      <c r="R13" s="770" t="s">
        <v>21</v>
      </c>
      <c r="S13" s="771">
        <f t="shared" si="0"/>
        <v>100</v>
      </c>
      <c r="T13" s="770" t="s">
        <v>21</v>
      </c>
      <c r="U13" s="771">
        <f t="shared" si="1"/>
        <v>100</v>
      </c>
      <c r="V13" s="770" t="s">
        <v>21</v>
      </c>
      <c r="W13" s="771">
        <f t="shared" si="2"/>
        <v>100</v>
      </c>
      <c r="X13" s="772"/>
      <c r="Y13" s="3059"/>
      <c r="Z13" s="2937">
        <f t="shared" si="7"/>
        <v>0</v>
      </c>
      <c r="AA13" s="773">
        <f t="shared" si="3"/>
        <v>1</v>
      </c>
      <c r="AB13" s="773">
        <f t="shared" si="4"/>
        <v>1</v>
      </c>
      <c r="AC13" s="773">
        <f t="shared" si="5"/>
        <v>1</v>
      </c>
    </row>
    <row r="14" spans="1:29" ht="15.75" thickBot="1">
      <c r="A14" s="436"/>
      <c r="B14" s="2596"/>
      <c r="C14" s="437"/>
      <c r="D14" s="438">
        <v>100</v>
      </c>
      <c r="E14" s="437"/>
      <c r="F14" s="439">
        <f>SUMIF(74:74,E14,75:75)-SUMIF(74:74,C14,75:75)+100</f>
        <v>100</v>
      </c>
      <c r="G14" s="437"/>
      <c r="H14" s="438">
        <f>SUMIF(74:74,G14,75:75)-SUMIF(74:74,C14,75:75)+100</f>
        <v>100</v>
      </c>
      <c r="I14" s="437"/>
      <c r="J14" s="438">
        <f>SUMIF(74:74,I14,75:75)-SUMIF(74:74,C14,75:75)+100</f>
        <v>100</v>
      </c>
      <c r="K14" s="2595"/>
      <c r="L14" s="1137"/>
      <c r="M14" s="1128"/>
      <c r="N14" s="1128"/>
      <c r="O14" s="1128"/>
      <c r="P14" s="3214"/>
      <c r="Q14" s="2936">
        <f t="shared" si="6"/>
        <v>0</v>
      </c>
      <c r="R14" s="770" t="s">
        <v>21</v>
      </c>
      <c r="S14" s="771">
        <f t="shared" si="0"/>
        <v>100</v>
      </c>
      <c r="T14" s="770" t="s">
        <v>21</v>
      </c>
      <c r="U14" s="771">
        <f t="shared" si="1"/>
        <v>100</v>
      </c>
      <c r="V14" s="770" t="s">
        <v>21</v>
      </c>
      <c r="W14" s="771">
        <f t="shared" si="2"/>
        <v>100</v>
      </c>
      <c r="X14" s="772"/>
      <c r="Y14" s="3059"/>
      <c r="Z14" s="2937">
        <f t="shared" si="7"/>
        <v>0</v>
      </c>
      <c r="AA14" s="773">
        <f t="shared" si="3"/>
        <v>1</v>
      </c>
      <c r="AB14" s="773">
        <f t="shared" si="4"/>
        <v>1</v>
      </c>
      <c r="AC14" s="773">
        <f t="shared" si="5"/>
        <v>1</v>
      </c>
    </row>
    <row r="15" spans="1:29" ht="57">
      <c r="A15" s="440" t="s">
        <v>2548</v>
      </c>
      <c r="B15" s="69" t="s">
        <v>2084</v>
      </c>
      <c r="C15" s="2597" t="str">
        <f>估价对象房地状况!C3</f>
        <v>周边居住用地比例、居住小区规模和社区发展完善程度</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59" t="s">
        <v>2549</v>
      </c>
      <c r="Q15" s="2948" t="str">
        <f t="shared" si="6"/>
        <v>居住社区成熟度</v>
      </c>
      <c r="R15" s="774" t="s">
        <v>21</v>
      </c>
      <c r="S15" s="775">
        <f t="shared" si="0"/>
        <v>100</v>
      </c>
      <c r="T15" s="774" t="s">
        <v>21</v>
      </c>
      <c r="U15" s="775">
        <f t="shared" si="1"/>
        <v>100</v>
      </c>
      <c r="V15" s="774" t="s">
        <v>21</v>
      </c>
      <c r="W15" s="775">
        <f t="shared" si="2"/>
        <v>100</v>
      </c>
      <c r="X15" s="2950"/>
      <c r="Y15" s="3217" t="s">
        <v>2549</v>
      </c>
      <c r="Z15" s="2951" t="str">
        <f t="shared" si="7"/>
        <v>居住社区成熟度</v>
      </c>
      <c r="AA15" s="2949">
        <f t="shared" si="3"/>
        <v>1</v>
      </c>
      <c r="AB15" s="2949">
        <f t="shared" si="4"/>
        <v>1</v>
      </c>
      <c r="AC15" s="2949">
        <f t="shared" si="5"/>
        <v>1</v>
      </c>
    </row>
    <row r="16" spans="1:29" ht="15">
      <c r="A16" s="428"/>
      <c r="B16" s="446"/>
      <c r="C16" s="447"/>
      <c r="D16" s="448"/>
      <c r="E16" s="2598"/>
      <c r="F16" s="448"/>
      <c r="G16" s="2599"/>
      <c r="H16" s="450"/>
      <c r="I16" s="2599"/>
      <c r="J16" s="448"/>
      <c r="K16" s="2600"/>
      <c r="L16" s="1137"/>
      <c r="M16" s="1128"/>
      <c r="N16" s="1128"/>
      <c r="O16" s="1128"/>
      <c r="P16" s="3260"/>
      <c r="Q16" s="2948"/>
      <c r="R16" s="774"/>
      <c r="S16" s="775"/>
      <c r="T16" s="774"/>
      <c r="U16" s="775"/>
      <c r="V16" s="774"/>
      <c r="W16" s="775"/>
      <c r="X16" s="2950"/>
      <c r="Y16" s="3218"/>
      <c r="Z16" s="2951"/>
      <c r="AA16" s="2949">
        <v>1</v>
      </c>
      <c r="AB16" s="2949">
        <v>1</v>
      </c>
      <c r="AC16" s="2949">
        <v>1</v>
      </c>
    </row>
    <row r="17" spans="1:29" ht="71.25">
      <c r="A17" s="428"/>
      <c r="B17" s="451" t="s">
        <v>2090</v>
      </c>
      <c r="C17" s="2601" t="str">
        <f>估价对象房地状况!C6</f>
        <v>周边道路状况、公共交通通达情况、停车便捷程度（地铁三号线观音桥</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60"/>
      <c r="Q17" s="2948" t="str">
        <f>B17</f>
        <v>交通便捷度</v>
      </c>
      <c r="R17" s="774" t="s">
        <v>21</v>
      </c>
      <c r="S17" s="775">
        <f>F17</f>
        <v>100</v>
      </c>
      <c r="T17" s="774" t="s">
        <v>21</v>
      </c>
      <c r="U17" s="775">
        <f>H17</f>
        <v>100</v>
      </c>
      <c r="V17" s="774" t="s">
        <v>21</v>
      </c>
      <c r="W17" s="775">
        <f>J17</f>
        <v>100</v>
      </c>
      <c r="X17" s="2950"/>
      <c r="Y17" s="3218"/>
      <c r="Z17" s="2951" t="str">
        <f>Q17</f>
        <v>交通便捷度</v>
      </c>
      <c r="AA17" s="2949">
        <f t="shared" si="3"/>
        <v>1</v>
      </c>
      <c r="AB17" s="2949">
        <f t="shared" si="4"/>
        <v>1</v>
      </c>
      <c r="AC17" s="2949">
        <f t="shared" si="5"/>
        <v>1</v>
      </c>
    </row>
    <row r="18" spans="1:29" ht="15">
      <c r="A18" s="428"/>
      <c r="B18" s="456"/>
      <c r="C18" s="2602"/>
      <c r="D18" s="450"/>
      <c r="E18" s="2603"/>
      <c r="F18" s="450"/>
      <c r="G18" s="2604"/>
      <c r="H18" s="448"/>
      <c r="I18" s="2604"/>
      <c r="J18" s="448"/>
      <c r="K18" s="2600"/>
      <c r="L18" s="1137"/>
      <c r="M18" s="1128"/>
      <c r="N18" s="1128"/>
      <c r="O18" s="1128"/>
      <c r="P18" s="3260"/>
      <c r="Q18" s="2948"/>
      <c r="R18" s="774"/>
      <c r="S18" s="775"/>
      <c r="T18" s="774"/>
      <c r="U18" s="775"/>
      <c r="V18" s="774"/>
      <c r="W18" s="775"/>
      <c r="X18" s="2950"/>
      <c r="Y18" s="3218"/>
      <c r="Z18" s="2951"/>
      <c r="AA18" s="2949">
        <v>1</v>
      </c>
      <c r="AB18" s="2949">
        <v>1</v>
      </c>
      <c r="AC18" s="2949">
        <v>1</v>
      </c>
    </row>
    <row r="19" spans="1:29" ht="15">
      <c r="A19" s="428"/>
      <c r="B19" s="451" t="s">
        <v>2089</v>
      </c>
      <c r="C19" s="260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60"/>
      <c r="Q19" s="2948" t="str">
        <f>B19</f>
        <v>公共配套设施</v>
      </c>
      <c r="R19" s="774" t="s">
        <v>21</v>
      </c>
      <c r="S19" s="775">
        <f>F19</f>
        <v>100</v>
      </c>
      <c r="T19" s="774" t="s">
        <v>21</v>
      </c>
      <c r="U19" s="775">
        <f>H19</f>
        <v>100</v>
      </c>
      <c r="V19" s="774" t="s">
        <v>21</v>
      </c>
      <c r="W19" s="775">
        <f>J19</f>
        <v>100</v>
      </c>
      <c r="X19" s="2950"/>
      <c r="Y19" s="3218"/>
      <c r="Z19" s="2951" t="str">
        <f>Q19</f>
        <v>公共配套设施</v>
      </c>
      <c r="AA19" s="2949">
        <f t="shared" si="3"/>
        <v>1</v>
      </c>
      <c r="AB19" s="2949">
        <f t="shared" si="4"/>
        <v>1</v>
      </c>
      <c r="AC19" s="2949">
        <f t="shared" si="5"/>
        <v>1</v>
      </c>
    </row>
    <row r="20" spans="1:29" ht="15">
      <c r="A20" s="428"/>
      <c r="B20" s="456"/>
      <c r="C20" s="447"/>
      <c r="D20" s="448"/>
      <c r="E20" s="2598"/>
      <c r="F20" s="448"/>
      <c r="G20" s="2599"/>
      <c r="H20" s="448"/>
      <c r="I20" s="2599"/>
      <c r="J20" s="448"/>
      <c r="K20" s="2600"/>
      <c r="L20" s="1137"/>
      <c r="M20" s="1128"/>
      <c r="N20" s="1128"/>
      <c r="O20" s="1128"/>
      <c r="P20" s="3260"/>
      <c r="Q20" s="2948"/>
      <c r="R20" s="774"/>
      <c r="S20" s="775"/>
      <c r="T20" s="774"/>
      <c r="U20" s="775"/>
      <c r="V20" s="774"/>
      <c r="W20" s="775"/>
      <c r="X20" s="2950"/>
      <c r="Y20" s="3218"/>
      <c r="Z20" s="2951"/>
      <c r="AA20" s="2949">
        <v>1</v>
      </c>
      <c r="AB20" s="2949">
        <v>1</v>
      </c>
      <c r="AC20" s="2949">
        <v>1</v>
      </c>
    </row>
    <row r="21" spans="1:29" ht="15">
      <c r="A21" s="428"/>
      <c r="B21" s="1381" t="s">
        <v>2091</v>
      </c>
      <c r="C21" s="260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60"/>
      <c r="Q21" s="2948" t="str">
        <f>B21</f>
        <v>基础设施水平</v>
      </c>
      <c r="R21" s="774" t="s">
        <v>17</v>
      </c>
      <c r="S21" s="775">
        <f>F21</f>
        <v>100</v>
      </c>
      <c r="T21" s="774" t="s">
        <v>17</v>
      </c>
      <c r="U21" s="775">
        <f>H21</f>
        <v>100</v>
      </c>
      <c r="V21" s="774" t="s">
        <v>17</v>
      </c>
      <c r="W21" s="775">
        <f>J21</f>
        <v>100</v>
      </c>
      <c r="X21" s="2950"/>
      <c r="Y21" s="3218"/>
      <c r="Z21" s="2951" t="str">
        <f>Q21</f>
        <v>基础设施水平</v>
      </c>
      <c r="AA21" s="2949">
        <f t="shared" ref="AA21" si="8">D21/F21</f>
        <v>1</v>
      </c>
      <c r="AB21" s="2949">
        <f t="shared" ref="AB21" si="9">D21/H21</f>
        <v>1</v>
      </c>
      <c r="AC21" s="2949">
        <f t="shared" ref="AC21" si="10">D21/J21</f>
        <v>1</v>
      </c>
    </row>
    <row r="22" spans="1:29" ht="15">
      <c r="A22" s="428"/>
      <c r="B22" s="1381"/>
      <c r="C22" s="2602"/>
      <c r="D22" s="448"/>
      <c r="E22" s="447"/>
      <c r="F22" s="448"/>
      <c r="G22" s="2605"/>
      <c r="H22" s="448"/>
      <c r="I22" s="447"/>
      <c r="J22" s="448"/>
      <c r="K22" s="2606"/>
      <c r="L22" s="1137"/>
      <c r="M22" s="1128"/>
      <c r="N22" s="1128"/>
      <c r="O22" s="1128"/>
      <c r="P22" s="3260"/>
      <c r="Q22" s="2948"/>
      <c r="R22" s="774"/>
      <c r="S22" s="775"/>
      <c r="T22" s="774"/>
      <c r="U22" s="775"/>
      <c r="V22" s="774"/>
      <c r="W22" s="775"/>
      <c r="X22" s="2950"/>
      <c r="Y22" s="3218"/>
      <c r="Z22" s="2951"/>
      <c r="AA22" s="2949">
        <v>1</v>
      </c>
      <c r="AB22" s="2949">
        <v>1</v>
      </c>
      <c r="AC22" s="2949">
        <v>1</v>
      </c>
    </row>
    <row r="23" spans="1:29" ht="15">
      <c r="A23" s="428"/>
      <c r="B23" s="451" t="s">
        <v>2093</v>
      </c>
      <c r="C23" s="260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60"/>
      <c r="Q23" s="2948" t="str">
        <f>B23</f>
        <v>自然及人文环境</v>
      </c>
      <c r="R23" s="774" t="s">
        <v>21</v>
      </c>
      <c r="S23" s="775">
        <f>F23</f>
        <v>100</v>
      </c>
      <c r="T23" s="774" t="s">
        <v>21</v>
      </c>
      <c r="U23" s="775">
        <f>H23</f>
        <v>100</v>
      </c>
      <c r="V23" s="774" t="s">
        <v>21</v>
      </c>
      <c r="W23" s="775">
        <f>J23</f>
        <v>100</v>
      </c>
      <c r="X23" s="2950"/>
      <c r="Y23" s="3218"/>
      <c r="Z23" s="2951" t="str">
        <f>Q23</f>
        <v>自然及人文环境</v>
      </c>
      <c r="AA23" s="2949">
        <f>D23/F23</f>
        <v>1</v>
      </c>
      <c r="AB23" s="2949">
        <f>D23/H23</f>
        <v>1</v>
      </c>
      <c r="AC23" s="2949">
        <f>D23/J23</f>
        <v>1</v>
      </c>
    </row>
    <row r="24" spans="1:29" ht="15">
      <c r="A24" s="428"/>
      <c r="B24" s="456"/>
      <c r="C24" s="447"/>
      <c r="D24" s="448"/>
      <c r="E24" s="2598"/>
      <c r="F24" s="448"/>
      <c r="G24" s="2599"/>
      <c r="H24" s="448"/>
      <c r="I24" s="2599"/>
      <c r="J24" s="448"/>
      <c r="K24" s="2600"/>
      <c r="L24" s="1137"/>
      <c r="M24" s="1128"/>
      <c r="N24" s="1128"/>
      <c r="O24" s="1128"/>
      <c r="P24" s="3260"/>
      <c r="Q24" s="2948"/>
      <c r="R24" s="774"/>
      <c r="S24" s="775"/>
      <c r="T24" s="774"/>
      <c r="U24" s="775"/>
      <c r="V24" s="774"/>
      <c r="W24" s="775"/>
      <c r="X24" s="2950"/>
      <c r="Y24" s="3218"/>
      <c r="Z24" s="2951"/>
      <c r="AA24" s="2949">
        <v>1</v>
      </c>
      <c r="AB24" s="2949">
        <v>1</v>
      </c>
      <c r="AC24" s="2949">
        <v>1</v>
      </c>
    </row>
    <row r="25" spans="1:29" ht="15">
      <c r="A25" s="428"/>
      <c r="B25" s="2942"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7"/>
      <c r="M25" s="1128"/>
      <c r="N25" s="1128"/>
      <c r="O25" s="1128"/>
      <c r="P25" s="3260"/>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50"/>
      <c r="Y25" s="3218"/>
      <c r="Z25" s="2951" t="str">
        <f>Q25</f>
        <v>楼层-1</v>
      </c>
      <c r="AA25" s="2949">
        <f t="shared" ref="AA25:AA46" si="15">D25/F25</f>
        <v>1</v>
      </c>
      <c r="AB25" s="2949">
        <f t="shared" ref="AB25:AB46" si="16">D25/H25</f>
        <v>1</v>
      </c>
      <c r="AC25" s="2949">
        <f t="shared" ref="AC25:AC46" si="17">D25/J25</f>
        <v>1</v>
      </c>
    </row>
    <row r="26" spans="1:29" ht="15">
      <c r="A26" s="428"/>
      <c r="B26" s="2942"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7"/>
      <c r="M26" s="1128"/>
      <c r="N26" s="1128"/>
      <c r="O26" s="1128"/>
      <c r="P26" s="3260"/>
      <c r="Q26" s="2948" t="str">
        <f t="shared" si="11"/>
        <v>朝向</v>
      </c>
      <c r="R26" s="774" t="s">
        <v>21</v>
      </c>
      <c r="S26" s="775">
        <f t="shared" si="12"/>
        <v>100</v>
      </c>
      <c r="T26" s="774" t="s">
        <v>21</v>
      </c>
      <c r="U26" s="775">
        <f t="shared" si="13"/>
        <v>100</v>
      </c>
      <c r="V26" s="774" t="s">
        <v>21</v>
      </c>
      <c r="W26" s="775">
        <f t="shared" si="14"/>
        <v>100</v>
      </c>
      <c r="X26" s="2950"/>
      <c r="Y26" s="3218"/>
      <c r="Z26" s="2951" t="str">
        <f>Q26</f>
        <v>朝向</v>
      </c>
      <c r="AA26" s="2949">
        <f t="shared" si="15"/>
        <v>1</v>
      </c>
      <c r="AB26" s="2949">
        <f t="shared" si="16"/>
        <v>1</v>
      </c>
      <c r="AC26" s="2949">
        <f t="shared" si="17"/>
        <v>1</v>
      </c>
    </row>
    <row r="27" spans="1:29" s="117" customFormat="1" ht="15">
      <c r="A27" s="431"/>
      <c r="B27" s="1383"/>
      <c r="C27" s="432"/>
      <c r="D27" s="462">
        <v>100</v>
      </c>
      <c r="E27" s="465"/>
      <c r="F27" s="462">
        <f>SUMIF(90:90,E27,91:91)-SUMIF(90:90,C27,91:91)+100</f>
        <v>100</v>
      </c>
      <c r="G27" s="463"/>
      <c r="H27" s="462">
        <f>SUMIF(90:90,G27,91:91)-SUMIF(90:90,C27,91:91)+100</f>
        <v>100</v>
      </c>
      <c r="I27" s="463"/>
      <c r="J27" s="462">
        <f>SUMIF(90:90,I27,91:91)-SUMIF(90:90,C27,91:91)+100</f>
        <v>100</v>
      </c>
      <c r="K27" s="2595"/>
      <c r="L27" s="1129"/>
      <c r="M27" s="1130"/>
      <c r="N27" s="1130"/>
      <c r="O27" s="1130"/>
      <c r="P27" s="3260"/>
      <c r="Q27" s="2936">
        <f t="shared" si="11"/>
        <v>0</v>
      </c>
      <c r="R27" s="770" t="s">
        <v>21</v>
      </c>
      <c r="S27" s="771">
        <f t="shared" si="12"/>
        <v>100</v>
      </c>
      <c r="T27" s="770" t="s">
        <v>21</v>
      </c>
      <c r="U27" s="771">
        <f t="shared" si="13"/>
        <v>100</v>
      </c>
      <c r="V27" s="770" t="s">
        <v>21</v>
      </c>
      <c r="W27" s="771">
        <f t="shared" si="14"/>
        <v>100</v>
      </c>
      <c r="X27" s="772"/>
      <c r="Y27" s="3218"/>
      <c r="Z27" s="2937">
        <f>Q27</f>
        <v>0</v>
      </c>
      <c r="AA27" s="2949">
        <f t="shared" si="15"/>
        <v>1</v>
      </c>
      <c r="AB27" s="2949">
        <f t="shared" si="16"/>
        <v>1</v>
      </c>
      <c r="AC27" s="2949">
        <f t="shared" si="17"/>
        <v>1</v>
      </c>
    </row>
    <row r="28" spans="1:29" ht="15">
      <c r="A28" s="428"/>
      <c r="B28" s="1383"/>
      <c r="C28" s="434"/>
      <c r="D28" s="435">
        <v>100</v>
      </c>
      <c r="E28" s="434"/>
      <c r="F28" s="435">
        <f>SUMIF(92:92,E28,93:93)-SUMIF(92:92,C28,93:93)+100</f>
        <v>100</v>
      </c>
      <c r="G28" s="2609"/>
      <c r="H28" s="435">
        <f>SUMIF(92:92,G28,93:93)-SUMIF(92:92,C28,93:93)+100</f>
        <v>100</v>
      </c>
      <c r="I28" s="434"/>
      <c r="J28" s="435">
        <f>SUMIF(92:92,I28,93:93)-SUMIF(92:92,C28,93:93)+100</f>
        <v>100</v>
      </c>
      <c r="K28" s="2595"/>
      <c r="L28" s="1137"/>
      <c r="M28" s="1128"/>
      <c r="N28" s="1128"/>
      <c r="O28" s="1128"/>
      <c r="P28" s="3260"/>
      <c r="Q28" s="2948">
        <f t="shared" si="11"/>
        <v>0</v>
      </c>
      <c r="R28" s="774" t="s">
        <v>21</v>
      </c>
      <c r="S28" s="775">
        <f t="shared" si="12"/>
        <v>100</v>
      </c>
      <c r="T28" s="774" t="s">
        <v>21</v>
      </c>
      <c r="U28" s="775">
        <f t="shared" si="13"/>
        <v>100</v>
      </c>
      <c r="V28" s="774" t="s">
        <v>21</v>
      </c>
      <c r="W28" s="775">
        <f t="shared" si="14"/>
        <v>100</v>
      </c>
      <c r="X28" s="2950"/>
      <c r="Y28" s="3218"/>
      <c r="Z28" s="2951">
        <f t="shared" ref="Z28:Z46" si="18">Q28</f>
        <v>0</v>
      </c>
      <c r="AA28" s="2949">
        <f t="shared" si="15"/>
        <v>1</v>
      </c>
      <c r="AB28" s="2949">
        <f t="shared" si="16"/>
        <v>1</v>
      </c>
      <c r="AC28" s="2949">
        <f t="shared" si="17"/>
        <v>1</v>
      </c>
    </row>
    <row r="29" spans="1:29" ht="15">
      <c r="A29" s="428"/>
      <c r="B29" s="1383"/>
      <c r="C29" s="434"/>
      <c r="D29" s="435">
        <v>100</v>
      </c>
      <c r="E29" s="434"/>
      <c r="F29" s="435">
        <f>SUMIF(94:94,E29,95:95)-SUMIF(94:94,C29,95:95)+100</f>
        <v>100</v>
      </c>
      <c r="G29" s="2609"/>
      <c r="H29" s="435">
        <f>SUMIF(94:94,G29,95:95)-SUMIF(94:94,C29,95:95)+100</f>
        <v>100</v>
      </c>
      <c r="I29" s="434"/>
      <c r="J29" s="435">
        <f>SUMIF(94:94,I29,95:95)-SUMIF(94:94,C29,95:95)+100</f>
        <v>100</v>
      </c>
      <c r="K29" s="2595"/>
      <c r="L29" s="1137"/>
      <c r="M29" s="1128"/>
      <c r="N29" s="1128"/>
      <c r="O29" s="1128"/>
      <c r="P29" s="3260"/>
      <c r="Q29" s="2948">
        <f t="shared" si="11"/>
        <v>0</v>
      </c>
      <c r="R29" s="774" t="s">
        <v>21</v>
      </c>
      <c r="S29" s="775">
        <f t="shared" si="12"/>
        <v>100</v>
      </c>
      <c r="T29" s="774" t="s">
        <v>21</v>
      </c>
      <c r="U29" s="775">
        <f t="shared" si="13"/>
        <v>100</v>
      </c>
      <c r="V29" s="774" t="s">
        <v>21</v>
      </c>
      <c r="W29" s="775">
        <f t="shared" si="14"/>
        <v>100</v>
      </c>
      <c r="X29" s="2950"/>
      <c r="Y29" s="3218"/>
      <c r="Z29" s="2951">
        <f t="shared" si="18"/>
        <v>0</v>
      </c>
      <c r="AA29" s="2949">
        <f t="shared" si="15"/>
        <v>1</v>
      </c>
      <c r="AB29" s="2949">
        <f t="shared" si="16"/>
        <v>1</v>
      </c>
      <c r="AC29" s="2949">
        <f t="shared" si="17"/>
        <v>1</v>
      </c>
    </row>
    <row r="30" spans="1:29" ht="15">
      <c r="A30" s="428"/>
      <c r="B30" s="1383"/>
      <c r="C30" s="434"/>
      <c r="D30" s="435">
        <v>100</v>
      </c>
      <c r="E30" s="434"/>
      <c r="F30" s="435">
        <f>SUMIF(96:96,E30,97:97)-SUMIF(96:96,C30,97:97)+100</f>
        <v>100</v>
      </c>
      <c r="G30" s="2609"/>
      <c r="H30" s="435">
        <f>SUMIF(96:96,G30,97:97)-SUMIF(96:96,C30,97:97)+100</f>
        <v>100</v>
      </c>
      <c r="I30" s="434"/>
      <c r="J30" s="435">
        <f>SUMIF(96:96,I30,97:97)-SUMIF(96:96,C30,97:97)+100</f>
        <v>100</v>
      </c>
      <c r="K30" s="2595"/>
      <c r="L30" s="1137"/>
      <c r="M30" s="1128"/>
      <c r="N30" s="1128"/>
      <c r="O30" s="1128"/>
      <c r="P30" s="3260"/>
      <c r="Q30" s="2948">
        <f t="shared" si="11"/>
        <v>0</v>
      </c>
      <c r="R30" s="774" t="s">
        <v>21</v>
      </c>
      <c r="S30" s="775">
        <f t="shared" si="12"/>
        <v>100</v>
      </c>
      <c r="T30" s="774" t="s">
        <v>21</v>
      </c>
      <c r="U30" s="775">
        <f t="shared" si="13"/>
        <v>100</v>
      </c>
      <c r="V30" s="774" t="s">
        <v>21</v>
      </c>
      <c r="W30" s="775">
        <f t="shared" si="14"/>
        <v>100</v>
      </c>
      <c r="X30" s="2950"/>
      <c r="Y30" s="3218"/>
      <c r="Z30" s="2951">
        <f t="shared" si="18"/>
        <v>0</v>
      </c>
      <c r="AA30" s="2949">
        <f t="shared" si="15"/>
        <v>1</v>
      </c>
      <c r="AB30" s="2949">
        <f t="shared" si="16"/>
        <v>1</v>
      </c>
      <c r="AC30" s="2949">
        <f t="shared" si="17"/>
        <v>1</v>
      </c>
    </row>
    <row r="31" spans="1:29" ht="15.75" thickBot="1">
      <c r="A31" s="436"/>
      <c r="B31" s="1383"/>
      <c r="C31" s="437"/>
      <c r="D31" s="438">
        <v>100</v>
      </c>
      <c r="E31" s="437"/>
      <c r="F31" s="438">
        <f>SUMIF(98:98,E31,99:99)-SUMIF(98:98,C31,99:99)+100</f>
        <v>100</v>
      </c>
      <c r="G31" s="2610"/>
      <c r="H31" s="438">
        <f>SUMIF(98:98,G31,99:99)-SUMIF(98:98,C31,99:99)+100</f>
        <v>100</v>
      </c>
      <c r="I31" s="437"/>
      <c r="J31" s="438">
        <f>SUMIF(98:98,I31,99:99)-SUMIF(98:98,C31,99:99)+100</f>
        <v>100</v>
      </c>
      <c r="K31" s="2595"/>
      <c r="L31" s="1137"/>
      <c r="M31" s="1128"/>
      <c r="N31" s="1128"/>
      <c r="O31" s="1128"/>
      <c r="P31" s="3260"/>
      <c r="Q31" s="2948">
        <f t="shared" si="11"/>
        <v>0</v>
      </c>
      <c r="R31" s="774" t="s">
        <v>21</v>
      </c>
      <c r="S31" s="775">
        <f t="shared" si="12"/>
        <v>100</v>
      </c>
      <c r="T31" s="774" t="s">
        <v>21</v>
      </c>
      <c r="U31" s="775">
        <f t="shared" si="13"/>
        <v>100</v>
      </c>
      <c r="V31" s="774" t="s">
        <v>21</v>
      </c>
      <c r="W31" s="775">
        <f t="shared" si="14"/>
        <v>100</v>
      </c>
      <c r="X31" s="2950"/>
      <c r="Y31" s="3218"/>
      <c r="Z31" s="2951">
        <f t="shared" si="18"/>
        <v>0</v>
      </c>
      <c r="AA31" s="2949">
        <f t="shared" si="15"/>
        <v>1</v>
      </c>
      <c r="AB31" s="2949">
        <f t="shared" si="16"/>
        <v>1</v>
      </c>
      <c r="AC31" s="2949">
        <f t="shared" si="17"/>
        <v>1</v>
      </c>
    </row>
    <row r="32" spans="1:29" ht="15">
      <c r="A32" s="440" t="s">
        <v>2552</v>
      </c>
      <c r="B32" s="71" t="s">
        <v>2553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7"/>
      <c r="M32" s="1128"/>
      <c r="N32" s="1128"/>
      <c r="O32" s="1128"/>
      <c r="P32" s="3261" t="s">
        <v>2554</v>
      </c>
      <c r="Q32" s="2948" t="str">
        <f t="shared" si="11"/>
        <v>建筑类型</v>
      </c>
      <c r="R32" s="774" t="s">
        <v>21</v>
      </c>
      <c r="S32" s="775">
        <f t="shared" si="12"/>
        <v>100</v>
      </c>
      <c r="T32" s="774" t="s">
        <v>21</v>
      </c>
      <c r="U32" s="775">
        <f t="shared" si="13"/>
        <v>100</v>
      </c>
      <c r="V32" s="774" t="s">
        <v>21</v>
      </c>
      <c r="W32" s="775">
        <f t="shared" si="14"/>
        <v>100</v>
      </c>
      <c r="X32" s="2950"/>
      <c r="Y32" s="3220" t="s">
        <v>2554</v>
      </c>
      <c r="Z32" s="2951" t="str">
        <f t="shared" si="18"/>
        <v>建筑类型</v>
      </c>
      <c r="AA32" s="2949">
        <f t="shared" si="15"/>
        <v>1</v>
      </c>
      <c r="AB32" s="2949">
        <f t="shared" si="16"/>
        <v>1</v>
      </c>
      <c r="AC32" s="2949">
        <f t="shared" si="17"/>
        <v>1</v>
      </c>
    </row>
    <row r="33" spans="1:29" s="471" customFormat="1" ht="15">
      <c r="A33" s="468"/>
      <c r="B33" s="294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5"/>
      <c r="M33" s="1138"/>
      <c r="N33" s="1138"/>
      <c r="O33" s="1138"/>
      <c r="P33" s="3262"/>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2949" t="e">
        <f t="shared" si="15"/>
        <v>#N/A</v>
      </c>
      <c r="AB33" s="2949" t="e">
        <f t="shared" si="16"/>
        <v>#N/A</v>
      </c>
      <c r="AC33" s="2949" t="e">
        <f t="shared" si="17"/>
        <v>#N/A</v>
      </c>
    </row>
    <row r="34" spans="1:29" ht="15">
      <c r="A34" s="472"/>
      <c r="B34" s="2942" t="s">
        <v>2556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7"/>
      <c r="M34" s="1128"/>
      <c r="N34" s="1128"/>
      <c r="O34" s="1128"/>
      <c r="P34" s="3262"/>
      <c r="Q34" s="2948" t="str">
        <f t="shared" si="11"/>
        <v>建筑结构</v>
      </c>
      <c r="R34" s="774" t="s">
        <v>21</v>
      </c>
      <c r="S34" s="775">
        <f t="shared" si="12"/>
        <v>100</v>
      </c>
      <c r="T34" s="774" t="s">
        <v>21</v>
      </c>
      <c r="U34" s="775">
        <f t="shared" si="13"/>
        <v>100</v>
      </c>
      <c r="V34" s="774" t="s">
        <v>21</v>
      </c>
      <c r="W34" s="775">
        <f t="shared" si="14"/>
        <v>100</v>
      </c>
      <c r="X34" s="2950"/>
      <c r="Y34" s="3220"/>
      <c r="Z34" s="2951" t="str">
        <f t="shared" si="18"/>
        <v>建筑结构</v>
      </c>
      <c r="AA34" s="2949">
        <f t="shared" si="15"/>
        <v>1</v>
      </c>
      <c r="AB34" s="2949">
        <f t="shared" si="16"/>
        <v>1</v>
      </c>
      <c r="AC34" s="2949">
        <f t="shared" si="17"/>
        <v>1</v>
      </c>
    </row>
    <row r="35" spans="1:29" ht="15">
      <c r="A35" s="472"/>
      <c r="B35" s="2942" t="s">
        <v>2557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7"/>
      <c r="M35" s="1128"/>
      <c r="N35" s="1128"/>
      <c r="O35" s="1128"/>
      <c r="P35" s="3262"/>
      <c r="Q35" s="2948" t="str">
        <f t="shared" si="11"/>
        <v>建筑品质</v>
      </c>
      <c r="R35" s="774" t="s">
        <v>21</v>
      </c>
      <c r="S35" s="775">
        <f t="shared" si="12"/>
        <v>100</v>
      </c>
      <c r="T35" s="774" t="s">
        <v>21</v>
      </c>
      <c r="U35" s="775">
        <f t="shared" si="13"/>
        <v>100</v>
      </c>
      <c r="V35" s="774" t="s">
        <v>21</v>
      </c>
      <c r="W35" s="775">
        <f t="shared" si="14"/>
        <v>100</v>
      </c>
      <c r="X35" s="2950"/>
      <c r="Y35" s="3220"/>
      <c r="Z35" s="2951" t="str">
        <f t="shared" si="18"/>
        <v>建筑品质</v>
      </c>
      <c r="AA35" s="2949">
        <f t="shared" si="15"/>
        <v>1</v>
      </c>
      <c r="AB35" s="2949">
        <f t="shared" si="16"/>
        <v>1</v>
      </c>
      <c r="AC35" s="2949">
        <f t="shared" si="17"/>
        <v>1</v>
      </c>
    </row>
    <row r="36" spans="1:29" ht="15">
      <c r="A36" s="472"/>
      <c r="B36" s="2942" t="s">
        <v>2558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7"/>
      <c r="M36" s="1128"/>
      <c r="N36" s="1128"/>
      <c r="O36" s="1128"/>
      <c r="P36" s="3262"/>
      <c r="Q36" s="2948" t="str">
        <f t="shared" si="11"/>
        <v>公共部分装修</v>
      </c>
      <c r="R36" s="774" t="s">
        <v>21</v>
      </c>
      <c r="S36" s="775">
        <f t="shared" si="12"/>
        <v>100</v>
      </c>
      <c r="T36" s="774" t="s">
        <v>21</v>
      </c>
      <c r="U36" s="775">
        <f t="shared" si="13"/>
        <v>100</v>
      </c>
      <c r="V36" s="774" t="s">
        <v>21</v>
      </c>
      <c r="W36" s="775">
        <f t="shared" si="14"/>
        <v>100</v>
      </c>
      <c r="X36" s="2950"/>
      <c r="Y36" s="3220"/>
      <c r="Z36" s="2951" t="str">
        <f t="shared" si="18"/>
        <v>公共部分装修</v>
      </c>
      <c r="AA36" s="2949">
        <f t="shared" si="15"/>
        <v>1</v>
      </c>
      <c r="AB36" s="2949">
        <f t="shared" si="16"/>
        <v>1</v>
      </c>
      <c r="AC36" s="2949">
        <f t="shared" si="17"/>
        <v>1</v>
      </c>
    </row>
    <row r="37" spans="1:29" s="117" customFormat="1" ht="15">
      <c r="A37" s="473"/>
      <c r="B37" s="294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62"/>
      <c r="Q37" s="2936" t="str">
        <f t="shared" si="11"/>
        <v>成新度</v>
      </c>
      <c r="R37" s="770" t="s">
        <v>21</v>
      </c>
      <c r="S37" s="771" t="e">
        <f t="shared" si="12"/>
        <v>#N/A</v>
      </c>
      <c r="T37" s="770" t="s">
        <v>21</v>
      </c>
      <c r="U37" s="771" t="e">
        <f t="shared" si="13"/>
        <v>#N/A</v>
      </c>
      <c r="V37" s="770" t="s">
        <v>21</v>
      </c>
      <c r="W37" s="771" t="e">
        <f t="shared" si="14"/>
        <v>#N/A</v>
      </c>
      <c r="X37" s="772"/>
      <c r="Y37" s="3220"/>
      <c r="Z37" s="2937" t="str">
        <f t="shared" si="18"/>
        <v>成新度</v>
      </c>
      <c r="AA37" s="773" t="e">
        <f t="shared" si="15"/>
        <v>#N/A</v>
      </c>
      <c r="AB37" s="773" t="e">
        <f t="shared" si="16"/>
        <v>#N/A</v>
      </c>
      <c r="AC37" s="773" t="e">
        <f t="shared" si="17"/>
        <v>#N/A</v>
      </c>
    </row>
    <row r="38" spans="1:29" ht="15">
      <c r="A38" s="472"/>
      <c r="B38" s="2942" t="s">
        <v>2560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7"/>
      <c r="M38" s="1128"/>
      <c r="N38" s="1128"/>
      <c r="O38" s="1128"/>
      <c r="P38" s="3262" t="s">
        <v>2554</v>
      </c>
      <c r="Q38" s="2948" t="str">
        <f t="shared" si="11"/>
        <v>物业管理</v>
      </c>
      <c r="R38" s="774" t="s">
        <v>21</v>
      </c>
      <c r="S38" s="775">
        <f t="shared" si="12"/>
        <v>100</v>
      </c>
      <c r="T38" s="774" t="s">
        <v>21</v>
      </c>
      <c r="U38" s="775">
        <f t="shared" si="13"/>
        <v>100</v>
      </c>
      <c r="V38" s="774" t="s">
        <v>21</v>
      </c>
      <c r="W38" s="775">
        <f t="shared" si="14"/>
        <v>100</v>
      </c>
      <c r="X38" s="2950"/>
      <c r="Y38" s="3220" t="s">
        <v>2554</v>
      </c>
      <c r="Z38" s="2951" t="str">
        <f t="shared" si="18"/>
        <v>物业管理</v>
      </c>
      <c r="AA38" s="2949">
        <f t="shared" si="15"/>
        <v>1</v>
      </c>
      <c r="AB38" s="2949">
        <f t="shared" si="16"/>
        <v>1</v>
      </c>
      <c r="AC38" s="2949">
        <f t="shared" si="17"/>
        <v>1</v>
      </c>
    </row>
    <row r="39" spans="1:29" ht="15">
      <c r="A39" s="472"/>
      <c r="B39" s="2942" t="s">
        <v>2561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7"/>
      <c r="M39" s="1128"/>
      <c r="N39" s="1128"/>
      <c r="O39" s="1128"/>
      <c r="P39" s="3262"/>
      <c r="Q39" s="2948" t="str">
        <f t="shared" si="11"/>
        <v>市政基础设施</v>
      </c>
      <c r="R39" s="774" t="s">
        <v>21</v>
      </c>
      <c r="S39" s="775">
        <f t="shared" si="12"/>
        <v>100</v>
      </c>
      <c r="T39" s="774" t="s">
        <v>21</v>
      </c>
      <c r="U39" s="775">
        <f t="shared" si="13"/>
        <v>100</v>
      </c>
      <c r="V39" s="774" t="s">
        <v>21</v>
      </c>
      <c r="W39" s="775">
        <f t="shared" si="14"/>
        <v>100</v>
      </c>
      <c r="X39" s="2950"/>
      <c r="Y39" s="3220"/>
      <c r="Z39" s="2951" t="str">
        <f t="shared" si="18"/>
        <v>市政基础设施</v>
      </c>
      <c r="AA39" s="2949">
        <f t="shared" si="15"/>
        <v>1</v>
      </c>
      <c r="AB39" s="2949">
        <f t="shared" si="16"/>
        <v>1</v>
      </c>
      <c r="AC39" s="2949">
        <f t="shared" si="17"/>
        <v>1</v>
      </c>
    </row>
    <row r="40" spans="1:29" ht="15">
      <c r="A40" s="472"/>
      <c r="B40" s="2942" t="s">
        <v>2562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7"/>
      <c r="M40" s="1128"/>
      <c r="N40" s="1128"/>
      <c r="O40" s="1128"/>
      <c r="P40" s="3262"/>
      <c r="Q40" s="2948" t="str">
        <f t="shared" si="11"/>
        <v>房型</v>
      </c>
      <c r="R40" s="774" t="s">
        <v>21</v>
      </c>
      <c r="S40" s="775">
        <f t="shared" si="12"/>
        <v>100</v>
      </c>
      <c r="T40" s="774" t="s">
        <v>21</v>
      </c>
      <c r="U40" s="775">
        <f t="shared" si="13"/>
        <v>100</v>
      </c>
      <c r="V40" s="774" t="s">
        <v>21</v>
      </c>
      <c r="W40" s="775">
        <f t="shared" si="14"/>
        <v>100</v>
      </c>
      <c r="X40" s="2950"/>
      <c r="Y40" s="3220"/>
      <c r="Z40" s="2951" t="str">
        <f t="shared" si="18"/>
        <v>房型</v>
      </c>
      <c r="AA40" s="2949">
        <f t="shared" si="15"/>
        <v>1</v>
      </c>
      <c r="AB40" s="2949">
        <f t="shared" si="16"/>
        <v>1</v>
      </c>
      <c r="AC40" s="2949">
        <f t="shared" si="17"/>
        <v>1</v>
      </c>
    </row>
    <row r="41" spans="1:29" s="471" customFormat="1" ht="28.5">
      <c r="A41" s="468"/>
      <c r="B41" s="294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5"/>
      <c r="M41" s="1138"/>
      <c r="N41" s="1138"/>
      <c r="O41" s="1138"/>
      <c r="P41" s="3262"/>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2949">
        <f t="shared" si="15"/>
        <v>1</v>
      </c>
      <c r="AB41" s="2949">
        <f t="shared" si="16"/>
        <v>1</v>
      </c>
      <c r="AC41" s="2949">
        <f t="shared" si="17"/>
        <v>1</v>
      </c>
    </row>
    <row r="42" spans="1:29" ht="15">
      <c r="A42" s="472"/>
      <c r="B42" s="2942" t="s">
        <v>2564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7"/>
      <c r="M42" s="1128"/>
      <c r="N42" s="1128"/>
      <c r="O42" s="1128"/>
      <c r="P42" s="3262"/>
      <c r="Q42" s="2948" t="str">
        <f t="shared" si="11"/>
        <v>内部装修</v>
      </c>
      <c r="R42" s="774" t="s">
        <v>21</v>
      </c>
      <c r="S42" s="775">
        <f t="shared" si="12"/>
        <v>100</v>
      </c>
      <c r="T42" s="774" t="s">
        <v>21</v>
      </c>
      <c r="U42" s="775">
        <f t="shared" si="13"/>
        <v>100</v>
      </c>
      <c r="V42" s="774" t="s">
        <v>21</v>
      </c>
      <c r="W42" s="775">
        <f t="shared" si="14"/>
        <v>100</v>
      </c>
      <c r="X42" s="2950"/>
      <c r="Y42" s="3220"/>
      <c r="Z42" s="2951" t="str">
        <f t="shared" si="18"/>
        <v>内部装修</v>
      </c>
      <c r="AA42" s="2949">
        <f t="shared" si="15"/>
        <v>1</v>
      </c>
      <c r="AB42" s="2949">
        <f t="shared" si="16"/>
        <v>1</v>
      </c>
      <c r="AC42" s="2949">
        <f t="shared" si="17"/>
        <v>1</v>
      </c>
    </row>
    <row r="43" spans="1:29" ht="15">
      <c r="A43" s="472"/>
      <c r="B43" s="2942" t="s">
        <v>2565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7"/>
      <c r="M43" s="1128"/>
      <c r="N43" s="1128"/>
      <c r="O43" s="1128"/>
      <c r="P43" s="3262"/>
      <c r="Q43" s="2948" t="str">
        <f t="shared" si="11"/>
        <v>内部装修维护情况</v>
      </c>
      <c r="R43" s="774" t="s">
        <v>21</v>
      </c>
      <c r="S43" s="775">
        <f t="shared" si="12"/>
        <v>100</v>
      </c>
      <c r="T43" s="774" t="s">
        <v>21</v>
      </c>
      <c r="U43" s="775">
        <f t="shared" si="13"/>
        <v>100</v>
      </c>
      <c r="V43" s="774" t="s">
        <v>21</v>
      </c>
      <c r="W43" s="775">
        <f t="shared" si="14"/>
        <v>100</v>
      </c>
      <c r="X43" s="2950"/>
      <c r="Y43" s="3220"/>
      <c r="Z43" s="2951" t="str">
        <f t="shared" si="18"/>
        <v>内部装修维护情况</v>
      </c>
      <c r="AA43" s="2949">
        <f t="shared" si="15"/>
        <v>1</v>
      </c>
      <c r="AB43" s="2949">
        <f t="shared" si="16"/>
        <v>1</v>
      </c>
      <c r="AC43" s="2949">
        <f t="shared" si="17"/>
        <v>1</v>
      </c>
    </row>
    <row r="44" spans="1:29" s="117" customFormat="1" ht="15">
      <c r="A44" s="473"/>
      <c r="B44" s="1383"/>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9"/>
      <c r="M44" s="1130"/>
      <c r="N44" s="1130"/>
      <c r="O44" s="1130"/>
      <c r="P44" s="3262"/>
      <c r="Q44" s="2936">
        <f t="shared" si="11"/>
        <v>0</v>
      </c>
      <c r="R44" s="770" t="s">
        <v>21</v>
      </c>
      <c r="S44" s="771">
        <f t="shared" si="12"/>
        <v>100</v>
      </c>
      <c r="T44" s="770" t="s">
        <v>21</v>
      </c>
      <c r="U44" s="771">
        <f t="shared" si="13"/>
        <v>100</v>
      </c>
      <c r="V44" s="770" t="s">
        <v>21</v>
      </c>
      <c r="W44" s="771">
        <f t="shared" si="14"/>
        <v>100</v>
      </c>
      <c r="X44" s="772"/>
      <c r="Y44" s="3220"/>
      <c r="Z44" s="2937">
        <f t="shared" si="18"/>
        <v>0</v>
      </c>
      <c r="AA44" s="773">
        <f t="shared" si="15"/>
        <v>1</v>
      </c>
      <c r="AB44" s="773">
        <f t="shared" si="16"/>
        <v>1</v>
      </c>
      <c r="AC44" s="773">
        <f t="shared" si="17"/>
        <v>1</v>
      </c>
    </row>
    <row r="45" spans="1:29" ht="15">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7"/>
      <c r="M45" s="1128"/>
      <c r="N45" s="1128"/>
      <c r="O45" s="1128"/>
      <c r="P45" s="3262"/>
      <c r="Q45" s="2948">
        <f t="shared" si="11"/>
        <v>0</v>
      </c>
      <c r="R45" s="774" t="s">
        <v>21</v>
      </c>
      <c r="S45" s="775">
        <f t="shared" si="12"/>
        <v>100</v>
      </c>
      <c r="T45" s="774" t="s">
        <v>21</v>
      </c>
      <c r="U45" s="775">
        <f t="shared" si="13"/>
        <v>100</v>
      </c>
      <c r="V45" s="774" t="s">
        <v>21</v>
      </c>
      <c r="W45" s="775">
        <f t="shared" si="14"/>
        <v>100</v>
      </c>
      <c r="X45" s="2950"/>
      <c r="Y45" s="3220"/>
      <c r="Z45" s="2951">
        <f t="shared" si="18"/>
        <v>0</v>
      </c>
      <c r="AA45" s="2949">
        <f t="shared" si="15"/>
        <v>1</v>
      </c>
      <c r="AB45" s="2949">
        <f t="shared" si="16"/>
        <v>1</v>
      </c>
      <c r="AC45" s="2949">
        <f t="shared" si="17"/>
        <v>1</v>
      </c>
    </row>
    <row r="46" spans="1:29" ht="15.75" thickBot="1">
      <c r="A46" s="478"/>
      <c r="B46" s="2596"/>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7"/>
      <c r="M46" s="1128"/>
      <c r="N46" s="1128"/>
      <c r="O46" s="1128"/>
      <c r="P46" s="3263"/>
      <c r="Q46" s="2948">
        <f t="shared" si="11"/>
        <v>0</v>
      </c>
      <c r="R46" s="774" t="s">
        <v>20</v>
      </c>
      <c r="S46" s="775">
        <f t="shared" si="12"/>
        <v>100</v>
      </c>
      <c r="T46" s="774" t="s">
        <v>20</v>
      </c>
      <c r="U46" s="775">
        <f t="shared" si="13"/>
        <v>100</v>
      </c>
      <c r="V46" s="774" t="s">
        <v>20</v>
      </c>
      <c r="W46" s="775">
        <f t="shared" si="14"/>
        <v>100</v>
      </c>
      <c r="X46" s="2950"/>
      <c r="Y46" s="3264"/>
      <c r="Z46" s="2951">
        <f t="shared" si="18"/>
        <v>0</v>
      </c>
      <c r="AA46" s="2949">
        <f t="shared" si="15"/>
        <v>1</v>
      </c>
      <c r="AB46" s="2949">
        <f t="shared" si="16"/>
        <v>1</v>
      </c>
      <c r="AC46" s="2949">
        <f t="shared" si="17"/>
        <v>1</v>
      </c>
    </row>
    <row r="47" spans="1:29" ht="15">
      <c r="A47" s="479" t="s">
        <v>2566</v>
      </c>
      <c r="B47" s="480"/>
      <c r="C47" s="1404" t="s">
        <v>19</v>
      </c>
      <c r="D47" s="1405"/>
      <c r="E47" s="1406"/>
      <c r="F47" s="1407"/>
      <c r="G47" s="1408"/>
      <c r="H47" s="1409"/>
      <c r="I47" s="1406"/>
      <c r="J47" s="1409"/>
      <c r="K47" s="2615"/>
      <c r="L47" s="1140"/>
      <c r="M47" s="1141"/>
      <c r="N47" s="1128"/>
      <c r="O47" s="1141"/>
      <c r="P47" s="3215" t="str">
        <f>A47</f>
        <v>成交单价（元/平方米）</v>
      </c>
      <c r="Q47" s="3215"/>
      <c r="R47" s="3257">
        <f>E47</f>
        <v>0</v>
      </c>
      <c r="S47" s="3257"/>
      <c r="T47" s="3257">
        <f>G47</f>
        <v>0</v>
      </c>
      <c r="U47" s="3257"/>
      <c r="V47" s="3257">
        <f>I47</f>
        <v>0</v>
      </c>
      <c r="W47" s="3257"/>
      <c r="X47" s="759"/>
      <c r="Y47" s="781"/>
      <c r="Z47" s="759"/>
      <c r="AA47" s="759"/>
      <c r="AB47" s="759"/>
      <c r="AC47" s="759"/>
    </row>
    <row r="48" spans="1:29" ht="15.75" thickBot="1">
      <c r="A48" s="486" t="s">
        <v>2567</v>
      </c>
      <c r="B48" s="487"/>
      <c r="C48" s="1410" t="e">
        <f>R49</f>
        <v>#DIV/0!</v>
      </c>
      <c r="D48" s="1411"/>
      <c r="E48" s="1412" t="e">
        <f>R48</f>
        <v>#DIV/0!</v>
      </c>
      <c r="F48" s="1412"/>
      <c r="G48" s="1410" t="e">
        <f>T48</f>
        <v>#DIV/0!</v>
      </c>
      <c r="H48" s="1411"/>
      <c r="I48" s="1412" t="e">
        <f>V48</f>
        <v>#DIV/0!</v>
      </c>
      <c r="J48" s="1411"/>
      <c r="K48" s="2616"/>
      <c r="L48" s="1140"/>
      <c r="M48" s="1141"/>
      <c r="N48" s="1141"/>
      <c r="O48" s="1141"/>
      <c r="P48" s="3215" t="str">
        <f>A48</f>
        <v>比较价值（元/平方米）</v>
      </c>
      <c r="Q48" s="3215"/>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2568</v>
      </c>
      <c r="B49" s="493"/>
      <c r="C49" s="1413" t="e">
        <f>R49</f>
        <v>#DIV/0!</v>
      </c>
      <c r="D49" s="1414"/>
      <c r="E49" s="1414"/>
      <c r="F49" s="1414"/>
      <c r="G49" s="1414"/>
      <c r="H49" s="1414"/>
      <c r="I49" s="1414"/>
      <c r="J49" s="1414"/>
      <c r="K49" s="2617"/>
      <c r="L49" s="1140"/>
      <c r="M49" s="1141"/>
      <c r="N49" s="1141"/>
      <c r="O49" s="1141"/>
      <c r="P49" s="3209" t="str">
        <f>A49</f>
        <v>估价对象XX用房的比较价值（楼面单价，元/平方米）</v>
      </c>
      <c r="Q49" s="3210"/>
      <c r="R49" s="3258" t="e">
        <f>IF(F1="售价",ROUND(AVERAGE(R48:V48),0),ROUND(AVERAGE(R48:V48),1))</f>
        <v>#DIV/0!</v>
      </c>
      <c r="S49" s="3258"/>
      <c r="T49" s="3258"/>
      <c r="U49" s="3258"/>
      <c r="V49" s="3258"/>
      <c r="W49" s="325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9"/>
    </row>
    <row r="55" spans="1:29" s="502"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3" t="s">
        <v>2572</v>
      </c>
      <c r="B57" s="759"/>
      <c r="C57" s="764"/>
      <c r="D57" s="764"/>
      <c r="E57" s="764"/>
      <c r="F57" s="765"/>
      <c r="G57" s="765"/>
      <c r="H57" s="764"/>
      <c r="I57" s="764"/>
      <c r="J57" s="764"/>
      <c r="K57" s="1157"/>
      <c r="L57" s="1158"/>
      <c r="M57" s="1156"/>
      <c r="N57" s="1156"/>
      <c r="O57" s="1156"/>
      <c r="P57" s="2620"/>
      <c r="Q57" s="504"/>
    </row>
    <row r="58" spans="1:29" s="508" customFormat="1" ht="15">
      <c r="A58" s="505" t="s">
        <v>2537</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2574</v>
      </c>
      <c r="B60" s="516"/>
      <c r="C60" s="517"/>
      <c r="D60" s="518"/>
      <c r="E60" s="518"/>
      <c r="F60" s="518"/>
      <c r="G60" s="518"/>
      <c r="H60" s="518"/>
      <c r="I60" s="518"/>
      <c r="J60" s="518"/>
      <c r="K60" s="518"/>
      <c r="L60" s="518"/>
      <c r="M60" s="519"/>
      <c r="N60" s="518"/>
      <c r="O60" s="519"/>
      <c r="P60" s="2622"/>
      <c r="Q60" s="504"/>
    </row>
    <row r="61" spans="1:29" s="117" customFormat="1" ht="15">
      <c r="A61" s="521" t="s">
        <v>2539</v>
      </c>
      <c r="B61" s="510"/>
      <c r="C61" s="522" t="s">
        <v>2576</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2577</v>
      </c>
      <c r="B63" s="528" t="s">
        <v>2543</v>
      </c>
      <c r="C63" s="529">
        <f>C9</f>
        <v>0</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49"/>
      <c r="O65" s="1149"/>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4"/>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4"/>
      <c r="Q67" s="504"/>
    </row>
    <row r="68" spans="1:17" ht="15">
      <c r="A68" s="534"/>
      <c r="B68" s="548"/>
      <c r="C68" s="549"/>
      <c r="D68" s="549"/>
      <c r="E68" s="549"/>
      <c r="F68" s="549"/>
      <c r="G68" s="549"/>
      <c r="H68" s="549"/>
      <c r="I68" s="549"/>
      <c r="J68" s="549"/>
      <c r="K68" s="550"/>
      <c r="L68" s="551"/>
      <c r="M68" s="552"/>
      <c r="N68" s="1149"/>
      <c r="O68" s="1149"/>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4"/>
      <c r="Q69" s="504"/>
    </row>
    <row r="70" spans="1:17" s="471" customFormat="1" ht="15.75" thickTop="1">
      <c r="A70" s="553"/>
      <c r="B70" s="538">
        <f>B12</f>
        <v>0</v>
      </c>
      <c r="C70" s="554"/>
      <c r="D70" s="554"/>
      <c r="E70" s="554"/>
      <c r="F70" s="554"/>
      <c r="G70" s="554"/>
      <c r="H70" s="555"/>
      <c r="I70" s="555"/>
      <c r="J70" s="555"/>
      <c r="K70" s="555"/>
      <c r="L70" s="556"/>
      <c r="M70" s="557"/>
      <c r="N70" s="1151"/>
      <c r="O70" s="1151"/>
      <c r="P70" s="2625"/>
      <c r="Q70" s="559"/>
    </row>
    <row r="71" spans="1:17" s="471" customFormat="1" ht="15.75" thickBot="1">
      <c r="A71" s="553"/>
      <c r="B71" s="543"/>
      <c r="C71" s="560"/>
      <c r="D71" s="536"/>
      <c r="E71" s="536"/>
      <c r="F71" s="536"/>
      <c r="G71" s="536"/>
      <c r="H71" s="536"/>
      <c r="I71" s="536"/>
      <c r="J71" s="536"/>
      <c r="K71" s="536"/>
      <c r="L71" s="536"/>
      <c r="M71" s="537"/>
      <c r="N71" s="1150"/>
      <c r="O71" s="1150"/>
      <c r="P71" s="2625"/>
      <c r="Q71" s="559"/>
    </row>
    <row r="72" spans="1:17" s="471" customFormat="1" ht="15.75" thickTop="1">
      <c r="A72" s="553"/>
      <c r="B72" s="538">
        <f>B13</f>
        <v>0</v>
      </c>
      <c r="C72" s="554"/>
      <c r="D72" s="554"/>
      <c r="E72" s="554"/>
      <c r="F72" s="554"/>
      <c r="G72" s="554"/>
      <c r="H72" s="555"/>
      <c r="I72" s="555"/>
      <c r="J72" s="555"/>
      <c r="K72" s="555"/>
      <c r="L72" s="556"/>
      <c r="M72" s="557"/>
      <c r="N72" s="1151"/>
      <c r="O72" s="1151"/>
      <c r="P72" s="2626"/>
      <c r="Q72" s="561"/>
    </row>
    <row r="73" spans="1:17" s="471" customFormat="1" ht="15.75" thickBot="1">
      <c r="A73" s="553"/>
      <c r="B73" s="543"/>
      <c r="C73" s="560"/>
      <c r="D73" s="560"/>
      <c r="E73" s="560"/>
      <c r="F73" s="560"/>
      <c r="G73" s="560"/>
      <c r="H73" s="562"/>
      <c r="I73" s="562"/>
      <c r="J73" s="562"/>
      <c r="K73" s="562"/>
      <c r="L73" s="562"/>
      <c r="M73" s="563"/>
      <c r="N73" s="1151"/>
      <c r="O73" s="1151"/>
      <c r="P73" s="2625"/>
      <c r="Q73" s="559"/>
    </row>
    <row r="74" spans="1:17" s="471" customFormat="1" ht="15.75" thickTop="1">
      <c r="A74" s="553"/>
      <c r="B74" s="546">
        <f>B14</f>
        <v>0</v>
      </c>
      <c r="C74" s="554"/>
      <c r="D74" s="554"/>
      <c r="E74" s="554"/>
      <c r="F74" s="554"/>
      <c r="G74" s="523"/>
      <c r="H74" s="564"/>
      <c r="I74" s="564"/>
      <c r="J74" s="564"/>
      <c r="K74" s="564"/>
      <c r="L74" s="565"/>
      <c r="M74" s="566"/>
      <c r="N74" s="1151"/>
      <c r="O74" s="1151"/>
      <c r="P74" s="2627"/>
      <c r="Q74" s="559"/>
    </row>
    <row r="75" spans="1:17" s="471" customFormat="1" ht="15.75" thickBot="1">
      <c r="A75" s="568"/>
      <c r="B75" s="569"/>
      <c r="C75" s="570"/>
      <c r="D75" s="570"/>
      <c r="E75" s="570"/>
      <c r="F75" s="570"/>
      <c r="G75" s="570"/>
      <c r="H75" s="571"/>
      <c r="I75" s="571"/>
      <c r="J75" s="571"/>
      <c r="K75" s="571"/>
      <c r="L75" s="571"/>
      <c r="M75" s="572"/>
      <c r="N75" s="1151"/>
      <c r="O75" s="1151"/>
      <c r="P75" s="262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49"/>
      <c r="O76" s="1149"/>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49"/>
      <c r="O78" s="1149"/>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49"/>
      <c r="O80" s="1149"/>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4"/>
      <c r="Q81" s="504"/>
    </row>
    <row r="82" spans="1:17" ht="15.75" thickTop="1">
      <c r="A82" s="534"/>
      <c r="B82" s="546" t="s">
        <v>2091</v>
      </c>
      <c r="C82" s="539" t="s">
        <v>2593</v>
      </c>
      <c r="D82" s="539" t="s">
        <v>2594</v>
      </c>
      <c r="E82" s="539" t="s">
        <v>2595</v>
      </c>
      <c r="F82" s="539" t="s">
        <v>2596</v>
      </c>
      <c r="G82" s="539" t="s">
        <v>2597</v>
      </c>
      <c r="H82" s="539"/>
      <c r="I82" s="539"/>
      <c r="J82" s="539"/>
      <c r="K82" s="539"/>
      <c r="L82" s="539"/>
      <c r="M82" s="1379"/>
      <c r="N82" s="1150"/>
      <c r="O82" s="1150"/>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49"/>
      <c r="O84" s="1149"/>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4"/>
      <c r="Q85" s="504"/>
    </row>
    <row r="86" spans="1:17" s="117" customFormat="1" ht="15.75" thickTop="1">
      <c r="A86" s="579"/>
      <c r="B86" s="538" t="s">
        <v>2599</v>
      </c>
      <c r="C86" s="554"/>
      <c r="D86" s="554"/>
      <c r="E86" s="554"/>
      <c r="F86" s="554"/>
      <c r="G86" s="554"/>
      <c r="H86" s="554"/>
      <c r="I86" s="554"/>
      <c r="J86" s="554"/>
      <c r="K86" s="554"/>
      <c r="L86" s="580"/>
      <c r="M86" s="581"/>
      <c r="N86" s="1148"/>
      <c r="O86" s="1148"/>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4"/>
      <c r="Q87" s="504"/>
    </row>
    <row r="88" spans="1:17" s="117" customFormat="1" ht="15.75" thickTop="1">
      <c r="A88" s="579"/>
      <c r="B88" s="538" t="s">
        <v>2600</v>
      </c>
      <c r="C88" s="554"/>
      <c r="D88" s="554"/>
      <c r="E88" s="554"/>
      <c r="F88" s="2629"/>
      <c r="G88" s="554"/>
      <c r="H88" s="554"/>
      <c r="I88" s="554"/>
      <c r="J88" s="554"/>
      <c r="K88" s="554"/>
      <c r="L88" s="554"/>
      <c r="M88" s="581"/>
      <c r="N88" s="1148"/>
      <c r="O88" s="1148"/>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4"/>
      <c r="Q89" s="504"/>
    </row>
    <row r="90" spans="1:17" s="471" customFormat="1" ht="15.75" thickTop="1">
      <c r="A90" s="553"/>
      <c r="B90" s="538">
        <f>B27</f>
        <v>0</v>
      </c>
      <c r="C90" s="554"/>
      <c r="D90" s="554"/>
      <c r="E90" s="554"/>
      <c r="F90" s="554"/>
      <c r="G90" s="554"/>
      <c r="H90" s="555"/>
      <c r="I90" s="555"/>
      <c r="J90" s="555"/>
      <c r="K90" s="555"/>
      <c r="L90" s="556"/>
      <c r="M90" s="557"/>
      <c r="N90" s="1151"/>
      <c r="O90" s="1151"/>
      <c r="P90" s="2625"/>
      <c r="Q90" s="559"/>
    </row>
    <row r="91" spans="1:17" s="471" customFormat="1" ht="15.75" thickBot="1">
      <c r="A91" s="553"/>
      <c r="B91" s="543"/>
      <c r="C91" s="560"/>
      <c r="D91" s="560"/>
      <c r="E91" s="560"/>
      <c r="F91" s="560"/>
      <c r="G91" s="560"/>
      <c r="H91" s="562"/>
      <c r="I91" s="562"/>
      <c r="J91" s="562"/>
      <c r="K91" s="562"/>
      <c r="L91" s="562"/>
      <c r="M91" s="563"/>
      <c r="N91" s="1151"/>
      <c r="O91" s="1151"/>
      <c r="P91" s="2625"/>
      <c r="Q91" s="559"/>
    </row>
    <row r="92" spans="1:17" ht="15.75" thickTop="1">
      <c r="A92" s="534"/>
      <c r="B92" s="538">
        <f>B28</f>
        <v>0</v>
      </c>
      <c r="C92" s="554"/>
      <c r="D92" s="554"/>
      <c r="E92" s="554"/>
      <c r="F92" s="554"/>
      <c r="G92" s="583"/>
      <c r="H92" s="583"/>
      <c r="I92" s="583"/>
      <c r="J92" s="583"/>
      <c r="K92" s="584"/>
      <c r="L92" s="585"/>
      <c r="M92" s="586"/>
      <c r="N92" s="1149"/>
      <c r="O92" s="1149"/>
      <c r="P92" s="2624"/>
      <c r="Q92" s="504"/>
    </row>
    <row r="93" spans="1:17" ht="15.75" thickBot="1">
      <c r="A93" s="534"/>
      <c r="B93" s="543"/>
      <c r="C93" s="560"/>
      <c r="D93" s="536"/>
      <c r="E93" s="536"/>
      <c r="F93" s="536"/>
      <c r="G93" s="536"/>
      <c r="H93" s="536"/>
      <c r="I93" s="536"/>
      <c r="J93" s="536"/>
      <c r="K93" s="536"/>
      <c r="L93" s="536"/>
      <c r="M93" s="537"/>
      <c r="N93" s="1150"/>
      <c r="O93" s="1150"/>
      <c r="P93" s="2624"/>
      <c r="Q93" s="504"/>
    </row>
    <row r="94" spans="1:17" ht="15.75" thickTop="1">
      <c r="A94" s="534"/>
      <c r="B94" s="538">
        <f>B29</f>
        <v>0</v>
      </c>
      <c r="C94" s="554"/>
      <c r="D94" s="554"/>
      <c r="E94" s="554"/>
      <c r="F94" s="554"/>
      <c r="G94" s="583"/>
      <c r="H94" s="583"/>
      <c r="I94" s="583"/>
      <c r="J94" s="583"/>
      <c r="K94" s="584"/>
      <c r="L94" s="585"/>
      <c r="M94" s="586"/>
      <c r="N94" s="1149"/>
      <c r="O94" s="1149"/>
      <c r="P94" s="2624"/>
      <c r="Q94" s="504"/>
    </row>
    <row r="95" spans="1:17" ht="15.75" thickBot="1">
      <c r="A95" s="534"/>
      <c r="B95" s="543"/>
      <c r="C95" s="560"/>
      <c r="D95" s="560"/>
      <c r="E95" s="560"/>
      <c r="F95" s="560"/>
      <c r="G95" s="536"/>
      <c r="H95" s="536"/>
      <c r="I95" s="536"/>
      <c r="J95" s="536"/>
      <c r="K95" s="536"/>
      <c r="L95" s="536"/>
      <c r="M95" s="537"/>
      <c r="N95" s="1150"/>
      <c r="O95" s="1150"/>
      <c r="P95" s="2624"/>
      <c r="Q95" s="504"/>
    </row>
    <row r="96" spans="1:17" ht="15.75" thickTop="1">
      <c r="A96" s="534"/>
      <c r="B96" s="538">
        <f>B30</f>
        <v>0</v>
      </c>
      <c r="C96" s="554"/>
      <c r="D96" s="554"/>
      <c r="E96" s="554"/>
      <c r="F96" s="554"/>
      <c r="G96" s="583"/>
      <c r="H96" s="583"/>
      <c r="I96" s="583"/>
      <c r="J96" s="583"/>
      <c r="K96" s="584"/>
      <c r="L96" s="585"/>
      <c r="M96" s="586"/>
      <c r="N96" s="1149"/>
      <c r="O96" s="1149"/>
      <c r="P96" s="2624"/>
      <c r="Q96" s="504"/>
    </row>
    <row r="97" spans="1:17" ht="15.75" thickBot="1">
      <c r="A97" s="534"/>
      <c r="B97" s="543"/>
      <c r="C97" s="570"/>
      <c r="D97" s="570"/>
      <c r="E97" s="570"/>
      <c r="F97" s="570"/>
      <c r="G97" s="536"/>
      <c r="H97" s="536"/>
      <c r="I97" s="536"/>
      <c r="J97" s="536"/>
      <c r="K97" s="536"/>
      <c r="L97" s="536"/>
      <c r="M97" s="537"/>
      <c r="N97" s="1150"/>
      <c r="O97" s="1150"/>
      <c r="P97" s="2624"/>
      <c r="Q97" s="504"/>
    </row>
    <row r="98" spans="1:17" ht="15.75" thickTop="1">
      <c r="A98" s="534"/>
      <c r="B98" s="546">
        <f>B31</f>
        <v>0</v>
      </c>
      <c r="C98" s="587"/>
      <c r="D98" s="587"/>
      <c r="E98" s="587"/>
      <c r="F98" s="587"/>
      <c r="G98" s="587"/>
      <c r="H98" s="587"/>
      <c r="I98" s="587"/>
      <c r="J98" s="587"/>
      <c r="K98" s="588"/>
      <c r="L98" s="589"/>
      <c r="M98" s="590"/>
      <c r="N98" s="1149"/>
      <c r="O98" s="1149"/>
      <c r="P98" s="2624"/>
      <c r="Q98" s="504"/>
    </row>
    <row r="99" spans="1:17" ht="15.75" thickBot="1">
      <c r="A99" s="2630"/>
      <c r="B99" s="569"/>
      <c r="C99" s="591"/>
      <c r="D99" s="591"/>
      <c r="E99" s="591"/>
      <c r="F99" s="591"/>
      <c r="G99" s="591"/>
      <c r="H99" s="591"/>
      <c r="I99" s="591"/>
      <c r="J99" s="591"/>
      <c r="K99" s="591"/>
      <c r="L99" s="591"/>
      <c r="M99" s="592"/>
      <c r="N99" s="1150"/>
      <c r="O99" s="1150"/>
      <c r="P99" s="2624"/>
      <c r="Q99" s="504"/>
    </row>
    <row r="100" spans="1:17">
      <c r="A100" s="527" t="s">
        <v>2552</v>
      </c>
      <c r="B100" s="528" t="s">
        <v>2601</v>
      </c>
      <c r="C100" s="530"/>
      <c r="D100" s="530"/>
      <c r="E100" s="530"/>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4"/>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4"/>
      <c r="Q102" s="504"/>
    </row>
    <row r="103" spans="1:17" s="471" customFormat="1">
      <c r="A103" s="593"/>
      <c r="B103" s="594"/>
      <c r="C103" s="595"/>
      <c r="D103" s="595"/>
      <c r="E103" s="595"/>
      <c r="F103" s="595"/>
      <c r="G103" s="595"/>
      <c r="H103" s="595"/>
      <c r="I103" s="595"/>
      <c r="J103" s="596"/>
      <c r="K103" s="596"/>
      <c r="L103" s="597"/>
      <c r="M103" s="598"/>
      <c r="N103" s="1151"/>
      <c r="O103" s="1151"/>
      <c r="P103" s="2625"/>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5"/>
      <c r="Q104" s="559"/>
    </row>
    <row r="105" spans="1:17" ht="15" thickTop="1">
      <c r="A105" s="599"/>
      <c r="B105" s="538" t="s">
        <v>2603</v>
      </c>
      <c r="C105" s="554"/>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4"/>
      <c r="Q106" s="504"/>
    </row>
    <row r="107" spans="1:17" ht="15" thickTop="1">
      <c r="A107" s="599"/>
      <c r="B107" s="538" t="s">
        <v>2604</v>
      </c>
      <c r="C107" s="583"/>
      <c r="D107" s="583"/>
      <c r="E107" s="583"/>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4"/>
      <c r="Q108" s="504"/>
    </row>
    <row r="109" spans="1:17" ht="15" thickTop="1">
      <c r="A109" s="599"/>
      <c r="B109" s="538" t="s">
        <v>2605</v>
      </c>
      <c r="C109" s="554"/>
      <c r="D109" s="554"/>
      <c r="E109" s="554"/>
      <c r="F109" s="583"/>
      <c r="G109" s="583"/>
      <c r="H109" s="583"/>
      <c r="I109" s="583"/>
      <c r="J109" s="583"/>
      <c r="K109" s="584"/>
      <c r="L109" s="585"/>
      <c r="M109" s="586"/>
      <c r="N109" s="1149"/>
      <c r="O109" s="1149"/>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5"/>
      <c r="Q113" s="559"/>
    </row>
    <row r="114" spans="1:17" ht="15" thickTop="1">
      <c r="A114" s="599"/>
      <c r="B114" s="538" t="s">
        <v>2606</v>
      </c>
      <c r="C114" s="554"/>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4"/>
      <c r="Q115" s="504"/>
    </row>
    <row r="116" spans="1:17" ht="15" thickTop="1">
      <c r="A116" s="599"/>
      <c r="B116" s="538" t="s">
        <v>2607</v>
      </c>
      <c r="C116" s="554"/>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4"/>
      <c r="Q117" s="504"/>
    </row>
    <row r="118" spans="1:17" ht="15" thickTop="1">
      <c r="A118" s="599"/>
      <c r="B118" s="538" t="s">
        <v>2608</v>
      </c>
      <c r="C118" s="583"/>
      <c r="D118" s="583"/>
      <c r="E118" s="583"/>
      <c r="F118" s="583"/>
      <c r="G118" s="583"/>
      <c r="H118" s="583"/>
      <c r="I118" s="583"/>
      <c r="J118" s="583"/>
      <c r="K118" s="584"/>
      <c r="L118" s="585"/>
      <c r="M118" s="586"/>
      <c r="N118" s="1149"/>
      <c r="O118" s="1149"/>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4"/>
      <c r="Q119" s="504"/>
    </row>
    <row r="120" spans="1:17" s="471" customFormat="1" ht="28.5" thickTop="1">
      <c r="A120" s="593"/>
      <c r="B120" s="538" t="s">
        <v>2563</v>
      </c>
      <c r="C120" s="554"/>
      <c r="D120" s="554"/>
      <c r="E120" s="554"/>
      <c r="F120" s="554"/>
      <c r="G120" s="554"/>
      <c r="H120" s="554"/>
      <c r="I120" s="554"/>
      <c r="J120" s="554"/>
      <c r="K120" s="554"/>
      <c r="L120" s="580"/>
      <c r="M120" s="581"/>
      <c r="N120" s="1151"/>
      <c r="O120" s="1151"/>
      <c r="P120" s="2625"/>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5"/>
      <c r="Q121" s="559"/>
    </row>
    <row r="122" spans="1:17" ht="15" thickTop="1">
      <c r="A122" s="599"/>
      <c r="B122" s="538" t="s">
        <v>2609</v>
      </c>
      <c r="C122" s="554"/>
      <c r="D122" s="554"/>
      <c r="E122" s="554"/>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49"/>
      <c r="O124" s="1149"/>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4"/>
      <c r="Q125" s="504"/>
    </row>
    <row r="126" spans="1:17" s="471" customFormat="1" ht="15" thickTop="1">
      <c r="A126" s="593"/>
      <c r="B126" s="538">
        <f>B44</f>
        <v>0</v>
      </c>
      <c r="C126" s="554"/>
      <c r="D126" s="554"/>
      <c r="E126" s="554"/>
      <c r="F126" s="554"/>
      <c r="G126" s="554"/>
      <c r="H126" s="555"/>
      <c r="I126" s="555"/>
      <c r="J126" s="555"/>
      <c r="K126" s="555"/>
      <c r="L126" s="556"/>
      <c r="M126" s="557"/>
      <c r="N126" s="1151"/>
      <c r="O126" s="1151"/>
      <c r="P126" s="2625"/>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5"/>
      <c r="Q127" s="559"/>
    </row>
    <row r="128" spans="1:17" ht="15" thickTop="1">
      <c r="A128" s="599"/>
      <c r="B128" s="538">
        <f>B45</f>
        <v>0</v>
      </c>
      <c r="C128" s="554"/>
      <c r="D128" s="554"/>
      <c r="E128" s="554"/>
      <c r="F128" s="554"/>
      <c r="G128" s="583"/>
      <c r="H128" s="583"/>
      <c r="I128" s="583"/>
      <c r="J128" s="583"/>
      <c r="K128" s="584"/>
      <c r="L128" s="585"/>
      <c r="M128" s="586"/>
      <c r="N128" s="1149"/>
      <c r="O128" s="1149"/>
      <c r="P128" s="2624"/>
      <c r="Q128" s="504"/>
    </row>
    <row r="129" spans="1:17" ht="15.75" thickBot="1">
      <c r="A129" s="534"/>
      <c r="B129" s="543"/>
      <c r="C129" s="560"/>
      <c r="D129" s="560"/>
      <c r="E129" s="560"/>
      <c r="F129" s="560"/>
      <c r="G129" s="536"/>
      <c r="H129" s="536"/>
      <c r="I129" s="536"/>
      <c r="J129" s="536"/>
      <c r="K129" s="536"/>
      <c r="L129" s="536"/>
      <c r="M129" s="537"/>
      <c r="N129" s="1150"/>
      <c r="O129" s="1150"/>
      <c r="P129" s="2624"/>
      <c r="Q129" s="504"/>
    </row>
    <row r="130" spans="1:17" ht="15" thickTop="1">
      <c r="A130" s="599"/>
      <c r="B130" s="546">
        <f>B46</f>
        <v>0</v>
      </c>
      <c r="C130" s="554"/>
      <c r="D130" s="554"/>
      <c r="E130" s="554"/>
      <c r="F130" s="554"/>
      <c r="G130" s="587"/>
      <c r="H130" s="587"/>
      <c r="I130" s="587"/>
      <c r="J130" s="587"/>
      <c r="K130" s="523"/>
      <c r="L130" s="524"/>
      <c r="M130" s="590"/>
      <c r="N130" s="1149"/>
      <c r="O130" s="1149"/>
      <c r="P130" s="2624"/>
      <c r="Q130" s="504"/>
    </row>
    <row r="131" spans="1:17" ht="15.75" thickBot="1">
      <c r="A131" s="2630"/>
      <c r="B131" s="569"/>
      <c r="C131" s="570"/>
      <c r="D131" s="570"/>
      <c r="E131" s="570"/>
      <c r="F131" s="570"/>
      <c r="G131" s="591"/>
      <c r="H131" s="591"/>
      <c r="I131" s="591"/>
      <c r="J131" s="591"/>
      <c r="K131" s="591"/>
      <c r="L131" s="591"/>
      <c r="M131" s="592"/>
      <c r="N131" s="1150"/>
      <c r="O131" s="1150"/>
      <c r="P131" s="2624"/>
      <c r="Q131" s="504"/>
    </row>
    <row r="136" spans="1:17" ht="15" thickBot="1">
      <c r="B136" s="2631" t="s">
        <v>2611</v>
      </c>
    </row>
    <row r="137" spans="1:17" ht="15">
      <c r="B137" s="2632" t="s">
        <v>2612</v>
      </c>
      <c r="C137" s="2633"/>
      <c r="D137" s="2633"/>
      <c r="E137" s="2633"/>
      <c r="F137" s="2633"/>
      <c r="G137" s="2634"/>
      <c r="H137" s="2635"/>
      <c r="I137" s="2636" t="s">
        <v>2613</v>
      </c>
      <c r="J137" s="2633"/>
      <c r="K137" s="2637"/>
    </row>
    <row r="138" spans="1:17" ht="15">
      <c r="B138" s="2638"/>
      <c r="C138" s="146" t="s">
        <v>2614</v>
      </c>
      <c r="D138" s="146" t="s">
        <v>2615</v>
      </c>
      <c r="E138" s="2639" t="s">
        <v>2616</v>
      </c>
      <c r="F138" s="2640" t="s">
        <v>2617</v>
      </c>
      <c r="G138" s="146" t="s">
        <v>2615</v>
      </c>
      <c r="H138" s="147" t="s">
        <v>2616</v>
      </c>
      <c r="I138" s="2641"/>
      <c r="J138" s="146" t="s">
        <v>2618</v>
      </c>
      <c r="K138" s="147" t="s">
        <v>2619</v>
      </c>
    </row>
    <row r="139" spans="1:17" ht="15">
      <c r="B139" s="1081">
        <v>6</v>
      </c>
      <c r="C139" s="1082">
        <v>96</v>
      </c>
      <c r="D139" s="2642" t="s">
        <v>2620</v>
      </c>
      <c r="E139" s="1083">
        <v>100</v>
      </c>
      <c r="F139" s="1084">
        <v>102.5</v>
      </c>
      <c r="G139" s="2642" t="s">
        <v>2620</v>
      </c>
      <c r="H139" s="1085">
        <v>105</v>
      </c>
      <c r="I139" s="2643" t="s">
        <v>2621</v>
      </c>
      <c r="J139" s="1082">
        <v>20</v>
      </c>
      <c r="K139" s="1086">
        <f>C145/(J139-2)</f>
        <v>4.0555555555555553E-3</v>
      </c>
    </row>
    <row r="140" spans="1:17" ht="15">
      <c r="B140" s="1087">
        <v>5</v>
      </c>
      <c r="C140" s="1088">
        <v>100</v>
      </c>
      <c r="D140" s="1088"/>
      <c r="E140" s="1089"/>
      <c r="F140" s="1090">
        <v>102</v>
      </c>
      <c r="G140" s="1088"/>
      <c r="H140" s="1091"/>
      <c r="I140" s="2644" t="s">
        <v>2622</v>
      </c>
      <c r="J140" s="315">
        <f>ROUNDUP((J139-1)/2,0)</f>
        <v>10</v>
      </c>
      <c r="K140" s="1092">
        <v>100</v>
      </c>
    </row>
    <row r="141" spans="1:17" ht="15">
      <c r="B141" s="1087">
        <v>4</v>
      </c>
      <c r="C141" s="1088">
        <v>102</v>
      </c>
      <c r="D141" s="1088"/>
      <c r="E141" s="1089"/>
      <c r="F141" s="1090">
        <v>101.5</v>
      </c>
      <c r="G141" s="1088"/>
      <c r="H141" s="1091"/>
      <c r="I141" s="2644" t="s">
        <v>2623</v>
      </c>
      <c r="J141" s="315">
        <v>1</v>
      </c>
      <c r="K141" s="1093">
        <f>ROUND(100+(J141-J140)*K139*100,1)</f>
        <v>96.4</v>
      </c>
    </row>
    <row r="142" spans="1:17" ht="15">
      <c r="B142" s="1087">
        <v>3</v>
      </c>
      <c r="C142" s="1088">
        <v>103</v>
      </c>
      <c r="D142" s="1088"/>
      <c r="E142" s="1089"/>
      <c r="F142" s="1090">
        <v>101</v>
      </c>
      <c r="G142" s="1088"/>
      <c r="H142" s="1091"/>
      <c r="I142" s="2644" t="s">
        <v>2624</v>
      </c>
      <c r="J142" s="315">
        <f>J139</f>
        <v>20</v>
      </c>
      <c r="K142" s="1094">
        <v>95</v>
      </c>
    </row>
    <row r="143" spans="1:17" ht="15">
      <c r="B143" s="1087">
        <v>2</v>
      </c>
      <c r="C143" s="1088">
        <v>100</v>
      </c>
      <c r="D143" s="1088"/>
      <c r="E143" s="1089"/>
      <c r="F143" s="1090">
        <v>100.5</v>
      </c>
      <c r="G143" s="1088"/>
      <c r="H143" s="1091"/>
      <c r="I143" s="2644" t="s">
        <v>2625</v>
      </c>
      <c r="J143" s="1088">
        <v>15</v>
      </c>
      <c r="K143" s="1093">
        <f>ROUND(100+(J143-J140)*K139*100,1)</f>
        <v>102</v>
      </c>
    </row>
    <row r="144" spans="1:17" ht="15">
      <c r="B144" s="1087">
        <v>1</v>
      </c>
      <c r="C144" s="1088">
        <v>98</v>
      </c>
      <c r="D144" s="2645" t="s">
        <v>2626</v>
      </c>
      <c r="E144" s="1089">
        <v>102</v>
      </c>
      <c r="F144" s="1095">
        <v>100</v>
      </c>
      <c r="G144" s="2645" t="s">
        <v>2626</v>
      </c>
      <c r="H144" s="1091">
        <v>105</v>
      </c>
      <c r="I144" s="2644" t="s">
        <v>2625</v>
      </c>
      <c r="J144" s="1088">
        <v>18</v>
      </c>
      <c r="K144" s="1093">
        <f>ROUND(100+(J144-J140)*K139*100,1)</f>
        <v>103.2</v>
      </c>
    </row>
    <row r="145" spans="2:11" ht="15.75" thickBot="1">
      <c r="B145" s="2646" t="s">
        <v>2627</v>
      </c>
      <c r="C145" s="1096">
        <f>ROUND(MAX(C139:C144)/MIN(C139:C144)-1,3)</f>
        <v>7.2999999999999995E-2</v>
      </c>
      <c r="D145" s="1097"/>
      <c r="E145" s="1097"/>
      <c r="F145" s="2647" t="s">
        <v>2628</v>
      </c>
      <c r="G145" s="2648"/>
      <c r="H145" s="2649"/>
      <c r="I145" s="2650" t="s">
        <v>2625</v>
      </c>
      <c r="J145" s="1098">
        <v>8</v>
      </c>
      <c r="K145" s="1099">
        <f>ROUND(100+(J145-J140)*K139*100,1)</f>
        <v>99.2</v>
      </c>
    </row>
    <row r="147" spans="2:11">
      <c r="B147" s="2631" t="s">
        <v>2629</v>
      </c>
    </row>
    <row r="148" spans="2:11">
      <c r="B148" s="2631"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9" zoomScale="90" zoomScaleNormal="90" workbookViewId="0">
      <selection activeCell="L26" sqref="L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2517</v>
      </c>
      <c r="B1" s="2663" t="s">
        <v>2675</v>
      </c>
      <c r="C1" s="1616" t="s">
        <v>2519</v>
      </c>
      <c r="D1" s="1617" t="s">
        <v>27</v>
      </c>
      <c r="E1" s="1626"/>
      <c r="F1" s="2578" t="s">
        <v>4219</v>
      </c>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2319</v>
      </c>
      <c r="B2" s="1415">
        <f>IF(C2="——",ROUND(C50*D3/10000,0),ROUND(C50*D3/10000,0)-D2)</f>
        <v>187580</v>
      </c>
      <c r="C2" s="2580" t="s">
        <v>70</v>
      </c>
      <c r="D2" s="1362" t="e">
        <f ca="1">SUMIF(INDIRECT("'"&amp;F2&amp;"'"&amp;"!A:A"),"承租人权益价值",INDIRECT("'"&amp;F2&amp;"'"&amp;"!c:c"))</f>
        <v>#REF!</v>
      </c>
      <c r="E2" s="2581" t="s">
        <v>2320</v>
      </c>
      <c r="F2" s="2582"/>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f>IF(C2="——",C50,ROUND(B2*10000/D3,0))</f>
        <v>22604</v>
      </c>
      <c r="C3" s="400" t="s">
        <v>2633</v>
      </c>
      <c r="D3" s="399">
        <f>IF(D1="",'数据-汇总表'!E3,SUMIF('数据-汇总表'!$C19:$C33,D1,'数据-汇总表'!$E19:$E33))</f>
        <v>82985.51999999999</v>
      </c>
      <c r="E3" s="2657"/>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2634</v>
      </c>
      <c r="B4" s="402"/>
      <c r="C4" s="3212" t="s">
        <v>2635</v>
      </c>
      <c r="D4" s="3225"/>
      <c r="E4" s="3226" t="s">
        <v>2636</v>
      </c>
      <c r="F4" s="3227"/>
      <c r="G4" s="3212" t="s">
        <v>2637</v>
      </c>
      <c r="H4" s="3225"/>
      <c r="I4" s="3212" t="s">
        <v>2638</v>
      </c>
      <c r="J4" s="3225"/>
      <c r="K4" s="610" t="s">
        <v>2639</v>
      </c>
      <c r="L4" s="1127"/>
      <c r="M4" s="1128"/>
      <c r="N4" s="1128"/>
      <c r="O4" s="1128"/>
      <c r="P4" s="3271" t="s">
        <v>2640</v>
      </c>
      <c r="Q4" s="3272"/>
      <c r="R4" s="3275" t="s">
        <v>2636</v>
      </c>
      <c r="S4" s="3276"/>
      <c r="T4" s="3275" t="s">
        <v>2637</v>
      </c>
      <c r="U4" s="3276"/>
      <c r="V4" s="3277" t="s">
        <v>2638</v>
      </c>
      <c r="W4" s="3277"/>
      <c r="X4" s="2664"/>
      <c r="Y4" s="3275" t="s">
        <v>2640</v>
      </c>
      <c r="Z4" s="3276"/>
      <c r="AA4" s="3282" t="s">
        <v>2636</v>
      </c>
      <c r="AB4" s="3282" t="s">
        <v>2637</v>
      </c>
      <c r="AC4" s="3268" t="s">
        <v>2638</v>
      </c>
    </row>
    <row r="5" spans="1:29" ht="15">
      <c r="A5" s="404"/>
      <c r="B5" s="405"/>
      <c r="C5" s="3242" t="s">
        <v>2531</v>
      </c>
      <c r="D5" s="3243"/>
      <c r="E5" s="3283" t="s">
        <v>4243</v>
      </c>
      <c r="F5" s="3250"/>
      <c r="G5" s="3279" t="s">
        <v>4241</v>
      </c>
      <c r="H5" s="3243"/>
      <c r="I5" s="3279" t="s">
        <v>4245</v>
      </c>
      <c r="J5" s="3243"/>
      <c r="K5" s="610"/>
      <c r="L5" s="1127"/>
      <c r="M5" s="1128"/>
      <c r="N5" s="1128"/>
      <c r="O5" s="1128"/>
      <c r="P5" s="3273"/>
      <c r="Q5" s="3231"/>
      <c r="R5" s="3236"/>
      <c r="S5" s="3237"/>
      <c r="T5" s="3236"/>
      <c r="U5" s="3237"/>
      <c r="V5" s="3221"/>
      <c r="W5" s="3221"/>
      <c r="X5" s="1809"/>
      <c r="Y5" s="3236"/>
      <c r="Z5" s="3237"/>
      <c r="AA5" s="3223"/>
      <c r="AB5" s="3223"/>
      <c r="AC5" s="3269"/>
    </row>
    <row r="6" spans="1:29" ht="15.75" thickBot="1">
      <c r="A6" s="406"/>
      <c r="B6" s="407"/>
      <c r="C6" s="3240" t="s">
        <v>2535</v>
      </c>
      <c r="D6" s="3241"/>
      <c r="E6" s="3281" t="s">
        <v>4244</v>
      </c>
      <c r="F6" s="3248"/>
      <c r="G6" s="3278" t="s">
        <v>4242</v>
      </c>
      <c r="H6" s="3241"/>
      <c r="I6" s="3278" t="s">
        <v>4246</v>
      </c>
      <c r="J6" s="3241"/>
      <c r="K6" s="610" t="s">
        <v>2536</v>
      </c>
      <c r="L6" s="1127"/>
      <c r="M6" s="1128"/>
      <c r="N6" s="1128"/>
      <c r="O6" s="1128"/>
      <c r="P6" s="3274"/>
      <c r="Q6" s="3233"/>
      <c r="R6" s="3236"/>
      <c r="S6" s="3237"/>
      <c r="T6" s="3238"/>
      <c r="U6" s="3239"/>
      <c r="V6" s="3221"/>
      <c r="W6" s="3221"/>
      <c r="X6" s="1809"/>
      <c r="Y6" s="3238"/>
      <c r="Z6" s="3239"/>
      <c r="AA6" s="3224"/>
      <c r="AB6" s="3224"/>
      <c r="AC6" s="3270"/>
    </row>
    <row r="7" spans="1:29" s="117" customFormat="1" ht="15.75" thickBot="1">
      <c r="A7" s="408" t="s">
        <v>2537</v>
      </c>
      <c r="B7" s="409"/>
      <c r="C7" s="410">
        <f>'数据-取费表'!B2</f>
        <v>43332</v>
      </c>
      <c r="D7" s="411">
        <v>100</v>
      </c>
      <c r="E7" s="412">
        <v>43313</v>
      </c>
      <c r="F7" s="413">
        <f>SUMIF(59:59,YEAR(E7)&amp;"-"&amp;MONTH(E7),60:60)</f>
        <v>100</v>
      </c>
      <c r="G7" s="2690">
        <f>E7</f>
        <v>43313</v>
      </c>
      <c r="H7" s="411">
        <f>SUMIF(59:59,YEAR(G7)&amp;"-"&amp;MONTH(G7),60:60)</f>
        <v>100</v>
      </c>
      <c r="I7" s="412">
        <f>E7</f>
        <v>43313</v>
      </c>
      <c r="J7" s="411">
        <f>SUMIF(59:59,YEAR(I7)&amp;"-"&amp;MONTH(I7),60:60)</f>
        <v>100</v>
      </c>
      <c r="K7" s="611"/>
      <c r="L7" s="1129"/>
      <c r="M7" s="1130"/>
      <c r="N7" s="1130"/>
      <c r="O7" s="1130"/>
      <c r="P7" s="3280" t="s">
        <v>2538</v>
      </c>
      <c r="Q7" s="3246"/>
      <c r="R7" s="770" t="s">
        <v>17</v>
      </c>
      <c r="S7" s="771">
        <f t="shared" ref="S7:S15" si="0">F7</f>
        <v>100</v>
      </c>
      <c r="T7" s="770" t="s">
        <v>17</v>
      </c>
      <c r="U7" s="771">
        <f t="shared" ref="U7:U15" si="1">H7</f>
        <v>100</v>
      </c>
      <c r="V7" s="770" t="s">
        <v>17</v>
      </c>
      <c r="W7" s="771">
        <f t="shared" ref="W7:W15" si="2">J7</f>
        <v>100</v>
      </c>
      <c r="X7" s="772"/>
      <c r="Y7" s="3244" t="s">
        <v>2538</v>
      </c>
      <c r="Z7" s="3245"/>
      <c r="AA7" s="773">
        <f>D7/F7</f>
        <v>1</v>
      </c>
      <c r="AB7" s="773">
        <f>D7/H7</f>
        <v>1</v>
      </c>
      <c r="AC7" s="2665">
        <f>D7/J7</f>
        <v>1</v>
      </c>
    </row>
    <row r="8" spans="1:29" s="117" customFormat="1" ht="15.75" thickBot="1">
      <c r="A8" s="408" t="s">
        <v>2539</v>
      </c>
      <c r="B8" s="409"/>
      <c r="C8" s="414" t="s">
        <v>2641</v>
      </c>
      <c r="D8" s="411">
        <v>100</v>
      </c>
      <c r="E8" s="414" t="s">
        <v>3191</v>
      </c>
      <c r="F8" s="413">
        <f>SUMIF(62:62,E8,63:63)-SUMIF(62:62,C8,63:63)+100</f>
        <v>100</v>
      </c>
      <c r="G8" s="414" t="s">
        <v>3191</v>
      </c>
      <c r="H8" s="411">
        <f>SUMIF(62:62,G8,63:63)-SUMIF(62:62,C8,63:63)+100</f>
        <v>100</v>
      </c>
      <c r="I8" s="414" t="s">
        <v>3191</v>
      </c>
      <c r="J8" s="411">
        <f>SUMIF(62:62,I8,63:63)-SUMIF(62:62,C8,63:63)+100</f>
        <v>100</v>
      </c>
      <c r="K8" s="611"/>
      <c r="L8" s="1129"/>
      <c r="M8" s="1130"/>
      <c r="N8" s="1130"/>
      <c r="O8" s="1130"/>
      <c r="P8" s="3280" t="s">
        <v>2541</v>
      </c>
      <c r="Q8" s="3245"/>
      <c r="R8" s="770" t="s">
        <v>17</v>
      </c>
      <c r="S8" s="771">
        <f t="shared" si="0"/>
        <v>100</v>
      </c>
      <c r="T8" s="770" t="s">
        <v>17</v>
      </c>
      <c r="U8" s="771">
        <f t="shared" si="1"/>
        <v>100</v>
      </c>
      <c r="V8" s="770" t="s">
        <v>17</v>
      </c>
      <c r="W8" s="771">
        <f t="shared" si="2"/>
        <v>100</v>
      </c>
      <c r="X8" s="772"/>
      <c r="Y8" s="3244" t="s">
        <v>2541</v>
      </c>
      <c r="Z8" s="3245"/>
      <c r="AA8" s="773">
        <f t="shared" ref="AA8:AA47" si="3">D8/F8</f>
        <v>1</v>
      </c>
      <c r="AB8" s="773">
        <f t="shared" ref="AB8:AB47" si="4">D8/H8</f>
        <v>1</v>
      </c>
      <c r="AC8" s="2665">
        <f t="shared" ref="AC8:AC47" si="5">D8/J8</f>
        <v>1</v>
      </c>
    </row>
    <row r="9" spans="1:29" s="117" customFormat="1">
      <c r="A9" s="415" t="s">
        <v>2542</v>
      </c>
      <c r="B9" s="71" t="s">
        <v>2543</v>
      </c>
      <c r="C9" s="3008" t="s">
        <v>4220</v>
      </c>
      <c r="D9" s="135">
        <v>100</v>
      </c>
      <c r="E9" s="419" t="s">
        <v>27</v>
      </c>
      <c r="F9" s="418">
        <f>SUMIF(64:64,E9,65:65)-SUMIF(64:64,C9,65:65)+100</f>
        <v>100</v>
      </c>
      <c r="G9" s="419" t="s">
        <v>27</v>
      </c>
      <c r="H9" s="135">
        <f>SUMIF(64:64,G9,65:65)-SUMIF(64:64,C9,65:65)+100</f>
        <v>100</v>
      </c>
      <c r="I9" s="419" t="s">
        <v>27</v>
      </c>
      <c r="J9" s="135">
        <f>SUMIF(64:64,I9,65:65)-SUMIF(64:64,C9,65:65)+100</f>
        <v>100</v>
      </c>
      <c r="K9" s="611"/>
      <c r="L9" s="1129"/>
      <c r="M9" s="1130"/>
      <c r="N9" s="1130"/>
      <c r="O9" s="1130"/>
      <c r="P9" s="3214" t="s">
        <v>2544</v>
      </c>
      <c r="Q9" s="1791" t="str">
        <f t="shared" ref="Q9:Q15" si="6">B9</f>
        <v>用途</v>
      </c>
      <c r="R9" s="770" t="s">
        <v>17</v>
      </c>
      <c r="S9" s="771">
        <f t="shared" si="0"/>
        <v>100</v>
      </c>
      <c r="T9" s="770" t="s">
        <v>17</v>
      </c>
      <c r="U9" s="771">
        <f t="shared" si="1"/>
        <v>100</v>
      </c>
      <c r="V9" s="770" t="s">
        <v>17</v>
      </c>
      <c r="W9" s="771">
        <f t="shared" si="2"/>
        <v>100</v>
      </c>
      <c r="X9" s="772"/>
      <c r="Y9" s="3059" t="s">
        <v>2545</v>
      </c>
      <c r="Z9" s="55" t="str">
        <f t="shared" ref="Z9:Z15" si="7">Q9</f>
        <v>用途</v>
      </c>
      <c r="AA9" s="773">
        <f t="shared" si="3"/>
        <v>1</v>
      </c>
      <c r="AB9" s="773">
        <f t="shared" si="4"/>
        <v>1</v>
      </c>
      <c r="AC9" s="2665">
        <f t="shared" si="5"/>
        <v>1</v>
      </c>
    </row>
    <row r="10" spans="1:29" s="427" customFormat="1" ht="27">
      <c r="A10" s="421"/>
      <c r="B10" s="422" t="s">
        <v>2546</v>
      </c>
      <c r="C10" s="423" t="s">
        <v>4221</v>
      </c>
      <c r="D10" s="136">
        <v>100</v>
      </c>
      <c r="E10" s="423" t="s">
        <v>4221</v>
      </c>
      <c r="F10" s="425">
        <f>SUMIF(66:66,E10,67:67)-SUMIF(66:66,C10,67:67)+100</f>
        <v>100</v>
      </c>
      <c r="G10" s="423" t="s">
        <v>4221</v>
      </c>
      <c r="H10" s="136">
        <f>SUMIF(66:66,G10,67:67)-SUMIF(66:66,C10,67:67)+100</f>
        <v>100</v>
      </c>
      <c r="I10" s="423" t="s">
        <v>4221</v>
      </c>
      <c r="J10" s="136">
        <f>SUMIF(66:66,I10,67:67)-SUMIF(66:66,C10,67:67)+100</f>
        <v>100</v>
      </c>
      <c r="K10" s="612">
        <v>1</v>
      </c>
      <c r="L10" s="1132"/>
      <c r="M10" s="1133"/>
      <c r="N10" s="1133"/>
      <c r="O10" s="1133"/>
      <c r="P10" s="3214"/>
      <c r="Q10" s="1791"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65">
        <f t="shared" si="5"/>
        <v>1</v>
      </c>
    </row>
    <row r="11" spans="1:29" ht="15.75" thickBot="1">
      <c r="A11" s="428"/>
      <c r="B11" s="422" t="s">
        <v>2547</v>
      </c>
      <c r="C11" s="429">
        <f>'数据-汇总表'!I6</f>
        <v>8.8699999999999992</v>
      </c>
      <c r="D11" s="136">
        <v>100</v>
      </c>
      <c r="E11" s="429">
        <v>9.31</v>
      </c>
      <c r="F11" s="425">
        <f>LOOKUP(E11,69:69,70:70)-LOOKUP(C11,69:69,70:70)+100</f>
        <v>100</v>
      </c>
      <c r="G11" s="3009">
        <f>ROUND(220000/15025,2)</f>
        <v>14.64</v>
      </c>
      <c r="H11" s="137">
        <f>LOOKUP(G11,69:69,70:70)-LOOKUP(C11,69:69,70:70)+100</f>
        <v>99</v>
      </c>
      <c r="I11" s="429">
        <v>10.130000000000001</v>
      </c>
      <c r="J11" s="136">
        <f>LOOKUP(I11,69:69,70:70)-LOOKUP(C11,69:69,70:70)+100</f>
        <v>99</v>
      </c>
      <c r="K11" s="612">
        <v>1</v>
      </c>
      <c r="L11" s="1135"/>
      <c r="M11" s="1128"/>
      <c r="N11" s="1128"/>
      <c r="O11" s="1128"/>
      <c r="P11" s="3214"/>
      <c r="Q11" s="1791" t="str">
        <f t="shared" si="6"/>
        <v>容积率</v>
      </c>
      <c r="R11" s="770" t="s">
        <v>17</v>
      </c>
      <c r="S11" s="771">
        <f t="shared" si="0"/>
        <v>100</v>
      </c>
      <c r="T11" s="770" t="s">
        <v>17</v>
      </c>
      <c r="U11" s="771">
        <f t="shared" si="1"/>
        <v>99</v>
      </c>
      <c r="V11" s="770" t="s">
        <v>17</v>
      </c>
      <c r="W11" s="771">
        <f t="shared" si="2"/>
        <v>99</v>
      </c>
      <c r="X11" s="772"/>
      <c r="Y11" s="3059"/>
      <c r="Z11" s="55" t="str">
        <f t="shared" si="7"/>
        <v>容积率</v>
      </c>
      <c r="AA11" s="773">
        <f t="shared" si="3"/>
        <v>1</v>
      </c>
      <c r="AB11" s="773">
        <f t="shared" si="4"/>
        <v>1.0101010101010102</v>
      </c>
      <c r="AC11" s="2665">
        <f t="shared" si="5"/>
        <v>1.0101010101010102</v>
      </c>
    </row>
    <row r="12" spans="1:29" s="117" customFormat="1" ht="15" hidden="1">
      <c r="A12" s="431"/>
      <c r="B12" s="2594"/>
      <c r="C12" s="432"/>
      <c r="D12" s="433">
        <v>100</v>
      </c>
      <c r="E12" s="432"/>
      <c r="F12" s="136">
        <f>SUMIF(71:71,E12,72:72)-SUMIF(71:71,C12,72:72)+100</f>
        <v>100</v>
      </c>
      <c r="G12" s="2666"/>
      <c r="H12" s="462">
        <f>SUMIF(71:71,G12,72:72)-SUMIF(71:71,C12,72:72)+100</f>
        <v>100</v>
      </c>
      <c r="I12" s="432"/>
      <c r="J12" s="136">
        <f>SUMIF(71:71,I12,72:72)-SUMIF(71:71,C12,72:72)+100</f>
        <v>100</v>
      </c>
      <c r="K12" s="613"/>
      <c r="L12" s="1129"/>
      <c r="M12" s="1130"/>
      <c r="N12" s="1130"/>
      <c r="O12" s="1130"/>
      <c r="P12" s="3214"/>
      <c r="Q12" s="1791">
        <f t="shared" si="6"/>
        <v>0</v>
      </c>
      <c r="R12" s="770" t="s">
        <v>17</v>
      </c>
      <c r="S12" s="771">
        <f t="shared" si="0"/>
        <v>100</v>
      </c>
      <c r="T12" s="770" t="s">
        <v>17</v>
      </c>
      <c r="U12" s="771">
        <f t="shared" si="1"/>
        <v>100</v>
      </c>
      <c r="V12" s="770" t="s">
        <v>17</v>
      </c>
      <c r="W12" s="771">
        <f t="shared" si="2"/>
        <v>100</v>
      </c>
      <c r="X12" s="772"/>
      <c r="Y12" s="3059"/>
      <c r="Z12" s="55">
        <f t="shared" si="7"/>
        <v>0</v>
      </c>
      <c r="AA12" s="773">
        <f>D12/F12</f>
        <v>1</v>
      </c>
      <c r="AB12" s="773">
        <f>D12/H12</f>
        <v>1</v>
      </c>
      <c r="AC12" s="2665">
        <f>D12/J12</f>
        <v>1</v>
      </c>
    </row>
    <row r="13" spans="1:29" ht="15" hidden="1">
      <c r="A13" s="428"/>
      <c r="B13" s="2594"/>
      <c r="C13" s="434"/>
      <c r="D13" s="435">
        <v>100</v>
      </c>
      <c r="E13" s="432"/>
      <c r="F13" s="136">
        <f>SUMIF(73:73,E13,74:74)-SUMIF(73:73,C13,74:74)+100</f>
        <v>100</v>
      </c>
      <c r="G13" s="2666"/>
      <c r="H13" s="435">
        <f>SUMIF(73:73,G13,74:74)-SUMIF(73:73,C13,74:74)+100</f>
        <v>100</v>
      </c>
      <c r="I13" s="432"/>
      <c r="J13" s="435">
        <f>SUMIF(73:73,I13,74:74)-SUMIF(73:73,C13,74:74)+100</f>
        <v>100</v>
      </c>
      <c r="K13" s="613"/>
      <c r="L13" s="1137"/>
      <c r="M13" s="1128"/>
      <c r="N13" s="1128"/>
      <c r="O13" s="1128"/>
      <c r="P13" s="3214"/>
      <c r="Q13" s="1791">
        <f t="shared" si="6"/>
        <v>0</v>
      </c>
      <c r="R13" s="770" t="s">
        <v>17</v>
      </c>
      <c r="S13" s="771">
        <f t="shared" si="0"/>
        <v>100</v>
      </c>
      <c r="T13" s="770" t="s">
        <v>17</v>
      </c>
      <c r="U13" s="771">
        <f t="shared" si="1"/>
        <v>100</v>
      </c>
      <c r="V13" s="770" t="s">
        <v>17</v>
      </c>
      <c r="W13" s="771">
        <f t="shared" si="2"/>
        <v>100</v>
      </c>
      <c r="X13" s="772"/>
      <c r="Y13" s="3059"/>
      <c r="Z13" s="55">
        <f t="shared" si="7"/>
        <v>0</v>
      </c>
      <c r="AA13" s="773">
        <f t="shared" si="3"/>
        <v>1</v>
      </c>
      <c r="AB13" s="773">
        <f t="shared" si="4"/>
        <v>1</v>
      </c>
      <c r="AC13" s="2665">
        <f t="shared" si="5"/>
        <v>1</v>
      </c>
    </row>
    <row r="14" spans="1:29" ht="15.75" hidden="1" thickBot="1">
      <c r="A14" s="436"/>
      <c r="B14" s="2596"/>
      <c r="C14" s="437"/>
      <c r="D14" s="438">
        <v>100</v>
      </c>
      <c r="E14" s="628"/>
      <c r="F14" s="438">
        <f>SUMIF(75:75,E14,76:76)-SUMIF(75:75,C14,76:76)+100</f>
        <v>100</v>
      </c>
      <c r="G14" s="2666"/>
      <c r="H14" s="438">
        <f>SUMIF(75:75,G14,76:76)-SUMIF(75:75,C14,76:76)+100</f>
        <v>100</v>
      </c>
      <c r="I14" s="432"/>
      <c r="J14" s="438">
        <f>SUMIF(75:75,I14,76:76)-SUMIF(75:75,C14,76:76)+100</f>
        <v>100</v>
      </c>
      <c r="K14" s="613"/>
      <c r="L14" s="1137"/>
      <c r="M14" s="1128"/>
      <c r="N14" s="1128"/>
      <c r="O14" s="1128"/>
      <c r="P14" s="3214"/>
      <c r="Q14" s="1791">
        <f t="shared" si="6"/>
        <v>0</v>
      </c>
      <c r="R14" s="770" t="s">
        <v>17</v>
      </c>
      <c r="S14" s="771">
        <f t="shared" si="0"/>
        <v>100</v>
      </c>
      <c r="T14" s="770" t="s">
        <v>17</v>
      </c>
      <c r="U14" s="771">
        <f t="shared" si="1"/>
        <v>100</v>
      </c>
      <c r="V14" s="770" t="s">
        <v>17</v>
      </c>
      <c r="W14" s="771">
        <f t="shared" si="2"/>
        <v>100</v>
      </c>
      <c r="X14" s="772"/>
      <c r="Y14" s="3059"/>
      <c r="Z14" s="55">
        <f t="shared" si="7"/>
        <v>0</v>
      </c>
      <c r="AA14" s="773">
        <f t="shared" si="3"/>
        <v>1</v>
      </c>
      <c r="AB14" s="773">
        <f t="shared" si="4"/>
        <v>1</v>
      </c>
      <c r="AC14" s="2665">
        <f t="shared" si="5"/>
        <v>1</v>
      </c>
    </row>
    <row r="15" spans="1:29" ht="28.5">
      <c r="A15" s="440" t="s">
        <v>2548</v>
      </c>
      <c r="B15" s="629" t="s">
        <v>2676</v>
      </c>
      <c r="C15" s="2667" t="str">
        <f>估价对象房地状况!C5</f>
        <v>XX商圈，周边办公楼项目，入驻率</v>
      </c>
      <c r="D15" s="441">
        <v>100</v>
      </c>
      <c r="E15" s="444"/>
      <c r="F15" s="441">
        <f>SUMIF(77:77,E16,78:78)-SUMIF(77:77,C16,78:78)+100</f>
        <v>100</v>
      </c>
      <c r="G15" s="442"/>
      <c r="H15" s="441">
        <f>SUMIF(77:77,G16,78:78)-SUMIF(77:77,C16,78:78)+100</f>
        <v>100</v>
      </c>
      <c r="I15" s="442"/>
      <c r="J15" s="441">
        <f>SUMIF(77:77,I16,78:78)-SUMIF(77:77,C16,78:78)+100</f>
        <v>100</v>
      </c>
      <c r="K15" s="614">
        <v>5</v>
      </c>
      <c r="L15" s="1137"/>
      <c r="M15" s="1128"/>
      <c r="N15" s="1128"/>
      <c r="O15" s="1128"/>
      <c r="P15" s="3259" t="s">
        <v>2549</v>
      </c>
      <c r="Q15" s="1806" t="str">
        <f t="shared" si="6"/>
        <v>办公集聚程度</v>
      </c>
      <c r="R15" s="774" t="s">
        <v>17</v>
      </c>
      <c r="S15" s="775">
        <f t="shared" si="0"/>
        <v>100</v>
      </c>
      <c r="T15" s="774" t="s">
        <v>17</v>
      </c>
      <c r="U15" s="775">
        <f t="shared" si="1"/>
        <v>100</v>
      </c>
      <c r="V15" s="774" t="s">
        <v>17</v>
      </c>
      <c r="W15" s="775">
        <f t="shared" si="2"/>
        <v>100</v>
      </c>
      <c r="X15" s="1809"/>
      <c r="Y15" s="3217" t="s">
        <v>2549</v>
      </c>
      <c r="Z15" s="1810" t="str">
        <f t="shared" si="7"/>
        <v>办公集聚程度</v>
      </c>
      <c r="AA15" s="1807">
        <f t="shared" si="3"/>
        <v>1</v>
      </c>
      <c r="AB15" s="1807">
        <f t="shared" si="4"/>
        <v>1</v>
      </c>
      <c r="AC15" s="2668">
        <f t="shared" si="5"/>
        <v>1</v>
      </c>
    </row>
    <row r="16" spans="1:29" ht="15">
      <c r="A16" s="428"/>
      <c r="B16" s="630"/>
      <c r="C16" s="2605" t="s">
        <v>3193</v>
      </c>
      <c r="D16" s="448"/>
      <c r="E16" s="2605" t="s">
        <v>3193</v>
      </c>
      <c r="F16" s="448"/>
      <c r="G16" s="2605" t="s">
        <v>3193</v>
      </c>
      <c r="H16" s="450"/>
      <c r="I16" s="2605" t="s">
        <v>3193</v>
      </c>
      <c r="J16" s="448"/>
      <c r="K16" s="615"/>
      <c r="L16" s="1137"/>
      <c r="M16" s="1128"/>
      <c r="N16" s="1128"/>
      <c r="O16" s="1128"/>
      <c r="P16" s="3260"/>
      <c r="Q16" s="1806"/>
      <c r="R16" s="774"/>
      <c r="S16" s="775"/>
      <c r="T16" s="774"/>
      <c r="U16" s="775"/>
      <c r="V16" s="774"/>
      <c r="W16" s="775"/>
      <c r="X16" s="1809"/>
      <c r="Y16" s="3218"/>
      <c r="Z16" s="1810"/>
      <c r="AA16" s="1807">
        <v>1</v>
      </c>
      <c r="AB16" s="1807">
        <v>1</v>
      </c>
      <c r="AC16" s="2668">
        <v>1</v>
      </c>
    </row>
    <row r="17" spans="1:29" ht="57">
      <c r="A17" s="428"/>
      <c r="B17" s="631" t="s">
        <v>2090</v>
      </c>
      <c r="C17" s="2669" t="str">
        <f>估价对象房地状况!C6</f>
        <v>周边道路状况、公共交通通达情况、停车便捷程度（地铁三号线观音桥</v>
      </c>
      <c r="D17" s="450">
        <v>100</v>
      </c>
      <c r="E17" s="454"/>
      <c r="F17" s="450">
        <f>SUMIF(79:79,E18,80:80)-SUMIF(79:79,C18,80:80)+100</f>
        <v>100</v>
      </c>
      <c r="G17" s="452"/>
      <c r="H17" s="455">
        <f>SUMIF(79:79,G18,80:80)-SUMIF(79:79,C18,80:80)+100</f>
        <v>100</v>
      </c>
      <c r="I17" s="452"/>
      <c r="J17" s="455">
        <f>SUMIF(79:79,I18,80:80)-SUMIF(79:79,C18,80:80)+100</f>
        <v>100</v>
      </c>
      <c r="K17" s="614">
        <v>5</v>
      </c>
      <c r="L17" s="1137"/>
      <c r="M17" s="1128"/>
      <c r="N17" s="1128"/>
      <c r="O17" s="1128"/>
      <c r="P17" s="3260"/>
      <c r="Q17" s="1806" t="str">
        <f>B17</f>
        <v>交通便捷度</v>
      </c>
      <c r="R17" s="774" t="s">
        <v>17</v>
      </c>
      <c r="S17" s="775">
        <f>F17</f>
        <v>100</v>
      </c>
      <c r="T17" s="774" t="s">
        <v>17</v>
      </c>
      <c r="U17" s="775">
        <f>H17</f>
        <v>100</v>
      </c>
      <c r="V17" s="774" t="s">
        <v>17</v>
      </c>
      <c r="W17" s="775">
        <f>J17</f>
        <v>100</v>
      </c>
      <c r="X17" s="1809"/>
      <c r="Y17" s="3218"/>
      <c r="Z17" s="1810" t="str">
        <f>Q17</f>
        <v>交通便捷度</v>
      </c>
      <c r="AA17" s="1807">
        <f t="shared" si="3"/>
        <v>1</v>
      </c>
      <c r="AB17" s="1807">
        <f t="shared" si="4"/>
        <v>1</v>
      </c>
      <c r="AC17" s="2668">
        <f t="shared" si="5"/>
        <v>1</v>
      </c>
    </row>
    <row r="18" spans="1:29" ht="15">
      <c r="A18" s="428"/>
      <c r="B18" s="632"/>
      <c r="C18" s="2670" t="s">
        <v>3193</v>
      </c>
      <c r="D18" s="450"/>
      <c r="E18" s="2670" t="s">
        <v>3193</v>
      </c>
      <c r="F18" s="450"/>
      <c r="G18" s="2670" t="s">
        <v>3193</v>
      </c>
      <c r="H18" s="448"/>
      <c r="I18" s="2670" t="s">
        <v>3193</v>
      </c>
      <c r="J18" s="448"/>
      <c r="K18" s="615"/>
      <c r="L18" s="1137"/>
      <c r="M18" s="1128"/>
      <c r="N18" s="1128"/>
      <c r="O18" s="1128"/>
      <c r="P18" s="3260"/>
      <c r="Q18" s="1806"/>
      <c r="R18" s="774"/>
      <c r="S18" s="775"/>
      <c r="T18" s="774"/>
      <c r="U18" s="775"/>
      <c r="V18" s="774"/>
      <c r="W18" s="775"/>
      <c r="X18" s="1809"/>
      <c r="Y18" s="3218"/>
      <c r="Z18" s="1810"/>
      <c r="AA18" s="1807">
        <v>1</v>
      </c>
      <c r="AB18" s="1807">
        <v>1</v>
      </c>
      <c r="AC18" s="2668">
        <v>1</v>
      </c>
    </row>
    <row r="19" spans="1:29" ht="15">
      <c r="A19" s="428"/>
      <c r="B19" s="631" t="s">
        <v>2677</v>
      </c>
      <c r="C19" s="2669">
        <f>估价对象房地状况!C7</f>
        <v>0</v>
      </c>
      <c r="D19" s="455">
        <v>100</v>
      </c>
      <c r="E19" s="459"/>
      <c r="F19" s="455">
        <f>SUMIF(81:81,E20,82:82)-SUMIF(81:81,C20,82:82)+100</f>
        <v>100</v>
      </c>
      <c r="G19" s="457"/>
      <c r="H19" s="450">
        <f>SUMIF(81:81,G20,82:82)-SUMIF(81:81,C20,82:82)+100</f>
        <v>100</v>
      </c>
      <c r="I19" s="457"/>
      <c r="J19" s="450">
        <f>SUMIF(81:81,I20,82:82)-SUMIF(81:81,C20,82:82)+100</f>
        <v>100</v>
      </c>
      <c r="K19" s="614">
        <v>5</v>
      </c>
      <c r="L19" s="1137"/>
      <c r="M19" s="1128"/>
      <c r="N19" s="1128"/>
      <c r="O19" s="1128"/>
      <c r="P19" s="3260"/>
      <c r="Q19" s="1806" t="str">
        <f>B19</f>
        <v>公共配套设施</v>
      </c>
      <c r="R19" s="774" t="s">
        <v>17</v>
      </c>
      <c r="S19" s="775">
        <f>F19</f>
        <v>100</v>
      </c>
      <c r="T19" s="774" t="s">
        <v>17</v>
      </c>
      <c r="U19" s="775">
        <f>H19</f>
        <v>100</v>
      </c>
      <c r="V19" s="774" t="s">
        <v>17</v>
      </c>
      <c r="W19" s="775">
        <f>J19</f>
        <v>100</v>
      </c>
      <c r="X19" s="1809"/>
      <c r="Y19" s="3218"/>
      <c r="Z19" s="1810" t="str">
        <f>Q19</f>
        <v>公共配套设施</v>
      </c>
      <c r="AA19" s="1807">
        <f t="shared" si="3"/>
        <v>1</v>
      </c>
      <c r="AB19" s="1807">
        <f t="shared" si="4"/>
        <v>1</v>
      </c>
      <c r="AC19" s="2668">
        <f t="shared" si="5"/>
        <v>1</v>
      </c>
    </row>
    <row r="20" spans="1:29" ht="15">
      <c r="A20" s="428"/>
      <c r="B20" s="632"/>
      <c r="C20" s="2605" t="s">
        <v>3176</v>
      </c>
      <c r="D20" s="448"/>
      <c r="E20" s="2605" t="s">
        <v>3176</v>
      </c>
      <c r="F20" s="448"/>
      <c r="G20" s="2599" t="s">
        <v>3176</v>
      </c>
      <c r="H20" s="448"/>
      <c r="I20" s="2599" t="s">
        <v>3176</v>
      </c>
      <c r="J20" s="448"/>
      <c r="K20" s="615"/>
      <c r="L20" s="1137"/>
      <c r="M20" s="1128"/>
      <c r="N20" s="1128"/>
      <c r="O20" s="1128"/>
      <c r="P20" s="3260"/>
      <c r="Q20" s="1806"/>
      <c r="R20" s="774"/>
      <c r="S20" s="775"/>
      <c r="T20" s="774"/>
      <c r="U20" s="775"/>
      <c r="V20" s="774"/>
      <c r="W20" s="775"/>
      <c r="X20" s="1809"/>
      <c r="Y20" s="3218"/>
      <c r="Z20" s="1810"/>
      <c r="AA20" s="1807">
        <v>1</v>
      </c>
      <c r="AB20" s="1807">
        <v>1</v>
      </c>
      <c r="AC20" s="2668">
        <v>1</v>
      </c>
    </row>
    <row r="21" spans="1:29" ht="15">
      <c r="A21" s="428"/>
      <c r="B21" s="633" t="s">
        <v>2678</v>
      </c>
      <c r="C21" s="2669">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7"/>
      <c r="M21" s="1128"/>
      <c r="N21" s="1128"/>
      <c r="O21" s="1128"/>
      <c r="P21" s="3260"/>
      <c r="Q21" s="1806" t="str">
        <f>B21</f>
        <v>基础设施水平</v>
      </c>
      <c r="R21" s="774" t="s">
        <v>17</v>
      </c>
      <c r="S21" s="775">
        <f>F21</f>
        <v>100</v>
      </c>
      <c r="T21" s="774" t="s">
        <v>17</v>
      </c>
      <c r="U21" s="775">
        <f>H21</f>
        <v>100</v>
      </c>
      <c r="V21" s="774" t="s">
        <v>17</v>
      </c>
      <c r="W21" s="775">
        <f>J21</f>
        <v>100</v>
      </c>
      <c r="X21" s="1809"/>
      <c r="Y21" s="3218"/>
      <c r="Z21" s="1810" t="str">
        <f>Q21</f>
        <v>基础设施水平</v>
      </c>
      <c r="AA21" s="1807">
        <f t="shared" ref="AA21" si="8">D21/F21</f>
        <v>1</v>
      </c>
      <c r="AB21" s="1807">
        <f t="shared" ref="AB21" si="9">D21/H21</f>
        <v>1</v>
      </c>
      <c r="AC21" s="2668">
        <f t="shared" ref="AC21" si="10">D21/J21</f>
        <v>1</v>
      </c>
    </row>
    <row r="22" spans="1:29" ht="15">
      <c r="A22" s="428"/>
      <c r="B22" s="633"/>
      <c r="C22" s="2670" t="s">
        <v>3367</v>
      </c>
      <c r="D22" s="448"/>
      <c r="E22" s="2670" t="s">
        <v>3367</v>
      </c>
      <c r="F22" s="448"/>
      <c r="G22" s="2605" t="s">
        <v>3367</v>
      </c>
      <c r="H22" s="448"/>
      <c r="I22" s="2605" t="s">
        <v>3367</v>
      </c>
      <c r="J22" s="448"/>
      <c r="K22" s="1380"/>
      <c r="L22" s="1137"/>
      <c r="M22" s="1128"/>
      <c r="N22" s="1128"/>
      <c r="O22" s="1128"/>
      <c r="P22" s="3260"/>
      <c r="Q22" s="1806"/>
      <c r="R22" s="774"/>
      <c r="S22" s="775"/>
      <c r="T22" s="774"/>
      <c r="U22" s="775"/>
      <c r="V22" s="774"/>
      <c r="W22" s="775"/>
      <c r="X22" s="1809"/>
      <c r="Y22" s="3218"/>
      <c r="Z22" s="1810"/>
      <c r="AA22" s="1807">
        <v>1</v>
      </c>
      <c r="AB22" s="1807">
        <v>1</v>
      </c>
      <c r="AC22" s="2668">
        <v>1</v>
      </c>
    </row>
    <row r="23" spans="1:29" ht="15">
      <c r="A23" s="428"/>
      <c r="B23" s="631" t="s">
        <v>2679</v>
      </c>
      <c r="C23" s="2669">
        <f>估价对象房地状况!C9</f>
        <v>0</v>
      </c>
      <c r="D23" s="450">
        <v>100</v>
      </c>
      <c r="E23" s="454"/>
      <c r="F23" s="450">
        <f>SUMIF(85:85,E24,86:86)-SUMIF(85:85,C24,86:86)+100</f>
        <v>105</v>
      </c>
      <c r="G23" s="452"/>
      <c r="H23" s="450">
        <f>SUMIF(85:85,G24,86:86)-SUMIF(85:85,C24,86:86)+100</f>
        <v>105</v>
      </c>
      <c r="I23" s="452"/>
      <c r="J23" s="450">
        <f>SUMIF(85:85,I24,86:86)-SUMIF(85:85,C24,86:86)+100</f>
        <v>100</v>
      </c>
      <c r="K23" s="614">
        <v>5</v>
      </c>
      <c r="L23" s="1137"/>
      <c r="M23" s="1128"/>
      <c r="N23" s="1128"/>
      <c r="O23" s="1128"/>
      <c r="P23" s="3260"/>
      <c r="Q23" s="1806" t="str">
        <f>B23</f>
        <v>环境质量</v>
      </c>
      <c r="R23" s="774" t="s">
        <v>17</v>
      </c>
      <c r="S23" s="775">
        <f>F23</f>
        <v>105</v>
      </c>
      <c r="T23" s="774" t="s">
        <v>17</v>
      </c>
      <c r="U23" s="775">
        <f>H23</f>
        <v>105</v>
      </c>
      <c r="V23" s="774" t="s">
        <v>17</v>
      </c>
      <c r="W23" s="775">
        <f>J23</f>
        <v>100</v>
      </c>
      <c r="X23" s="1809"/>
      <c r="Y23" s="3218"/>
      <c r="Z23" s="1810" t="str">
        <f>Q23</f>
        <v>环境质量</v>
      </c>
      <c r="AA23" s="1807">
        <f t="shared" si="3"/>
        <v>0.95238095238095233</v>
      </c>
      <c r="AB23" s="1807">
        <f t="shared" si="4"/>
        <v>0.95238095238095233</v>
      </c>
      <c r="AC23" s="2668">
        <f t="shared" si="5"/>
        <v>1</v>
      </c>
    </row>
    <row r="24" spans="1:29" ht="15">
      <c r="A24" s="428"/>
      <c r="B24" s="633"/>
      <c r="C24" s="2605" t="s">
        <v>3176</v>
      </c>
      <c r="D24" s="448"/>
      <c r="E24" s="2605" t="s">
        <v>3193</v>
      </c>
      <c r="F24" s="448"/>
      <c r="G24" s="2599" t="s">
        <v>3193</v>
      </c>
      <c r="H24" s="448"/>
      <c r="I24" s="2599" t="s">
        <v>3176</v>
      </c>
      <c r="J24" s="448"/>
      <c r="K24" s="615"/>
      <c r="L24" s="1137"/>
      <c r="M24" s="1128"/>
      <c r="N24" s="1128"/>
      <c r="O24" s="1128"/>
      <c r="P24" s="3260"/>
      <c r="Q24" s="1806"/>
      <c r="R24" s="774"/>
      <c r="S24" s="775"/>
      <c r="T24" s="774"/>
      <c r="U24" s="775"/>
      <c r="V24" s="774"/>
      <c r="W24" s="775"/>
      <c r="X24" s="1809"/>
      <c r="Y24" s="3218"/>
      <c r="Z24" s="1810"/>
      <c r="AA24" s="1807">
        <v>1</v>
      </c>
      <c r="AB24" s="1807">
        <v>1</v>
      </c>
      <c r="AC24" s="2668">
        <v>1</v>
      </c>
    </row>
    <row r="25" spans="1:29" ht="27">
      <c r="A25" s="404"/>
      <c r="B25" s="631" t="s">
        <v>2680</v>
      </c>
      <c r="C25" s="2609"/>
      <c r="D25" s="435">
        <v>100</v>
      </c>
      <c r="E25" s="434"/>
      <c r="F25" s="435">
        <f>SUMIF(87:87,E26,88:88)-SUMIF(87:87,C26,88:88)+100</f>
        <v>100</v>
      </c>
      <c r="G25" s="2609"/>
      <c r="H25" s="435">
        <f>SUMIF(87:87,G26,88:88)-SUMIF(87:87,C26,88:88)+100</f>
        <v>100</v>
      </c>
      <c r="I25" s="2609"/>
      <c r="J25" s="435">
        <f>SUMIF(87:87,I26,88:88)-SUMIF(87:87,C26,88:88)+100</f>
        <v>100</v>
      </c>
      <c r="K25" s="614">
        <v>2</v>
      </c>
      <c r="L25" s="1137"/>
      <c r="M25" s="1128"/>
      <c r="N25" s="1128"/>
      <c r="O25" s="1128"/>
      <c r="P25" s="3260"/>
      <c r="Q25" s="1806" t="str">
        <f>B25</f>
        <v>毗邻道路的类型与等级</v>
      </c>
      <c r="R25" s="774" t="s">
        <v>17</v>
      </c>
      <c r="S25" s="775">
        <f>F25</f>
        <v>100</v>
      </c>
      <c r="T25" s="774" t="s">
        <v>17</v>
      </c>
      <c r="U25" s="775">
        <f>H25</f>
        <v>100</v>
      </c>
      <c r="V25" s="774" t="s">
        <v>17</v>
      </c>
      <c r="W25" s="775">
        <f>J25</f>
        <v>100</v>
      </c>
      <c r="X25" s="1809"/>
      <c r="Y25" s="3218"/>
      <c r="Z25" s="1810" t="str">
        <f>Q25</f>
        <v>毗邻道路的类型与等级</v>
      </c>
      <c r="AA25" s="1807">
        <f t="shared" si="3"/>
        <v>1</v>
      </c>
      <c r="AB25" s="1807">
        <f t="shared" si="4"/>
        <v>1</v>
      </c>
      <c r="AC25" s="2668">
        <f t="shared" si="5"/>
        <v>1</v>
      </c>
    </row>
    <row r="26" spans="1:29" ht="15.75" thickBot="1">
      <c r="A26" s="404"/>
      <c r="B26" s="632"/>
      <c r="C26" s="634" t="s">
        <v>3182</v>
      </c>
      <c r="D26" s="435"/>
      <c r="E26" s="616" t="s">
        <v>3182</v>
      </c>
      <c r="F26" s="435"/>
      <c r="G26" s="634" t="s">
        <v>3182</v>
      </c>
      <c r="H26" s="435"/>
      <c r="I26" s="634" t="s">
        <v>3182</v>
      </c>
      <c r="J26" s="435"/>
      <c r="K26" s="615"/>
      <c r="L26" s="1137"/>
      <c r="M26" s="1128"/>
      <c r="N26" s="1128"/>
      <c r="O26" s="1128"/>
      <c r="P26" s="3260"/>
      <c r="Q26" s="1806"/>
      <c r="R26" s="774"/>
      <c r="S26" s="775"/>
      <c r="T26" s="774"/>
      <c r="U26" s="775"/>
      <c r="V26" s="774"/>
      <c r="W26" s="775"/>
      <c r="X26" s="1809"/>
      <c r="Y26" s="3218"/>
      <c r="Z26" s="1810"/>
      <c r="AA26" s="1807">
        <v>1</v>
      </c>
      <c r="AB26" s="1807">
        <v>1</v>
      </c>
      <c r="AC26" s="2668">
        <v>1</v>
      </c>
    </row>
    <row r="27" spans="1:29" ht="15" hidden="1">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60"/>
      <c r="Q27" s="1806" t="str">
        <f t="shared" ref="Q27:Q47" si="11">B27</f>
        <v>楼层</v>
      </c>
      <c r="R27" s="774" t="s">
        <v>17</v>
      </c>
      <c r="S27" s="775">
        <f>F27</f>
        <v>100</v>
      </c>
      <c r="T27" s="774" t="s">
        <v>17</v>
      </c>
      <c r="U27" s="775">
        <f>H27</f>
        <v>100</v>
      </c>
      <c r="V27" s="774" t="s">
        <v>17</v>
      </c>
      <c r="W27" s="775">
        <f>J27</f>
        <v>100</v>
      </c>
      <c r="X27" s="1809"/>
      <c r="Y27" s="3218"/>
      <c r="Z27" s="1810" t="str">
        <f>Q27</f>
        <v>楼层</v>
      </c>
      <c r="AA27" s="1807">
        <f t="shared" si="3"/>
        <v>1</v>
      </c>
      <c r="AB27" s="1807">
        <f t="shared" si="4"/>
        <v>1</v>
      </c>
      <c r="AC27" s="2668">
        <f t="shared" si="5"/>
        <v>1</v>
      </c>
    </row>
    <row r="28" spans="1:29" s="117" customFormat="1" ht="15" hidden="1">
      <c r="A28" s="431"/>
      <c r="B28" s="631" t="s">
        <v>2681</v>
      </c>
      <c r="C28" s="2671"/>
      <c r="D28" s="462">
        <v>100</v>
      </c>
      <c r="E28" s="2659"/>
      <c r="F28" s="462">
        <f>SUMIF(91:91,E28,92:92)-SUMIF(91:91,C28,92:92)+100</f>
        <v>100</v>
      </c>
      <c r="G28" s="2671"/>
      <c r="H28" s="462">
        <f>SUMIF(91:91,G28,92:92)-SUMIF(91:91,C28,92:92)+100</f>
        <v>100</v>
      </c>
      <c r="I28" s="2659"/>
      <c r="J28" s="462">
        <f>SUMIF(91:91,I28,92:92)-SUMIF(91:91,C28,92:92)+100</f>
        <v>100</v>
      </c>
      <c r="K28" s="612"/>
      <c r="L28" s="1129"/>
      <c r="M28" s="1130"/>
      <c r="N28" s="1130"/>
      <c r="O28" s="1130"/>
      <c r="P28" s="3260"/>
      <c r="Q28" s="1791" t="str">
        <f t="shared" si="11"/>
        <v>朝向</v>
      </c>
      <c r="R28" s="770" t="s">
        <v>17</v>
      </c>
      <c r="S28" s="771">
        <f>F28</f>
        <v>100</v>
      </c>
      <c r="T28" s="770" t="s">
        <v>17</v>
      </c>
      <c r="U28" s="771">
        <f>H28</f>
        <v>100</v>
      </c>
      <c r="V28" s="770" t="s">
        <v>17</v>
      </c>
      <c r="W28" s="771">
        <f>J28</f>
        <v>100</v>
      </c>
      <c r="X28" s="772"/>
      <c r="Y28" s="3218"/>
      <c r="Z28" s="55" t="str">
        <f>Q28</f>
        <v>朝向</v>
      </c>
      <c r="AA28" s="1807">
        <f>D28/F28</f>
        <v>1</v>
      </c>
      <c r="AB28" s="1807">
        <f>D28/H28</f>
        <v>1</v>
      </c>
      <c r="AC28" s="2668">
        <f>D28/J28</f>
        <v>1</v>
      </c>
    </row>
    <row r="29" spans="1:29" ht="15" hidden="1">
      <c r="A29" s="428"/>
      <c r="B29" s="2672"/>
      <c r="C29" s="2609"/>
      <c r="D29" s="435">
        <v>100</v>
      </c>
      <c r="E29" s="432"/>
      <c r="F29" s="435">
        <f>SUMIF(93:93,E29,94:94)-SUMIF(93:93,C29,94:94)+100</f>
        <v>100</v>
      </c>
      <c r="G29" s="2666"/>
      <c r="H29" s="435">
        <f>SUMIF(93:93,G29,94:94)-SUMIF(93:93,C29,94:94)+100</f>
        <v>100</v>
      </c>
      <c r="I29" s="432"/>
      <c r="J29" s="435">
        <f>SUMIF(93:93,I29,94:94)-SUMIF(93:93,C29,94:94)+100</f>
        <v>100</v>
      </c>
      <c r="K29" s="613"/>
      <c r="L29" s="1137"/>
      <c r="M29" s="1128"/>
      <c r="N29" s="1128"/>
      <c r="O29" s="1128"/>
      <c r="P29" s="3260"/>
      <c r="Q29" s="1806">
        <f t="shared" si="11"/>
        <v>0</v>
      </c>
      <c r="R29" s="774" t="s">
        <v>17</v>
      </c>
      <c r="S29" s="775">
        <f t="shared" ref="S29:S47" si="12">F29</f>
        <v>100</v>
      </c>
      <c r="T29" s="774" t="s">
        <v>17</v>
      </c>
      <c r="U29" s="775">
        <f t="shared" ref="U29:U47" si="13">H29</f>
        <v>100</v>
      </c>
      <c r="V29" s="774" t="s">
        <v>17</v>
      </c>
      <c r="W29" s="775">
        <f t="shared" ref="W29:W47" si="14">J29</f>
        <v>100</v>
      </c>
      <c r="X29" s="1809"/>
      <c r="Y29" s="3218"/>
      <c r="Z29" s="1810">
        <f t="shared" ref="Z29:Z47" si="15">Q29</f>
        <v>0</v>
      </c>
      <c r="AA29" s="1807">
        <f t="shared" si="3"/>
        <v>1</v>
      </c>
      <c r="AB29" s="1807">
        <f t="shared" si="4"/>
        <v>1</v>
      </c>
      <c r="AC29" s="2668">
        <f t="shared" si="5"/>
        <v>1</v>
      </c>
    </row>
    <row r="30" spans="1:29" ht="15" hidden="1">
      <c r="A30" s="428"/>
      <c r="B30" s="2672"/>
      <c r="C30" s="2609"/>
      <c r="D30" s="435">
        <v>100</v>
      </c>
      <c r="E30" s="432"/>
      <c r="F30" s="435">
        <f>SUMIF(95:95,E30,96:96)-SUMIF(95:95,C30,96:96)+100</f>
        <v>100</v>
      </c>
      <c r="G30" s="2666"/>
      <c r="H30" s="435">
        <f>SUMIF(95:95,G30,96:96)-SUMIF(95:95,C30,96:96)+100</f>
        <v>100</v>
      </c>
      <c r="I30" s="432"/>
      <c r="J30" s="435">
        <f>SUMIF(95:95,I30,96:96)-SUMIF(95:95,C30,96:96)+100</f>
        <v>100</v>
      </c>
      <c r="K30" s="613"/>
      <c r="L30" s="1137"/>
      <c r="M30" s="1128"/>
      <c r="N30" s="1128"/>
      <c r="O30" s="1128"/>
      <c r="P30" s="3260"/>
      <c r="Q30" s="1806">
        <f t="shared" si="11"/>
        <v>0</v>
      </c>
      <c r="R30" s="774" t="s">
        <v>17</v>
      </c>
      <c r="S30" s="775">
        <f t="shared" si="12"/>
        <v>100</v>
      </c>
      <c r="T30" s="774" t="s">
        <v>17</v>
      </c>
      <c r="U30" s="775">
        <f t="shared" si="13"/>
        <v>100</v>
      </c>
      <c r="V30" s="774" t="s">
        <v>17</v>
      </c>
      <c r="W30" s="775">
        <f t="shared" si="14"/>
        <v>100</v>
      </c>
      <c r="X30" s="1809"/>
      <c r="Y30" s="3218"/>
      <c r="Z30" s="1810">
        <f t="shared" si="15"/>
        <v>0</v>
      </c>
      <c r="AA30" s="1807">
        <f t="shared" si="3"/>
        <v>1</v>
      </c>
      <c r="AB30" s="1807">
        <f t="shared" si="4"/>
        <v>1</v>
      </c>
      <c r="AC30" s="2668">
        <f t="shared" si="5"/>
        <v>1</v>
      </c>
    </row>
    <row r="31" spans="1:29" ht="15" hidden="1">
      <c r="A31" s="428"/>
      <c r="B31" s="2672"/>
      <c r="C31" s="2609"/>
      <c r="D31" s="435">
        <v>100</v>
      </c>
      <c r="E31" s="432"/>
      <c r="F31" s="435">
        <f>SUMIF(97:97,E31,98:98)-SUMIF(97:97,C31,98:98)+100</f>
        <v>100</v>
      </c>
      <c r="G31" s="2666"/>
      <c r="H31" s="435">
        <f>SUMIF(97:97,G31,98:98)-SUMIF(97:97,C31,98:98)+100</f>
        <v>100</v>
      </c>
      <c r="I31" s="432"/>
      <c r="J31" s="435">
        <f>SUMIF(97:97,I31,98:98)-SUMIF(97:97,C31,98:98)+100</f>
        <v>100</v>
      </c>
      <c r="K31" s="613"/>
      <c r="L31" s="1137"/>
      <c r="M31" s="1128"/>
      <c r="N31" s="1128"/>
      <c r="O31" s="1128"/>
      <c r="P31" s="3260"/>
      <c r="Q31" s="1806">
        <f t="shared" si="11"/>
        <v>0</v>
      </c>
      <c r="R31" s="774" t="s">
        <v>17</v>
      </c>
      <c r="S31" s="775">
        <f t="shared" si="12"/>
        <v>100</v>
      </c>
      <c r="T31" s="774" t="s">
        <v>17</v>
      </c>
      <c r="U31" s="775">
        <f t="shared" si="13"/>
        <v>100</v>
      </c>
      <c r="V31" s="774" t="s">
        <v>17</v>
      </c>
      <c r="W31" s="775">
        <f t="shared" si="14"/>
        <v>100</v>
      </c>
      <c r="X31" s="1809"/>
      <c r="Y31" s="3218"/>
      <c r="Z31" s="1810">
        <f t="shared" si="15"/>
        <v>0</v>
      </c>
      <c r="AA31" s="1807">
        <f t="shared" si="3"/>
        <v>1</v>
      </c>
      <c r="AB31" s="1807">
        <f t="shared" si="4"/>
        <v>1</v>
      </c>
      <c r="AC31" s="2668">
        <f t="shared" si="5"/>
        <v>1</v>
      </c>
    </row>
    <row r="32" spans="1:29" ht="15.75" hidden="1" thickBot="1">
      <c r="A32" s="436"/>
      <c r="B32" s="635"/>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7"/>
      <c r="M32" s="1128"/>
      <c r="N32" s="1128"/>
      <c r="O32" s="1128"/>
      <c r="P32" s="3260"/>
      <c r="Q32" s="1806">
        <f t="shared" si="11"/>
        <v>0</v>
      </c>
      <c r="R32" s="774" t="s">
        <v>17</v>
      </c>
      <c r="S32" s="775">
        <f t="shared" si="12"/>
        <v>100</v>
      </c>
      <c r="T32" s="774" t="s">
        <v>17</v>
      </c>
      <c r="U32" s="775">
        <f t="shared" si="13"/>
        <v>100</v>
      </c>
      <c r="V32" s="774" t="s">
        <v>17</v>
      </c>
      <c r="W32" s="775">
        <f t="shared" si="14"/>
        <v>100</v>
      </c>
      <c r="X32" s="1809"/>
      <c r="Y32" s="3218"/>
      <c r="Z32" s="1810">
        <f t="shared" si="15"/>
        <v>0</v>
      </c>
      <c r="AA32" s="1807">
        <f t="shared" si="3"/>
        <v>1</v>
      </c>
      <c r="AB32" s="1807">
        <f t="shared" si="4"/>
        <v>1</v>
      </c>
      <c r="AC32" s="2668">
        <f t="shared" si="5"/>
        <v>1</v>
      </c>
    </row>
    <row r="33" spans="1:29" ht="15">
      <c r="A33" s="440" t="s">
        <v>2552</v>
      </c>
      <c r="B33" s="71" t="s">
        <v>2682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7"/>
      <c r="M33" s="1128"/>
      <c r="N33" s="1128"/>
      <c r="O33" s="1128"/>
      <c r="P33" s="3261" t="s">
        <v>2554</v>
      </c>
      <c r="Q33" s="1806" t="str">
        <f t="shared" si="11"/>
        <v>建筑类型</v>
      </c>
      <c r="R33" s="774" t="s">
        <v>17</v>
      </c>
      <c r="S33" s="775">
        <f t="shared" si="12"/>
        <v>100</v>
      </c>
      <c r="T33" s="774" t="s">
        <v>17</v>
      </c>
      <c r="U33" s="775">
        <f t="shared" si="13"/>
        <v>100</v>
      </c>
      <c r="V33" s="774" t="s">
        <v>17</v>
      </c>
      <c r="W33" s="775">
        <f t="shared" si="14"/>
        <v>100</v>
      </c>
      <c r="X33" s="1809"/>
      <c r="Y33" s="3220" t="s">
        <v>2554</v>
      </c>
      <c r="Z33" s="1810" t="str">
        <f t="shared" si="15"/>
        <v>建筑类型</v>
      </c>
      <c r="AA33" s="1807">
        <f t="shared" si="3"/>
        <v>1</v>
      </c>
      <c r="AB33" s="1807">
        <f t="shared" si="4"/>
        <v>1</v>
      </c>
      <c r="AC33" s="2668">
        <f t="shared" si="5"/>
        <v>1</v>
      </c>
    </row>
    <row r="34" spans="1:29" s="471" customFormat="1" ht="15">
      <c r="A34" s="468"/>
      <c r="B34" s="422" t="s">
        <v>2555</v>
      </c>
      <c r="C34" s="469">
        <f>'数据-汇总表'!E3</f>
        <v>378335.58999999997</v>
      </c>
      <c r="D34" s="136">
        <v>100</v>
      </c>
      <c r="E34" s="430">
        <v>657970</v>
      </c>
      <c r="F34" s="425">
        <f>LOOKUP(E34,104:104,105:105)-LOOKUP(C34,104:104,105:105)+100</f>
        <v>100</v>
      </c>
      <c r="G34" s="429">
        <v>260000</v>
      </c>
      <c r="H34" s="136">
        <f>LOOKUP(G34,104:104,105:105)-LOOKUP(C34,104:104,105:105)+100</f>
        <v>100</v>
      </c>
      <c r="I34" s="429">
        <v>260000</v>
      </c>
      <c r="J34" s="136">
        <f>LOOKUP(I34,104:104,105:105)-LOOKUP(C34,104:104,105:105)+100</f>
        <v>100</v>
      </c>
      <c r="K34" s="613"/>
      <c r="L34" s="1135"/>
      <c r="M34" s="1138"/>
      <c r="N34" s="1138"/>
      <c r="O34" s="1138"/>
      <c r="P34" s="3262"/>
      <c r="Q34" s="776" t="str">
        <f t="shared" si="11"/>
        <v>项目建筑规模</v>
      </c>
      <c r="R34" s="777" t="s">
        <v>17</v>
      </c>
      <c r="S34" s="778">
        <f t="shared" si="12"/>
        <v>100</v>
      </c>
      <c r="T34" s="777" t="s">
        <v>17</v>
      </c>
      <c r="U34" s="778">
        <f t="shared" si="13"/>
        <v>100</v>
      </c>
      <c r="V34" s="777" t="s">
        <v>17</v>
      </c>
      <c r="W34" s="778">
        <f t="shared" si="14"/>
        <v>100</v>
      </c>
      <c r="X34" s="779"/>
      <c r="Y34" s="3220"/>
      <c r="Z34" s="780" t="str">
        <f t="shared" si="15"/>
        <v>项目建筑规模</v>
      </c>
      <c r="AA34" s="1807">
        <f t="shared" si="3"/>
        <v>1</v>
      </c>
      <c r="AB34" s="1807">
        <f t="shared" si="4"/>
        <v>1</v>
      </c>
      <c r="AC34" s="2668">
        <f t="shared" si="5"/>
        <v>1</v>
      </c>
    </row>
    <row r="35" spans="1:29" ht="15">
      <c r="A35" s="472"/>
      <c r="B35" s="422" t="s">
        <v>2556</v>
      </c>
      <c r="C35" s="460" t="s">
        <v>3077</v>
      </c>
      <c r="D35" s="435">
        <v>100</v>
      </c>
      <c r="E35" s="460" t="s">
        <v>3077</v>
      </c>
      <c r="F35" s="461">
        <f>SUMIF(106:106,E35,107:107)-SUMIF(106:106,C35,107:107)+100</f>
        <v>100</v>
      </c>
      <c r="G35" s="460" t="s">
        <v>3077</v>
      </c>
      <c r="H35" s="435">
        <f>SUMIF(106:106,G35,107:107)-SUMIF(106:106,C35,107:107)+100</f>
        <v>100</v>
      </c>
      <c r="I35" s="460" t="s">
        <v>3077</v>
      </c>
      <c r="J35" s="435">
        <f>SUMIF(106:106,I35,107:107)-SUMIF(106:106,C35,107:107)+100</f>
        <v>100</v>
      </c>
      <c r="K35" s="612">
        <v>2</v>
      </c>
      <c r="L35" s="1137"/>
      <c r="M35" s="1128"/>
      <c r="N35" s="1128"/>
      <c r="O35" s="1128"/>
      <c r="P35" s="3262"/>
      <c r="Q35" s="1806" t="str">
        <f t="shared" si="11"/>
        <v>建筑结构</v>
      </c>
      <c r="R35" s="774" t="s">
        <v>17</v>
      </c>
      <c r="S35" s="775">
        <f t="shared" si="12"/>
        <v>100</v>
      </c>
      <c r="T35" s="774" t="s">
        <v>17</v>
      </c>
      <c r="U35" s="775">
        <f t="shared" si="13"/>
        <v>100</v>
      </c>
      <c r="V35" s="774" t="s">
        <v>17</v>
      </c>
      <c r="W35" s="775">
        <f t="shared" si="14"/>
        <v>100</v>
      </c>
      <c r="X35" s="1809"/>
      <c r="Y35" s="3220"/>
      <c r="Z35" s="1810" t="str">
        <f t="shared" si="15"/>
        <v>建筑结构</v>
      </c>
      <c r="AA35" s="1807">
        <f t="shared" si="3"/>
        <v>1</v>
      </c>
      <c r="AB35" s="1807">
        <f t="shared" si="4"/>
        <v>1</v>
      </c>
      <c r="AC35" s="2668">
        <f t="shared" si="5"/>
        <v>1</v>
      </c>
    </row>
    <row r="36" spans="1:29" ht="15">
      <c r="A36" s="472"/>
      <c r="B36" s="422" t="s">
        <v>2650</v>
      </c>
      <c r="C36" s="460" t="s">
        <v>4227</v>
      </c>
      <c r="D36" s="435">
        <v>100</v>
      </c>
      <c r="E36" s="460" t="s">
        <v>4227</v>
      </c>
      <c r="F36" s="461">
        <f>SUMIF(108:108,E36,109:109)-SUMIF(108:108,C36,109:109)+100</f>
        <v>100</v>
      </c>
      <c r="G36" s="460" t="s">
        <v>4227</v>
      </c>
      <c r="H36" s="435">
        <f>SUMIF(108:108,G36,109:109)-SUMIF(108:108,C36,109:109)+100</f>
        <v>100</v>
      </c>
      <c r="I36" s="460" t="s">
        <v>4227</v>
      </c>
      <c r="J36" s="435">
        <f>SUMIF(108:108,I36,109:109)-SUMIF(108:108,C36,109:109)+100</f>
        <v>100</v>
      </c>
      <c r="K36" s="612">
        <v>2</v>
      </c>
      <c r="L36" s="1137"/>
      <c r="M36" s="1128"/>
      <c r="N36" s="1128"/>
      <c r="O36" s="1128"/>
      <c r="P36" s="3262"/>
      <c r="Q36" s="1806" t="str">
        <f t="shared" si="11"/>
        <v>公共部分装修</v>
      </c>
      <c r="R36" s="774" t="s">
        <v>17</v>
      </c>
      <c r="S36" s="775">
        <f t="shared" si="12"/>
        <v>100</v>
      </c>
      <c r="T36" s="774" t="s">
        <v>17</v>
      </c>
      <c r="U36" s="775">
        <f t="shared" si="13"/>
        <v>100</v>
      </c>
      <c r="V36" s="774" t="s">
        <v>17</v>
      </c>
      <c r="W36" s="775">
        <f t="shared" si="14"/>
        <v>100</v>
      </c>
      <c r="X36" s="1809"/>
      <c r="Y36" s="3220"/>
      <c r="Z36" s="1810" t="str">
        <f t="shared" si="15"/>
        <v>公共部分装修</v>
      </c>
      <c r="AA36" s="1807">
        <f t="shared" si="3"/>
        <v>1</v>
      </c>
      <c r="AB36" s="1807">
        <f t="shared" si="4"/>
        <v>1</v>
      </c>
      <c r="AC36" s="2668">
        <f t="shared" si="5"/>
        <v>1</v>
      </c>
    </row>
    <row r="37" spans="1:29" ht="15">
      <c r="A37" s="472"/>
      <c r="B37" s="422" t="s">
        <v>2651</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37"/>
      <c r="M37" s="1128"/>
      <c r="N37" s="1128"/>
      <c r="O37" s="1128"/>
      <c r="P37" s="3262"/>
      <c r="Q37" s="1806" t="str">
        <f t="shared" si="11"/>
        <v>成新度</v>
      </c>
      <c r="R37" s="774" t="s">
        <v>17</v>
      </c>
      <c r="S37" s="775">
        <f t="shared" si="12"/>
        <v>100</v>
      </c>
      <c r="T37" s="774" t="s">
        <v>17</v>
      </c>
      <c r="U37" s="775">
        <f t="shared" si="13"/>
        <v>100</v>
      </c>
      <c r="V37" s="774" t="s">
        <v>17</v>
      </c>
      <c r="W37" s="775">
        <f t="shared" si="14"/>
        <v>100</v>
      </c>
      <c r="X37" s="1809"/>
      <c r="Y37" s="3220"/>
      <c r="Z37" s="1810" t="str">
        <f t="shared" si="15"/>
        <v>成新度</v>
      </c>
      <c r="AA37" s="1807">
        <f t="shared" si="3"/>
        <v>1</v>
      </c>
      <c r="AB37" s="1807">
        <f t="shared" si="4"/>
        <v>1</v>
      </c>
      <c r="AC37" s="2668">
        <f t="shared" si="5"/>
        <v>1</v>
      </c>
    </row>
    <row r="38" spans="1:29" s="117" customFormat="1" ht="15">
      <c r="A38" s="473"/>
      <c r="B38" s="422" t="s">
        <v>2683</v>
      </c>
      <c r="C38" s="460" t="s">
        <v>4229</v>
      </c>
      <c r="D38" s="136">
        <v>100</v>
      </c>
      <c r="E38" s="460" t="s">
        <v>4229</v>
      </c>
      <c r="F38" s="461">
        <f>SUMIF(113:113,E38,114:114)-SUMIF(113:113,C38,114:114)+100</f>
        <v>100</v>
      </c>
      <c r="G38" s="460" t="s">
        <v>4229</v>
      </c>
      <c r="H38" s="435">
        <f>SUMIF(113:113,G38,114:114)-SUMIF(113:113,C38,114:114)+100</f>
        <v>100</v>
      </c>
      <c r="I38" s="460" t="s">
        <v>4229</v>
      </c>
      <c r="J38" s="435">
        <f>SUMIF(113:113,I38,114:114)-SUMIF(113:113,C38,114:114)+100</f>
        <v>100</v>
      </c>
      <c r="K38" s="612">
        <v>2</v>
      </c>
      <c r="L38" s="1129"/>
      <c r="M38" s="1130"/>
      <c r="N38" s="1130"/>
      <c r="O38" s="1130"/>
      <c r="P38" s="3262"/>
      <c r="Q38" s="1791"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65">
        <f t="shared" si="5"/>
        <v>1</v>
      </c>
    </row>
    <row r="39" spans="1:29" ht="15">
      <c r="A39" s="472"/>
      <c r="B39" s="422" t="s">
        <v>2684</v>
      </c>
      <c r="C39" s="460" t="s">
        <v>4231</v>
      </c>
      <c r="D39" s="435">
        <v>100</v>
      </c>
      <c r="E39" s="460" t="s">
        <v>4231</v>
      </c>
      <c r="F39" s="461">
        <f>SUMIF(115:115,E39,116:116)-SUMIF(115:115,C39,116:116)+100</f>
        <v>100</v>
      </c>
      <c r="G39" s="460" t="s">
        <v>4231</v>
      </c>
      <c r="H39" s="435">
        <f>SUMIF(115:115,G39,116:116)-SUMIF(115:115,C39,116:116)+100</f>
        <v>100</v>
      </c>
      <c r="I39" s="460" t="s">
        <v>4231</v>
      </c>
      <c r="J39" s="435">
        <f>SUMIF(115:115,I39,116:116)-SUMIF(115:115,C39,116:116)+100</f>
        <v>100</v>
      </c>
      <c r="K39" s="612">
        <v>2</v>
      </c>
      <c r="L39" s="1137"/>
      <c r="M39" s="1128"/>
      <c r="N39" s="1128"/>
      <c r="O39" s="1128"/>
      <c r="P39" s="3262" t="s">
        <v>2554</v>
      </c>
      <c r="Q39" s="1806" t="str">
        <f t="shared" si="11"/>
        <v>物业管理</v>
      </c>
      <c r="R39" s="774" t="s">
        <v>17</v>
      </c>
      <c r="S39" s="775">
        <f t="shared" si="12"/>
        <v>100</v>
      </c>
      <c r="T39" s="774" t="s">
        <v>17</v>
      </c>
      <c r="U39" s="775">
        <f t="shared" si="13"/>
        <v>100</v>
      </c>
      <c r="V39" s="774" t="s">
        <v>17</v>
      </c>
      <c r="W39" s="775">
        <f t="shared" si="14"/>
        <v>100</v>
      </c>
      <c r="X39" s="1809"/>
      <c r="Y39" s="3220" t="s">
        <v>2554</v>
      </c>
      <c r="Z39" s="1810" t="str">
        <f t="shared" si="15"/>
        <v>物业管理</v>
      </c>
      <c r="AA39" s="1807">
        <f t="shared" si="3"/>
        <v>1</v>
      </c>
      <c r="AB39" s="1807">
        <f t="shared" si="4"/>
        <v>1</v>
      </c>
      <c r="AC39" s="2668">
        <f t="shared" si="5"/>
        <v>1</v>
      </c>
    </row>
    <row r="40" spans="1:29" ht="15">
      <c r="A40" s="472"/>
      <c r="B40" s="422" t="s">
        <v>2652</v>
      </c>
      <c r="C40" s="460" t="s">
        <v>4233</v>
      </c>
      <c r="D40" s="435">
        <v>100</v>
      </c>
      <c r="E40" s="460" t="s">
        <v>4233</v>
      </c>
      <c r="F40" s="461">
        <f>SUMIF(117:117,E40,118:118)-SUMIF(117:117,C40,118:118)+100</f>
        <v>100</v>
      </c>
      <c r="G40" s="460" t="s">
        <v>4233</v>
      </c>
      <c r="H40" s="435">
        <f>SUMIF(117:117,G40,118:118)-SUMIF(117:117,C40,118:118)+100</f>
        <v>100</v>
      </c>
      <c r="I40" s="460" t="s">
        <v>4233</v>
      </c>
      <c r="J40" s="435">
        <f>SUMIF(117:117,I40,118:118)-SUMIF(117:117,C40,118:118)+100</f>
        <v>100</v>
      </c>
      <c r="K40" s="612">
        <v>2</v>
      </c>
      <c r="L40" s="1137"/>
      <c r="M40" s="1128"/>
      <c r="N40" s="1128"/>
      <c r="O40" s="1128"/>
      <c r="P40" s="3262"/>
      <c r="Q40" s="1806" t="str">
        <f t="shared" si="11"/>
        <v>市政基础设施</v>
      </c>
      <c r="R40" s="774" t="s">
        <v>17</v>
      </c>
      <c r="S40" s="775">
        <f t="shared" si="12"/>
        <v>100</v>
      </c>
      <c r="T40" s="774" t="s">
        <v>17</v>
      </c>
      <c r="U40" s="775">
        <f t="shared" si="13"/>
        <v>100</v>
      </c>
      <c r="V40" s="774" t="s">
        <v>17</v>
      </c>
      <c r="W40" s="775">
        <f t="shared" si="14"/>
        <v>100</v>
      </c>
      <c r="X40" s="1809"/>
      <c r="Y40" s="3220"/>
      <c r="Z40" s="1810" t="str">
        <f t="shared" si="15"/>
        <v>市政基础设施</v>
      </c>
      <c r="AA40" s="1807">
        <f t="shared" si="3"/>
        <v>1</v>
      </c>
      <c r="AB40" s="1807">
        <f t="shared" si="4"/>
        <v>1</v>
      </c>
      <c r="AC40" s="2668">
        <f t="shared" si="5"/>
        <v>1</v>
      </c>
    </row>
    <row r="41" spans="1:29" ht="15">
      <c r="A41" s="472"/>
      <c r="B41" s="422" t="s">
        <v>2654</v>
      </c>
      <c r="C41" s="616" t="s">
        <v>4235</v>
      </c>
      <c r="D41" s="435">
        <v>100</v>
      </c>
      <c r="E41" s="616" t="s">
        <v>4235</v>
      </c>
      <c r="F41" s="461">
        <f>SUMIF(119:119,E41,120:120)-SUMIF(119:119,C41,120:120)+100</f>
        <v>100</v>
      </c>
      <c r="G41" s="616" t="s">
        <v>4235</v>
      </c>
      <c r="H41" s="435">
        <f>SUMIF(119:119,G41,120:120)-SUMIF(119:119,C41,120:120)+100</f>
        <v>100</v>
      </c>
      <c r="I41" s="616" t="s">
        <v>4235</v>
      </c>
      <c r="J41" s="435">
        <f>SUMIF(119:119,I41,120:120)-SUMIF(119:119,C41,120:120)+100</f>
        <v>100</v>
      </c>
      <c r="K41" s="612">
        <v>2</v>
      </c>
      <c r="L41" s="1137"/>
      <c r="M41" s="1128"/>
      <c r="N41" s="1128"/>
      <c r="O41" s="1128"/>
      <c r="P41" s="3262"/>
      <c r="Q41" s="1806" t="str">
        <f t="shared" si="11"/>
        <v>层高</v>
      </c>
      <c r="R41" s="774" t="s">
        <v>17</v>
      </c>
      <c r="S41" s="775">
        <f t="shared" si="12"/>
        <v>100</v>
      </c>
      <c r="T41" s="774" t="s">
        <v>17</v>
      </c>
      <c r="U41" s="775">
        <f t="shared" si="13"/>
        <v>100</v>
      </c>
      <c r="V41" s="774" t="s">
        <v>17</v>
      </c>
      <c r="W41" s="775">
        <f t="shared" si="14"/>
        <v>100</v>
      </c>
      <c r="X41" s="1809"/>
      <c r="Y41" s="3220"/>
      <c r="Z41" s="1810" t="str">
        <f t="shared" si="15"/>
        <v>层高</v>
      </c>
      <c r="AA41" s="1807">
        <f t="shared" si="3"/>
        <v>1</v>
      </c>
      <c r="AB41" s="1807">
        <f t="shared" si="4"/>
        <v>1</v>
      </c>
      <c r="AC41" s="2668">
        <f t="shared" si="5"/>
        <v>1</v>
      </c>
    </row>
    <row r="42" spans="1:29" s="471" customFormat="1" ht="15">
      <c r="A42" s="468"/>
      <c r="B42" s="180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62"/>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07">
        <f t="shared" si="3"/>
        <v>1</v>
      </c>
      <c r="AB42" s="1807">
        <f t="shared" si="4"/>
        <v>1</v>
      </c>
      <c r="AC42" s="2668">
        <f t="shared" si="5"/>
        <v>1</v>
      </c>
    </row>
    <row r="43" spans="1:29" ht="15">
      <c r="A43" s="472"/>
      <c r="B43" s="422" t="s">
        <v>2657</v>
      </c>
      <c r="C43" s="460" t="s">
        <v>4239</v>
      </c>
      <c r="D43" s="435">
        <v>100</v>
      </c>
      <c r="E43" s="460" t="s">
        <v>4239</v>
      </c>
      <c r="F43" s="461">
        <f>SUMIF(123:123,E43,124:124)-SUMIF(123:123,C43,124:124)+100</f>
        <v>100</v>
      </c>
      <c r="G43" s="460" t="s">
        <v>4239</v>
      </c>
      <c r="H43" s="435">
        <f>SUMIF(123:123,G43,124:124)-SUMIF(123:123,C43,124:124)+100</f>
        <v>100</v>
      </c>
      <c r="I43" s="460" t="s">
        <v>4239</v>
      </c>
      <c r="J43" s="435">
        <f>SUMIF(123:123,I43,124:124)-SUMIF(123:123,C43,124:124)+100</f>
        <v>100</v>
      </c>
      <c r="K43" s="612">
        <v>3</v>
      </c>
      <c r="L43" s="1137"/>
      <c r="M43" s="1128"/>
      <c r="N43" s="1128"/>
      <c r="O43" s="1128"/>
      <c r="P43" s="3262"/>
      <c r="Q43" s="1806" t="str">
        <f t="shared" si="11"/>
        <v>内部装修</v>
      </c>
      <c r="R43" s="774" t="s">
        <v>17</v>
      </c>
      <c r="S43" s="775">
        <f t="shared" si="12"/>
        <v>100</v>
      </c>
      <c r="T43" s="774" t="s">
        <v>17</v>
      </c>
      <c r="U43" s="775">
        <f t="shared" si="13"/>
        <v>100</v>
      </c>
      <c r="V43" s="774" t="s">
        <v>17</v>
      </c>
      <c r="W43" s="775">
        <f t="shared" si="14"/>
        <v>100</v>
      </c>
      <c r="X43" s="1809"/>
      <c r="Y43" s="3220"/>
      <c r="Z43" s="1810" t="str">
        <f t="shared" si="15"/>
        <v>内部装修</v>
      </c>
      <c r="AA43" s="1807">
        <f t="shared" si="3"/>
        <v>1</v>
      </c>
      <c r="AB43" s="1807">
        <f t="shared" si="4"/>
        <v>1</v>
      </c>
      <c r="AC43" s="2668">
        <f t="shared" si="5"/>
        <v>1</v>
      </c>
    </row>
    <row r="44" spans="1:29" ht="15">
      <c r="A44" s="472"/>
      <c r="B44" s="422" t="s">
        <v>2565</v>
      </c>
      <c r="C44" s="460" t="s">
        <v>3176</v>
      </c>
      <c r="D44" s="435">
        <v>100</v>
      </c>
      <c r="E44" s="460" t="s">
        <v>3176</v>
      </c>
      <c r="F44" s="461">
        <f>SUMIF(125:125,E44,126:126)-SUMIF(125:125,C44,126:126)+100</f>
        <v>100</v>
      </c>
      <c r="G44" s="460" t="s">
        <v>3176</v>
      </c>
      <c r="H44" s="435">
        <f>SUMIF(125:125,G44,126:126)-SUMIF(125:125,C44,126:126)+100</f>
        <v>100</v>
      </c>
      <c r="I44" s="460" t="s">
        <v>3176</v>
      </c>
      <c r="J44" s="435">
        <f>SUMIF(125:125,I44,126:126)-SUMIF(125:125,C44,126:126)+100</f>
        <v>100</v>
      </c>
      <c r="K44" s="612">
        <v>2</v>
      </c>
      <c r="L44" s="1137"/>
      <c r="M44" s="1128"/>
      <c r="N44" s="1128"/>
      <c r="O44" s="1128"/>
      <c r="P44" s="3262"/>
      <c r="Q44" s="1806" t="str">
        <f t="shared" si="11"/>
        <v>内部装修维护情况</v>
      </c>
      <c r="R44" s="774" t="s">
        <v>17</v>
      </c>
      <c r="S44" s="775">
        <f t="shared" si="12"/>
        <v>100</v>
      </c>
      <c r="T44" s="774" t="s">
        <v>17</v>
      </c>
      <c r="U44" s="775">
        <f t="shared" si="13"/>
        <v>100</v>
      </c>
      <c r="V44" s="774" t="s">
        <v>17</v>
      </c>
      <c r="W44" s="775">
        <f t="shared" si="14"/>
        <v>100</v>
      </c>
      <c r="X44" s="1809"/>
      <c r="Y44" s="3220"/>
      <c r="Z44" s="1810" t="str">
        <f t="shared" si="15"/>
        <v>内部装修维护情况</v>
      </c>
      <c r="AA44" s="1807">
        <f t="shared" si="3"/>
        <v>1</v>
      </c>
      <c r="AB44" s="1807">
        <f t="shared" si="4"/>
        <v>1</v>
      </c>
      <c r="AC44" s="2668">
        <f t="shared" si="5"/>
        <v>1</v>
      </c>
    </row>
    <row r="45" spans="1:29" s="117" customFormat="1" ht="15">
      <c r="A45" s="473"/>
      <c r="B45" s="1383"/>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62"/>
      <c r="Q45" s="1791">
        <f t="shared" si="11"/>
        <v>0</v>
      </c>
      <c r="R45" s="770" t="s">
        <v>17</v>
      </c>
      <c r="S45" s="771">
        <f t="shared" si="12"/>
        <v>100</v>
      </c>
      <c r="T45" s="770" t="s">
        <v>17</v>
      </c>
      <c r="U45" s="771">
        <f t="shared" si="13"/>
        <v>100</v>
      </c>
      <c r="V45" s="770" t="s">
        <v>17</v>
      </c>
      <c r="W45" s="771">
        <f t="shared" si="14"/>
        <v>100</v>
      </c>
      <c r="X45" s="772"/>
      <c r="Y45" s="3220"/>
      <c r="Z45" s="55">
        <f t="shared" si="15"/>
        <v>0</v>
      </c>
      <c r="AA45" s="773">
        <f t="shared" si="3"/>
        <v>1</v>
      </c>
      <c r="AB45" s="773">
        <f t="shared" si="4"/>
        <v>1</v>
      </c>
      <c r="AC45" s="2665">
        <f t="shared" si="5"/>
        <v>1</v>
      </c>
    </row>
    <row r="46" spans="1:29" ht="15">
      <c r="A46" s="472"/>
      <c r="B46" s="1383"/>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62"/>
      <c r="Q46" s="1806">
        <f t="shared" si="11"/>
        <v>0</v>
      </c>
      <c r="R46" s="774" t="s">
        <v>17</v>
      </c>
      <c r="S46" s="775">
        <f t="shared" si="12"/>
        <v>100</v>
      </c>
      <c r="T46" s="774" t="s">
        <v>17</v>
      </c>
      <c r="U46" s="775">
        <f t="shared" si="13"/>
        <v>100</v>
      </c>
      <c r="V46" s="774" t="s">
        <v>17</v>
      </c>
      <c r="W46" s="775">
        <f t="shared" si="14"/>
        <v>100</v>
      </c>
      <c r="X46" s="1809"/>
      <c r="Y46" s="3220"/>
      <c r="Z46" s="1810">
        <f t="shared" si="15"/>
        <v>0</v>
      </c>
      <c r="AA46" s="1807">
        <f t="shared" si="3"/>
        <v>1</v>
      </c>
      <c r="AB46" s="1807">
        <f t="shared" si="4"/>
        <v>1</v>
      </c>
      <c r="AC46" s="2668">
        <f t="shared" si="5"/>
        <v>1</v>
      </c>
    </row>
    <row r="47" spans="1:29" ht="15.75" thickBot="1">
      <c r="A47" s="478"/>
      <c r="B47" s="259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63"/>
      <c r="Q47" s="1806">
        <f t="shared" si="11"/>
        <v>0</v>
      </c>
      <c r="R47" s="774" t="s">
        <v>17</v>
      </c>
      <c r="S47" s="775">
        <f t="shared" si="12"/>
        <v>100</v>
      </c>
      <c r="T47" s="774" t="s">
        <v>17</v>
      </c>
      <c r="U47" s="775">
        <f t="shared" si="13"/>
        <v>100</v>
      </c>
      <c r="V47" s="774" t="s">
        <v>17</v>
      </c>
      <c r="W47" s="775">
        <f t="shared" si="14"/>
        <v>100</v>
      </c>
      <c r="X47" s="1809"/>
      <c r="Y47" s="3264"/>
      <c r="Z47" s="1810">
        <f t="shared" si="15"/>
        <v>0</v>
      </c>
      <c r="AA47" s="1807">
        <f t="shared" si="3"/>
        <v>1</v>
      </c>
      <c r="AB47" s="1807">
        <f t="shared" si="4"/>
        <v>1</v>
      </c>
      <c r="AC47" s="2668">
        <f t="shared" si="5"/>
        <v>1</v>
      </c>
    </row>
    <row r="48" spans="1:29" ht="15">
      <c r="A48" s="479" t="s">
        <v>2566</v>
      </c>
      <c r="B48" s="480"/>
      <c r="C48" s="1404" t="s">
        <v>1</v>
      </c>
      <c r="D48" s="1405"/>
      <c r="E48" s="1406">
        <f>22000*0.98</f>
        <v>21560</v>
      </c>
      <c r="F48" s="1407"/>
      <c r="G48" s="1408">
        <f>26000*0.98</f>
        <v>25480</v>
      </c>
      <c r="H48" s="1409"/>
      <c r="I48" s="1406">
        <f>23000*0.98</f>
        <v>22540</v>
      </c>
      <c r="J48" s="485"/>
      <c r="K48" s="783"/>
      <c r="L48" s="1140"/>
      <c r="M48" s="1128"/>
      <c r="N48" s="1128"/>
      <c r="O48" s="1128"/>
      <c r="P48" s="3214" t="str">
        <f>A48</f>
        <v>成交单价（元/平方米）</v>
      </c>
      <c r="Q48" s="3215"/>
      <c r="R48" s="3257">
        <f>E48</f>
        <v>21560</v>
      </c>
      <c r="S48" s="3257"/>
      <c r="T48" s="3257">
        <f>G48</f>
        <v>25480</v>
      </c>
      <c r="U48" s="3257"/>
      <c r="V48" s="3257">
        <f>I48</f>
        <v>22540</v>
      </c>
      <c r="W48" s="3257"/>
      <c r="X48" s="446"/>
      <c r="Y48" s="781"/>
      <c r="Z48" s="446"/>
      <c r="AA48" s="446"/>
      <c r="AB48" s="446"/>
      <c r="AC48" s="630"/>
    </row>
    <row r="49" spans="1:29" ht="15.75" thickBot="1">
      <c r="A49" s="486" t="s">
        <v>2658</v>
      </c>
      <c r="B49" s="487"/>
      <c r="C49" s="1410">
        <f>R50</f>
        <v>22604</v>
      </c>
      <c r="D49" s="1411"/>
      <c r="E49" s="1412">
        <f>R49</f>
        <v>20533</v>
      </c>
      <c r="F49" s="1412"/>
      <c r="G49" s="1410">
        <f>T49</f>
        <v>24512</v>
      </c>
      <c r="H49" s="1411"/>
      <c r="I49" s="1412">
        <f>V49</f>
        <v>22768</v>
      </c>
      <c r="J49" s="489"/>
      <c r="K49" s="784"/>
      <c r="L49" s="1140"/>
      <c r="M49" s="1128"/>
      <c r="N49" s="1128"/>
      <c r="O49" s="1128"/>
      <c r="P49" s="3214" t="str">
        <f>A49</f>
        <v>比较价值（元/平方米）</v>
      </c>
      <c r="Q49" s="3215"/>
      <c r="R49" s="3257">
        <f>IF(F1="售价",ROUND(PRODUCT(R48,AA7:AA47),0),ROUND(PRODUCT(R48,AA7:AA47),1))</f>
        <v>20533</v>
      </c>
      <c r="S49" s="3257"/>
      <c r="T49" s="3257">
        <f>IF(F1="售价",ROUND(PRODUCT(T48,AB7:AB47),0),ROUND(PRODUCT(T48,AB7:AB47),1))</f>
        <v>24512</v>
      </c>
      <c r="U49" s="3257"/>
      <c r="V49" s="3257">
        <f>IF(F1="售价",ROUND(PRODUCT(V48,AC7:AC47),0),ROUND(PRODUCT(V48,AC7:AC47),1))</f>
        <v>22768</v>
      </c>
      <c r="W49" s="3257"/>
      <c r="X49" s="446"/>
      <c r="Y49" s="446"/>
      <c r="Z49" s="446"/>
      <c r="AA49" s="446"/>
      <c r="AB49" s="446"/>
      <c r="AC49" s="630"/>
    </row>
    <row r="50" spans="1:29" ht="15.75" thickBot="1">
      <c r="A50" s="492" t="s">
        <v>2659</v>
      </c>
      <c r="B50" s="493"/>
      <c r="C50" s="1414">
        <f>R50</f>
        <v>22604</v>
      </c>
      <c r="D50" s="1414"/>
      <c r="E50" s="1414"/>
      <c r="F50" s="1414"/>
      <c r="G50" s="1414"/>
      <c r="H50" s="1414"/>
      <c r="I50" s="1414"/>
      <c r="J50" s="494"/>
      <c r="K50" s="785"/>
      <c r="L50" s="1140"/>
      <c r="M50" s="1128"/>
      <c r="N50" s="1128"/>
      <c r="O50" s="1128"/>
      <c r="P50" s="3265" t="str">
        <f>A50</f>
        <v>估价对象XX用房的比较价值（楼面单价，元/平方米）</v>
      </c>
      <c r="Q50" s="3266"/>
      <c r="R50" s="3267">
        <f>IF(F1="售价",ROUND(AVERAGE(R49:V49),0),ROUND(AVERAGE(R49:V49),1))</f>
        <v>22604</v>
      </c>
      <c r="S50" s="3267"/>
      <c r="T50" s="3267"/>
      <c r="U50" s="3267"/>
      <c r="V50" s="3267"/>
      <c r="W50" s="3267"/>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2660</v>
      </c>
      <c r="D53" s="498"/>
      <c r="E53" s="499">
        <f>IF(E48&lt;E49,E49/E48-1,E48/E49-1)</f>
        <v>5.0017045731261867E-2</v>
      </c>
      <c r="F53" s="500" t="str">
        <f>IF(OR(E53&gt;=0.3,E53&lt;=-0.3),"超过30%","")</f>
        <v/>
      </c>
      <c r="G53" s="499">
        <f>IF(G48&lt;G49,G49/G48-1,G48/G49-1)</f>
        <v>3.9490861618799E-2</v>
      </c>
      <c r="H53" s="500" t="str">
        <f>IF(OR(G53&gt;=0.3,G53&lt;=-0.3),"超过30%","")</f>
        <v/>
      </c>
      <c r="I53" s="499">
        <f>IF(I48&lt;I49,I49/I48-1,I48/I49-1)</f>
        <v>1.0115350488021368E-2</v>
      </c>
      <c r="J53" s="500" t="str">
        <f>IF(OR(I53&gt;=0.3,I53&lt;=-0.3),"超过30%","")</f>
        <v/>
      </c>
      <c r="K53" s="1102"/>
      <c r="L53" s="1103"/>
      <c r="M53" s="1141"/>
      <c r="N53" s="1141"/>
      <c r="O53" s="1141"/>
    </row>
    <row r="54" spans="1:29" ht="13.5" customHeight="1">
      <c r="A54" s="1141"/>
      <c r="B54" s="1141"/>
      <c r="C54" s="497" t="s">
        <v>2661</v>
      </c>
      <c r="D54" s="501"/>
      <c r="E54" s="499">
        <f>IF(E49&lt;G49,G49/E49-1,E49/G49-1)</f>
        <v>0.19378561340281508</v>
      </c>
      <c r="F54" s="500" t="str">
        <f>IF(OR(E54&gt;=0.2,E54&lt;=-0.2),"超过20%","")</f>
        <v/>
      </c>
      <c r="G54" s="499">
        <f>IF(G49&lt;I49,I49/G49-1,G49/I49-1)</f>
        <v>7.6598735066760293E-2</v>
      </c>
      <c r="H54" s="500" t="str">
        <f>IF(OR(G54&gt;=0.2,G54&lt;=-0.2),"超过20%","")</f>
        <v/>
      </c>
      <c r="I54" s="499">
        <f>IF(I49&lt;E49,E49/I49-1,I49/E49-1)</f>
        <v>0.10884916962937718</v>
      </c>
      <c r="J54" s="500" t="str">
        <f>IF(OR(I54&gt;=0.2,I54&lt;=-0.2),"超过20%","")</f>
        <v/>
      </c>
      <c r="K54" s="1102"/>
      <c r="L54" s="1103"/>
      <c r="M54" s="1141"/>
      <c r="N54" s="1141"/>
      <c r="O54" s="1141"/>
    </row>
    <row r="55" spans="1:29" s="502" customFormat="1" ht="13.5" customHeight="1">
      <c r="A55" s="1142"/>
      <c r="B55" s="1142"/>
      <c r="C55" s="497" t="s">
        <v>2662</v>
      </c>
      <c r="D55" s="501"/>
      <c r="E55" s="499">
        <f>IF(E48&lt;G48,G48/E48-1,E48/G48-1)</f>
        <v>0.18181818181818188</v>
      </c>
      <c r="F55" s="500" t="str">
        <f>IF(OR(E55&gt;=0.3,E55&lt;=-0.3),"超过30%","")</f>
        <v/>
      </c>
      <c r="G55" s="499">
        <f>IF(G48&lt;I48,I48/G48-1,G48/I48-1)</f>
        <v>0.13043478260869557</v>
      </c>
      <c r="H55" s="500" t="str">
        <f>IF(OR(G55&gt;=0.3,G55&lt;=-0.3),"超过30%","")</f>
        <v/>
      </c>
      <c r="I55" s="499">
        <f>IF(I48&lt;E48,E48/I48-1,I48/E48-1)</f>
        <v>4.5454545454545414E-2</v>
      </c>
      <c r="J55" s="500" t="str">
        <f>IF(OR(I55&gt;=0.3,I55&lt;=-0.3),"超过30%","")</f>
        <v/>
      </c>
      <c r="K55" s="1145"/>
      <c r="L55" s="1146"/>
      <c r="M55" s="1142"/>
      <c r="N55" s="1142"/>
      <c r="O55" s="1142"/>
      <c r="P55" s="2674"/>
    </row>
    <row r="56" spans="1:29" s="502"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3" t="s">
        <v>2663</v>
      </c>
      <c r="B58" s="759"/>
      <c r="C58" s="764"/>
      <c r="D58" s="764"/>
      <c r="E58" s="764"/>
      <c r="F58" s="765"/>
      <c r="G58" s="765"/>
      <c r="H58" s="764"/>
      <c r="I58" s="764"/>
      <c r="J58" s="764"/>
      <c r="K58" s="766"/>
      <c r="L58" s="1158"/>
      <c r="M58" s="1156"/>
      <c r="N58" s="1156"/>
      <c r="O58" s="1156"/>
      <c r="P58" s="2675"/>
      <c r="Q58" s="504"/>
    </row>
    <row r="59" spans="1:29" s="508" customFormat="1" ht="15">
      <c r="A59" s="505" t="s">
        <v>2537</v>
      </c>
      <c r="B59" s="506"/>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2574</v>
      </c>
      <c r="B61" s="516"/>
      <c r="C61" s="517"/>
      <c r="D61" s="518"/>
      <c r="E61" s="518"/>
      <c r="F61" s="518"/>
      <c r="G61" s="518"/>
      <c r="H61" s="518"/>
      <c r="I61" s="518"/>
      <c r="J61" s="518"/>
      <c r="K61" s="518"/>
      <c r="L61" s="518"/>
      <c r="M61" s="519"/>
      <c r="N61" s="518"/>
      <c r="O61" s="519"/>
      <c r="P61" s="2676"/>
      <c r="Q61" s="504"/>
    </row>
    <row r="62" spans="1:29" s="117" customFormat="1" ht="15">
      <c r="A62" s="521" t="s">
        <v>2539</v>
      </c>
      <c r="B62" s="510"/>
      <c r="C62" s="522" t="s">
        <v>2641</v>
      </c>
      <c r="D62" s="523"/>
      <c r="E62" s="523"/>
      <c r="F62" s="523"/>
      <c r="G62" s="523"/>
      <c r="H62" s="523"/>
      <c r="I62" s="523"/>
      <c r="J62" s="523"/>
      <c r="K62" s="523"/>
      <c r="L62" s="524"/>
      <c r="M62" s="525"/>
      <c r="N62" s="1148"/>
      <c r="O62" s="1148"/>
      <c r="P62" s="2677"/>
      <c r="Q62" s="504"/>
    </row>
    <row r="63" spans="1:29" s="117" customFormat="1" ht="15.75" thickBot="1">
      <c r="A63" s="521"/>
      <c r="B63" s="510"/>
      <c r="C63" s="511">
        <v>100</v>
      </c>
      <c r="D63" s="512"/>
      <c r="E63" s="512"/>
      <c r="F63" s="512"/>
      <c r="G63" s="512"/>
      <c r="H63" s="512"/>
      <c r="I63" s="512"/>
      <c r="J63" s="512"/>
      <c r="K63" s="512"/>
      <c r="L63" s="512"/>
      <c r="M63" s="514"/>
      <c r="N63" s="1148"/>
      <c r="O63" s="1148"/>
      <c r="P63" s="2676"/>
      <c r="Q63" s="504"/>
    </row>
    <row r="64" spans="1:29">
      <c r="A64" s="527" t="s">
        <v>2577</v>
      </c>
      <c r="B64" s="528" t="s">
        <v>2543</v>
      </c>
      <c r="C64" s="529" t="str">
        <f>C9</f>
        <v>办公</v>
      </c>
      <c r="D64" s="530"/>
      <c r="E64" s="530"/>
      <c r="F64" s="530"/>
      <c r="G64" s="530"/>
      <c r="H64" s="530"/>
      <c r="I64" s="530"/>
      <c r="J64" s="530"/>
      <c r="K64" s="531"/>
      <c r="L64" s="532"/>
      <c r="M64" s="533"/>
      <c r="N64" s="1149"/>
      <c r="O64" s="1149"/>
      <c r="P64" s="2678"/>
      <c r="Q64" s="504"/>
    </row>
    <row r="65" spans="1:17" ht="15.75" thickBot="1">
      <c r="A65" s="534"/>
      <c r="B65" s="535"/>
      <c r="C65" s="536">
        <v>100</v>
      </c>
      <c r="D65" s="536"/>
      <c r="E65" s="536"/>
      <c r="F65" s="536"/>
      <c r="G65" s="536"/>
      <c r="H65" s="536"/>
      <c r="I65" s="536"/>
      <c r="J65" s="536"/>
      <c r="K65" s="536"/>
      <c r="L65" s="536"/>
      <c r="M65" s="537"/>
      <c r="N65" s="1150"/>
      <c r="O65" s="1150"/>
      <c r="P65" s="267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49"/>
      <c r="O66" s="1149"/>
      <c r="P66" s="267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78"/>
      <c r="Q67" s="504"/>
    </row>
    <row r="68" spans="1:17" ht="15.75" thickTop="1">
      <c r="A68" s="534"/>
      <c r="B68" s="546" t="s">
        <v>2547</v>
      </c>
      <c r="C68" s="547" t="str">
        <f>C69&amp;"（含）"&amp;"-"&amp;D69</f>
        <v>5（含）-10</v>
      </c>
      <c r="D68" s="547" t="str">
        <f t="shared" ref="D68:L68" si="17">D69&amp;"（含）"&amp;"-"&amp;E69</f>
        <v>10（含）-15</v>
      </c>
      <c r="E68" s="547" t="str">
        <f t="shared" si="17"/>
        <v>15（含）-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8"/>
      <c r="Q68" s="504"/>
    </row>
    <row r="69" spans="1:17" ht="15">
      <c r="A69" s="534"/>
      <c r="B69" s="548"/>
      <c r="C69" s="549">
        <v>5</v>
      </c>
      <c r="D69" s="549">
        <v>10</v>
      </c>
      <c r="E69" s="549">
        <v>15</v>
      </c>
      <c r="F69" s="549"/>
      <c r="G69" s="549"/>
      <c r="H69" s="549"/>
      <c r="I69" s="549"/>
      <c r="J69" s="549"/>
      <c r="K69" s="550"/>
      <c r="L69" s="551"/>
      <c r="M69" s="552"/>
      <c r="N69" s="1149"/>
      <c r="O69" s="1149"/>
      <c r="P69" s="267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8"/>
      <c r="Q70" s="504"/>
    </row>
    <row r="71" spans="1:17" s="471" customFormat="1" ht="15.75" thickTop="1">
      <c r="A71" s="553"/>
      <c r="B71" s="538">
        <f>B12</f>
        <v>0</v>
      </c>
      <c r="C71" s="554"/>
      <c r="D71" s="554"/>
      <c r="E71" s="554"/>
      <c r="F71" s="554"/>
      <c r="G71" s="554"/>
      <c r="H71" s="555"/>
      <c r="I71" s="555"/>
      <c r="J71" s="555"/>
      <c r="K71" s="555"/>
      <c r="L71" s="556"/>
      <c r="M71" s="557"/>
      <c r="N71" s="1151"/>
      <c r="O71" s="1151"/>
      <c r="P71" s="2679"/>
      <c r="Q71" s="559"/>
    </row>
    <row r="72" spans="1:17" s="471" customFormat="1" ht="15.75" thickBot="1">
      <c r="A72" s="553"/>
      <c r="B72" s="543"/>
      <c r="C72" s="560"/>
      <c r="D72" s="536"/>
      <c r="E72" s="536"/>
      <c r="F72" s="536"/>
      <c r="G72" s="536"/>
      <c r="H72" s="536"/>
      <c r="I72" s="536"/>
      <c r="J72" s="536"/>
      <c r="K72" s="536"/>
      <c r="L72" s="536"/>
      <c r="M72" s="537"/>
      <c r="N72" s="1150"/>
      <c r="O72" s="1150"/>
      <c r="P72" s="2679"/>
      <c r="Q72" s="559"/>
    </row>
    <row r="73" spans="1:17" s="471" customFormat="1" ht="15.75" thickTop="1">
      <c r="A73" s="553"/>
      <c r="B73" s="538">
        <f>B13</f>
        <v>0</v>
      </c>
      <c r="C73" s="554"/>
      <c r="D73" s="554"/>
      <c r="E73" s="554"/>
      <c r="F73" s="554"/>
      <c r="G73" s="554"/>
      <c r="H73" s="555"/>
      <c r="I73" s="555"/>
      <c r="J73" s="555"/>
      <c r="K73" s="555"/>
      <c r="L73" s="556"/>
      <c r="M73" s="557"/>
      <c r="N73" s="1151"/>
      <c r="O73" s="1151"/>
      <c r="P73" s="2680"/>
      <c r="Q73" s="561"/>
    </row>
    <row r="74" spans="1:17" s="471" customFormat="1" ht="15.75" thickBot="1">
      <c r="A74" s="553"/>
      <c r="B74" s="543"/>
      <c r="C74" s="560"/>
      <c r="D74" s="560"/>
      <c r="E74" s="560"/>
      <c r="F74" s="560"/>
      <c r="G74" s="560"/>
      <c r="H74" s="562"/>
      <c r="I74" s="562"/>
      <c r="J74" s="562"/>
      <c r="K74" s="562"/>
      <c r="L74" s="562"/>
      <c r="M74" s="563"/>
      <c r="N74" s="1151"/>
      <c r="O74" s="1151"/>
      <c r="P74" s="2679"/>
      <c r="Q74" s="559"/>
    </row>
    <row r="75" spans="1:17" s="471" customFormat="1" ht="15.75" thickTop="1">
      <c r="A75" s="553"/>
      <c r="B75" s="546">
        <f>B14</f>
        <v>0</v>
      </c>
      <c r="C75" s="523"/>
      <c r="D75" s="523"/>
      <c r="E75" s="523"/>
      <c r="F75" s="523"/>
      <c r="G75" s="523"/>
      <c r="H75" s="564"/>
      <c r="I75" s="564"/>
      <c r="J75" s="564"/>
      <c r="K75" s="564"/>
      <c r="L75" s="565"/>
      <c r="M75" s="566"/>
      <c r="N75" s="1151"/>
      <c r="O75" s="1151"/>
      <c r="P75" s="2681"/>
      <c r="Q75" s="559"/>
    </row>
    <row r="76" spans="1:17" s="471" customFormat="1" ht="15.75" thickBot="1">
      <c r="A76" s="568"/>
      <c r="B76" s="569"/>
      <c r="C76" s="570"/>
      <c r="D76" s="570"/>
      <c r="E76" s="570"/>
      <c r="F76" s="570"/>
      <c r="G76" s="570"/>
      <c r="H76" s="571"/>
      <c r="I76" s="571"/>
      <c r="J76" s="571"/>
      <c r="K76" s="571"/>
      <c r="L76" s="571"/>
      <c r="M76" s="572"/>
      <c r="N76" s="1151"/>
      <c r="O76" s="1151"/>
      <c r="P76" s="267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49"/>
      <c r="O77" s="1149"/>
      <c r="P77" s="2682"/>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0"/>
      <c r="O78" s="1150"/>
      <c r="P78" s="267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49"/>
      <c r="O79" s="1149"/>
      <c r="P79" s="2678"/>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0"/>
      <c r="O80" s="1150"/>
      <c r="P80" s="267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49"/>
      <c r="O81" s="1149"/>
      <c r="P81" s="2678"/>
      <c r="Q81" s="504"/>
    </row>
    <row r="82" spans="1:17" ht="15.75" thickBot="1">
      <c r="A82" s="534"/>
      <c r="B82" s="543"/>
      <c r="C82" s="544">
        <v>100</v>
      </c>
      <c r="D82" s="544">
        <f>C82-$K19</f>
        <v>95</v>
      </c>
      <c r="E82" s="544">
        <f>D82-$K19</f>
        <v>90</v>
      </c>
      <c r="F82" s="544">
        <f>E82-$K19</f>
        <v>85</v>
      </c>
      <c r="G82" s="544">
        <f>F82-$K19</f>
        <v>80</v>
      </c>
      <c r="H82" s="544"/>
      <c r="I82" s="544"/>
      <c r="J82" s="544"/>
      <c r="K82" s="544"/>
      <c r="L82" s="544"/>
      <c r="M82" s="545"/>
      <c r="N82" s="1150"/>
      <c r="O82" s="1150"/>
      <c r="P82" s="2678"/>
      <c r="Q82" s="504"/>
    </row>
    <row r="83" spans="1:17" ht="15.75" thickTop="1">
      <c r="A83" s="534"/>
      <c r="B83" s="546" t="s">
        <v>2678</v>
      </c>
      <c r="C83" s="660" t="s">
        <v>2664</v>
      </c>
      <c r="D83" s="660" t="s">
        <v>2665</v>
      </c>
      <c r="E83" s="660" t="s">
        <v>2666</v>
      </c>
      <c r="F83" s="660" t="s">
        <v>2667</v>
      </c>
      <c r="G83" s="660" t="s">
        <v>2668</v>
      </c>
      <c r="H83" s="539"/>
      <c r="I83" s="539"/>
      <c r="J83" s="539"/>
      <c r="K83" s="539"/>
      <c r="L83" s="539"/>
      <c r="M83" s="1379"/>
      <c r="N83" s="1150"/>
      <c r="O83" s="1150"/>
      <c r="P83" s="267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0"/>
      <c r="O84" s="1150"/>
      <c r="P84" s="267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49"/>
      <c r="O85" s="1149"/>
      <c r="P85" s="2678"/>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0"/>
      <c r="O86" s="1150"/>
      <c r="P86" s="2678"/>
      <c r="Q86" s="504"/>
    </row>
    <row r="87" spans="1:17" s="117" customFormat="1" ht="27.75" thickTop="1">
      <c r="A87" s="579"/>
      <c r="B87" s="538" t="s">
        <v>2688</v>
      </c>
      <c r="C87" s="2970" t="s">
        <v>4222</v>
      </c>
      <c r="D87" s="2970" t="s">
        <v>4223</v>
      </c>
      <c r="E87" s="2970" t="s">
        <v>4224</v>
      </c>
      <c r="F87" s="2970" t="s">
        <v>4225</v>
      </c>
      <c r="G87" s="554"/>
      <c r="H87" s="554"/>
      <c r="I87" s="554"/>
      <c r="J87" s="554"/>
      <c r="K87" s="554"/>
      <c r="L87" s="580"/>
      <c r="M87" s="581"/>
      <c r="N87" s="1148"/>
      <c r="O87" s="1148"/>
      <c r="P87" s="2678"/>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0"/>
      <c r="O88" s="1150"/>
      <c r="P88" s="2678"/>
      <c r="Q88" s="504"/>
    </row>
    <row r="89" spans="1:17" s="117" customFormat="1" ht="15.75" thickTop="1">
      <c r="A89" s="579"/>
      <c r="B89" s="538" t="str">
        <f>B27</f>
        <v>楼层</v>
      </c>
      <c r="C89" s="554"/>
      <c r="D89" s="554"/>
      <c r="E89" s="554"/>
      <c r="F89" s="2629"/>
      <c r="G89" s="554"/>
      <c r="H89" s="554"/>
      <c r="I89" s="554"/>
      <c r="J89" s="554"/>
      <c r="K89" s="554"/>
      <c r="L89" s="554"/>
      <c r="M89" s="581"/>
      <c r="N89" s="1148"/>
      <c r="O89" s="1148"/>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8"/>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9"/>
      <c r="Q92" s="559"/>
    </row>
    <row r="93" spans="1:17" ht="15.75" thickTop="1">
      <c r="A93" s="534"/>
      <c r="B93" s="538">
        <f>B29</f>
        <v>0</v>
      </c>
      <c r="C93" s="554"/>
      <c r="D93" s="554"/>
      <c r="E93" s="554"/>
      <c r="F93" s="554"/>
      <c r="G93" s="554"/>
      <c r="H93" s="554"/>
      <c r="I93" s="554"/>
      <c r="J93" s="554"/>
      <c r="K93" s="554"/>
      <c r="L93" s="580"/>
      <c r="M93" s="581"/>
      <c r="N93" s="1149"/>
      <c r="O93" s="1149"/>
      <c r="P93" s="2678"/>
      <c r="Q93" s="504"/>
    </row>
    <row r="94" spans="1:17" ht="15.75" thickBot="1">
      <c r="A94" s="534"/>
      <c r="B94" s="543"/>
      <c r="C94" s="560"/>
      <c r="D94" s="536"/>
      <c r="E94" s="536"/>
      <c r="F94" s="536"/>
      <c r="G94" s="536"/>
      <c r="H94" s="536"/>
      <c r="I94" s="536"/>
      <c r="J94" s="536"/>
      <c r="K94" s="536"/>
      <c r="L94" s="536"/>
      <c r="M94" s="537"/>
      <c r="N94" s="1150"/>
      <c r="O94" s="1150"/>
      <c r="P94" s="2678"/>
      <c r="Q94" s="504"/>
    </row>
    <row r="95" spans="1:17" ht="15.75" thickTop="1">
      <c r="A95" s="534"/>
      <c r="B95" s="538">
        <f>B30</f>
        <v>0</v>
      </c>
      <c r="C95" s="554"/>
      <c r="D95" s="554"/>
      <c r="E95" s="554"/>
      <c r="F95" s="554"/>
      <c r="G95" s="583"/>
      <c r="H95" s="583"/>
      <c r="I95" s="583"/>
      <c r="J95" s="583"/>
      <c r="K95" s="584"/>
      <c r="L95" s="585"/>
      <c r="M95" s="586"/>
      <c r="N95" s="1149"/>
      <c r="O95" s="1149"/>
      <c r="P95" s="2678"/>
      <c r="Q95" s="504"/>
    </row>
    <row r="96" spans="1:17" ht="15.75" thickBot="1">
      <c r="A96" s="534"/>
      <c r="B96" s="543"/>
      <c r="C96" s="560"/>
      <c r="D96" s="560"/>
      <c r="E96" s="560"/>
      <c r="F96" s="560"/>
      <c r="G96" s="536"/>
      <c r="H96" s="536"/>
      <c r="I96" s="536"/>
      <c r="J96" s="536"/>
      <c r="K96" s="536"/>
      <c r="L96" s="536"/>
      <c r="M96" s="537"/>
      <c r="N96" s="1150"/>
      <c r="O96" s="1150"/>
      <c r="P96" s="2678"/>
      <c r="Q96" s="504"/>
    </row>
    <row r="97" spans="1:17" ht="15.75" thickTop="1">
      <c r="A97" s="534"/>
      <c r="B97" s="538">
        <f>B31</f>
        <v>0</v>
      </c>
      <c r="C97" s="554"/>
      <c r="D97" s="554"/>
      <c r="E97" s="554"/>
      <c r="F97" s="554"/>
      <c r="G97" s="583"/>
      <c r="H97" s="583"/>
      <c r="I97" s="583"/>
      <c r="J97" s="583"/>
      <c r="K97" s="584"/>
      <c r="L97" s="585"/>
      <c r="M97" s="586"/>
      <c r="N97" s="1149"/>
      <c r="O97" s="1149"/>
      <c r="P97" s="2678"/>
      <c r="Q97" s="504"/>
    </row>
    <row r="98" spans="1:17" ht="15.75" thickBot="1">
      <c r="A98" s="534"/>
      <c r="B98" s="543"/>
      <c r="C98" s="560"/>
      <c r="D98" s="536"/>
      <c r="E98" s="536"/>
      <c r="F98" s="536"/>
      <c r="G98" s="536"/>
      <c r="H98" s="536"/>
      <c r="I98" s="536"/>
      <c r="J98" s="536"/>
      <c r="K98" s="536"/>
      <c r="L98" s="536"/>
      <c r="M98" s="537"/>
      <c r="N98" s="1150"/>
      <c r="O98" s="1150"/>
      <c r="P98" s="2678"/>
      <c r="Q98" s="504"/>
    </row>
    <row r="99" spans="1:17" ht="15.75" thickTop="1">
      <c r="A99" s="534"/>
      <c r="B99" s="546">
        <f>B32</f>
        <v>0</v>
      </c>
      <c r="C99" s="523"/>
      <c r="D99" s="523"/>
      <c r="E99" s="523"/>
      <c r="F99" s="523"/>
      <c r="G99" s="587"/>
      <c r="H99" s="587"/>
      <c r="I99" s="587"/>
      <c r="J99" s="587"/>
      <c r="K99" s="588"/>
      <c r="L99" s="589"/>
      <c r="M99" s="590"/>
      <c r="N99" s="1149"/>
      <c r="O99" s="1149"/>
      <c r="P99" s="2678"/>
      <c r="Q99" s="504"/>
    </row>
    <row r="100" spans="1:17" ht="15.75" thickBot="1">
      <c r="A100" s="2630"/>
      <c r="B100" s="569"/>
      <c r="C100" s="570"/>
      <c r="D100" s="570"/>
      <c r="E100" s="570"/>
      <c r="F100" s="570"/>
      <c r="G100" s="591"/>
      <c r="H100" s="591"/>
      <c r="I100" s="591"/>
      <c r="J100" s="591"/>
      <c r="K100" s="591"/>
      <c r="L100" s="591"/>
      <c r="M100" s="592"/>
      <c r="N100" s="1150"/>
      <c r="O100" s="1150"/>
      <c r="P100" s="2678"/>
      <c r="Q100" s="504"/>
    </row>
    <row r="101" spans="1:17">
      <c r="A101" s="527" t="s">
        <v>2552</v>
      </c>
      <c r="B101" s="528" t="s">
        <v>2601</v>
      </c>
      <c r="C101" s="530"/>
      <c r="D101" s="530"/>
      <c r="E101" s="530"/>
      <c r="F101" s="530"/>
      <c r="G101" s="530"/>
      <c r="H101" s="530"/>
      <c r="I101" s="530"/>
      <c r="J101" s="530"/>
      <c r="K101" s="531"/>
      <c r="L101" s="532"/>
      <c r="M101" s="533"/>
      <c r="N101" s="1149"/>
      <c r="O101" s="1149"/>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8"/>
      <c r="Q102" s="504"/>
    </row>
    <row r="103" spans="1:17" ht="15.75" thickTop="1">
      <c r="A103" s="534"/>
      <c r="B103" s="538" t="s">
        <v>2602</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8"/>
      <c r="Q103" s="504"/>
    </row>
    <row r="104" spans="1:17" s="471" customFormat="1">
      <c r="A104" s="593"/>
      <c r="B104" s="594"/>
      <c r="C104" s="595">
        <v>0</v>
      </c>
      <c r="D104" s="595"/>
      <c r="E104" s="595"/>
      <c r="F104" s="595"/>
      <c r="G104" s="595"/>
      <c r="H104" s="595"/>
      <c r="I104" s="595"/>
      <c r="J104" s="596"/>
      <c r="K104" s="596"/>
      <c r="L104" s="597"/>
      <c r="M104" s="598"/>
      <c r="N104" s="1151"/>
      <c r="O104" s="1151"/>
      <c r="P104" s="2679"/>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9"/>
      <c r="Q105" s="559"/>
    </row>
    <row r="106" spans="1:17" ht="15" thickTop="1">
      <c r="A106" s="599"/>
      <c r="B106" s="538" t="s">
        <v>2603</v>
      </c>
      <c r="C106" s="2970" t="s">
        <v>4226</v>
      </c>
      <c r="D106" s="554"/>
      <c r="E106" s="583"/>
      <c r="F106" s="583"/>
      <c r="G106" s="583"/>
      <c r="H106" s="583"/>
      <c r="I106" s="583"/>
      <c r="J106" s="583"/>
      <c r="K106" s="584"/>
      <c r="L106" s="585"/>
      <c r="M106" s="586"/>
      <c r="N106" s="1149"/>
      <c r="O106" s="1149"/>
      <c r="P106" s="2678"/>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0"/>
      <c r="O107" s="1150"/>
      <c r="P107" s="2678"/>
      <c r="Q107" s="504"/>
    </row>
    <row r="108" spans="1:17" ht="15" thickTop="1">
      <c r="A108" s="599"/>
      <c r="B108" s="538" t="s">
        <v>2605</v>
      </c>
      <c r="C108" s="2970" t="s">
        <v>4228</v>
      </c>
      <c r="D108" s="554"/>
      <c r="E108" s="554"/>
      <c r="F108" s="583"/>
      <c r="G108" s="583"/>
      <c r="H108" s="583"/>
      <c r="I108" s="583"/>
      <c r="J108" s="583"/>
      <c r="K108" s="584"/>
      <c r="L108" s="585"/>
      <c r="M108" s="586"/>
      <c r="N108" s="1149"/>
      <c r="O108" s="1149"/>
      <c r="P108" s="2678"/>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0"/>
      <c r="O109" s="1150"/>
      <c r="P109" s="267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8"/>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8"/>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0"/>
      <c r="O112" s="1150"/>
      <c r="P112" s="2678"/>
      <c r="Q112" s="504"/>
    </row>
    <row r="113" spans="1:17" s="471" customFormat="1" ht="15" thickTop="1">
      <c r="A113" s="593"/>
      <c r="B113" s="538" t="s">
        <v>2689</v>
      </c>
      <c r="C113" s="2970" t="s">
        <v>4230</v>
      </c>
      <c r="D113" s="554"/>
      <c r="E113" s="554"/>
      <c r="F113" s="554"/>
      <c r="G113" s="554"/>
      <c r="H113" s="583"/>
      <c r="I113" s="583"/>
      <c r="J113" s="583"/>
      <c r="K113" s="584"/>
      <c r="L113" s="585"/>
      <c r="M113" s="586"/>
      <c r="N113" s="1151"/>
      <c r="O113" s="1151"/>
      <c r="P113" s="267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1"/>
      <c r="O114" s="1151"/>
      <c r="P114" s="2679"/>
      <c r="Q114" s="559"/>
    </row>
    <row r="115" spans="1:17" ht="15" thickTop="1">
      <c r="A115" s="599"/>
      <c r="B115" s="538" t="s">
        <v>2606</v>
      </c>
      <c r="C115" s="2970" t="s">
        <v>4232</v>
      </c>
      <c r="D115" s="554"/>
      <c r="E115" s="583"/>
      <c r="F115" s="583"/>
      <c r="G115" s="583"/>
      <c r="H115" s="583"/>
      <c r="I115" s="583"/>
      <c r="J115" s="583"/>
      <c r="K115" s="584"/>
      <c r="L115" s="585"/>
      <c r="M115" s="586"/>
      <c r="N115" s="1149"/>
      <c r="O115" s="1149"/>
      <c r="P115" s="2678"/>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0"/>
      <c r="O116" s="1150"/>
      <c r="P116" s="2678"/>
      <c r="Q116" s="504"/>
    </row>
    <row r="117" spans="1:17" ht="15" thickTop="1">
      <c r="A117" s="599"/>
      <c r="B117" s="538" t="s">
        <v>2607</v>
      </c>
      <c r="C117" s="2970" t="s">
        <v>4234</v>
      </c>
      <c r="D117" s="554"/>
      <c r="E117" s="554"/>
      <c r="F117" s="554"/>
      <c r="G117" s="554"/>
      <c r="H117" s="583"/>
      <c r="I117" s="583"/>
      <c r="J117" s="583"/>
      <c r="K117" s="584"/>
      <c r="L117" s="585"/>
      <c r="M117" s="586"/>
      <c r="N117" s="1149"/>
      <c r="O117" s="1149"/>
      <c r="P117" s="267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0"/>
      <c r="O118" s="1150"/>
      <c r="P118" s="2678"/>
      <c r="Q118" s="504"/>
    </row>
    <row r="119" spans="1:17" ht="15" thickTop="1">
      <c r="A119" s="599"/>
      <c r="B119" s="636" t="s">
        <v>2690</v>
      </c>
      <c r="C119" s="2969" t="s">
        <v>4236</v>
      </c>
      <c r="D119" s="583"/>
      <c r="E119" s="583"/>
      <c r="F119" s="583"/>
      <c r="G119" s="583"/>
      <c r="H119" s="583"/>
      <c r="I119" s="583"/>
      <c r="J119" s="583"/>
      <c r="K119" s="583"/>
      <c r="L119" s="2683"/>
      <c r="M119" s="2684"/>
      <c r="N119" s="1150"/>
      <c r="O119" s="1150"/>
      <c r="P119" s="268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0"/>
      <c r="O120" s="1150"/>
      <c r="P120" s="2678"/>
      <c r="Q120" s="504"/>
    </row>
    <row r="121" spans="1:17" s="471" customFormat="1" ht="15" thickTop="1">
      <c r="A121" s="593"/>
      <c r="B121" s="538" t="s">
        <v>2673</v>
      </c>
      <c r="C121" s="554"/>
      <c r="D121" s="554"/>
      <c r="E121" s="554"/>
      <c r="F121" s="583"/>
      <c r="G121" s="555"/>
      <c r="H121" s="555"/>
      <c r="I121" s="555"/>
      <c r="J121" s="555"/>
      <c r="K121" s="555"/>
      <c r="L121" s="556"/>
      <c r="M121" s="557"/>
      <c r="N121" s="1151"/>
      <c r="O121" s="1151"/>
      <c r="P121" s="2679"/>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9"/>
      <c r="Q122" s="559"/>
    </row>
    <row r="123" spans="1:17" ht="15" thickTop="1">
      <c r="A123" s="599"/>
      <c r="B123" s="538" t="s">
        <v>2609</v>
      </c>
      <c r="C123" s="2970" t="s">
        <v>4238</v>
      </c>
      <c r="D123" s="2970" t="s">
        <v>4240</v>
      </c>
      <c r="E123" s="554"/>
      <c r="F123" s="583"/>
      <c r="G123" s="583"/>
      <c r="H123" s="583"/>
      <c r="I123" s="583"/>
      <c r="J123" s="583"/>
      <c r="K123" s="584"/>
      <c r="L123" s="585"/>
      <c r="M123" s="586"/>
      <c r="N123" s="1149"/>
      <c r="O123" s="1149"/>
      <c r="P123" s="2678"/>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0"/>
      <c r="O124" s="1150"/>
      <c r="P124" s="267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49"/>
      <c r="O125" s="1149"/>
      <c r="P125" s="267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0"/>
      <c r="O126" s="1150"/>
      <c r="P126" s="2678"/>
      <c r="Q126" s="504"/>
    </row>
    <row r="127" spans="1:17" s="471" customFormat="1" ht="15" thickTop="1">
      <c r="A127" s="593"/>
      <c r="B127" s="538">
        <f>B45</f>
        <v>0</v>
      </c>
      <c r="C127" s="554"/>
      <c r="D127" s="554"/>
      <c r="E127" s="554"/>
      <c r="F127" s="554"/>
      <c r="G127" s="554"/>
      <c r="H127" s="555"/>
      <c r="I127" s="555"/>
      <c r="J127" s="555"/>
      <c r="K127" s="555"/>
      <c r="L127" s="556"/>
      <c r="M127" s="557"/>
      <c r="N127" s="1151"/>
      <c r="O127" s="1151"/>
      <c r="P127" s="2679"/>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9"/>
      <c r="Q128" s="559"/>
    </row>
    <row r="129" spans="1:17" ht="15" thickTop="1">
      <c r="A129" s="599"/>
      <c r="B129" s="538">
        <f>B46</f>
        <v>0</v>
      </c>
      <c r="C129" s="554"/>
      <c r="D129" s="554"/>
      <c r="E129" s="554"/>
      <c r="F129" s="554"/>
      <c r="G129" s="583"/>
      <c r="H129" s="583"/>
      <c r="I129" s="583"/>
      <c r="J129" s="583"/>
      <c r="K129" s="584"/>
      <c r="L129" s="585"/>
      <c r="M129" s="586"/>
      <c r="N129" s="1149"/>
      <c r="O129" s="1149"/>
      <c r="P129" s="2678"/>
      <c r="Q129" s="504"/>
    </row>
    <row r="130" spans="1:17" ht="15.75" thickBot="1">
      <c r="A130" s="534"/>
      <c r="B130" s="543"/>
      <c r="C130" s="560"/>
      <c r="D130" s="560"/>
      <c r="E130" s="560"/>
      <c r="F130" s="560"/>
      <c r="G130" s="536"/>
      <c r="H130" s="536"/>
      <c r="I130" s="536"/>
      <c r="J130" s="536"/>
      <c r="K130" s="536"/>
      <c r="L130" s="536"/>
      <c r="M130" s="537"/>
      <c r="N130" s="1150"/>
      <c r="O130" s="1150"/>
      <c r="P130" s="2678"/>
      <c r="Q130" s="504"/>
    </row>
    <row r="131" spans="1:17" ht="15" thickTop="1">
      <c r="A131" s="599"/>
      <c r="B131" s="546">
        <f>B47</f>
        <v>0</v>
      </c>
      <c r="C131" s="523"/>
      <c r="D131" s="523"/>
      <c r="E131" s="523"/>
      <c r="F131" s="523"/>
      <c r="G131" s="587"/>
      <c r="H131" s="587"/>
      <c r="I131" s="587"/>
      <c r="J131" s="587"/>
      <c r="K131" s="523"/>
      <c r="L131" s="524"/>
      <c r="M131" s="590"/>
      <c r="N131" s="1149"/>
      <c r="O131" s="1149"/>
      <c r="P131" s="2678"/>
      <c r="Q131" s="504"/>
    </row>
    <row r="132" spans="1:17" ht="15.75" thickBot="1">
      <c r="A132" s="2630"/>
      <c r="B132" s="569"/>
      <c r="C132" s="570"/>
      <c r="D132" s="570"/>
      <c r="E132" s="570"/>
      <c r="F132" s="570"/>
      <c r="G132" s="591"/>
      <c r="H132" s="591"/>
      <c r="I132" s="591"/>
      <c r="J132" s="591"/>
      <c r="K132" s="591"/>
      <c r="L132" s="591"/>
      <c r="M132" s="592"/>
      <c r="N132" s="1150"/>
      <c r="O132" s="1150"/>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K11" sqref="K1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2517</v>
      </c>
      <c r="B1" s="2576" t="s">
        <v>2518</v>
      </c>
      <c r="C1" s="1630" t="s">
        <v>2519</v>
      </c>
      <c r="D1" s="1617" t="s">
        <v>3047</v>
      </c>
      <c r="E1" s="2577"/>
      <c r="F1" s="2578" t="s">
        <v>2520</v>
      </c>
      <c r="G1" s="1627" t="s">
        <v>2521</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1394</v>
      </c>
      <c r="B2" s="1415">
        <f>IF(C2="——",ROUND(C49*D3/10000,0),ROUND(C49*D3/10000,0)-D2)</f>
        <v>217084</v>
      </c>
      <c r="C2" s="2580" t="s">
        <v>70</v>
      </c>
      <c r="D2" s="1362" t="e">
        <f ca="1">SUMIF(INDIRECT("'"&amp;F2&amp;"'"&amp;"!A:A"),"承租人权益价值",INDIRECT("'"&amp;F2&amp;"'"&amp;"!c:c"))</f>
        <v>#REF!</v>
      </c>
      <c r="E2" s="2581" t="s">
        <v>2522</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1395</v>
      </c>
      <c r="B3" s="399">
        <f>IF(C2="——",C49,ROUND(B2*10000/D3,0))</f>
        <v>25084</v>
      </c>
      <c r="C3" s="400" t="s">
        <v>2523</v>
      </c>
      <c r="D3" s="399">
        <f>IF(D1="",'数据-汇总表'!E3,SUMIF('数据-汇总表'!$C19:$C33,D1,'数据-汇总表'!$E19:$E33))</f>
        <v>86542.98</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1" t="s">
        <v>2524</v>
      </c>
      <c r="B4" s="402"/>
      <c r="C4" s="3212" t="s">
        <v>2525</v>
      </c>
      <c r="D4" s="3225"/>
      <c r="E4" s="3226" t="s">
        <v>2526</v>
      </c>
      <c r="F4" s="3227"/>
      <c r="G4" s="3212" t="s">
        <v>2527</v>
      </c>
      <c r="H4" s="3225"/>
      <c r="I4" s="3212" t="s">
        <v>2528</v>
      </c>
      <c r="J4" s="3225"/>
      <c r="K4" s="2590" t="s">
        <v>2529</v>
      </c>
      <c r="L4" s="1127"/>
      <c r="M4" s="1128"/>
      <c r="N4" s="1128"/>
      <c r="O4" s="1128"/>
      <c r="P4" s="3228" t="s">
        <v>2530</v>
      </c>
      <c r="Q4" s="3229"/>
      <c r="R4" s="3234" t="s">
        <v>2526</v>
      </c>
      <c r="S4" s="3235"/>
      <c r="T4" s="3234" t="s">
        <v>2527</v>
      </c>
      <c r="U4" s="3235"/>
      <c r="V4" s="3221" t="s">
        <v>2528</v>
      </c>
      <c r="W4" s="3221"/>
      <c r="X4" s="1809"/>
      <c r="Y4" s="3234" t="s">
        <v>2530</v>
      </c>
      <c r="Z4" s="3235"/>
      <c r="AA4" s="3222" t="s">
        <v>2526</v>
      </c>
      <c r="AB4" s="3222" t="s">
        <v>2527</v>
      </c>
      <c r="AC4" s="3222" t="s">
        <v>2528</v>
      </c>
    </row>
    <row r="5" spans="1:29" ht="15">
      <c r="A5" s="404"/>
      <c r="B5" s="405"/>
      <c r="C5" s="3242" t="s">
        <v>2531</v>
      </c>
      <c r="D5" s="3243"/>
      <c r="E5" s="3283" t="s">
        <v>4263</v>
      </c>
      <c r="F5" s="3250"/>
      <c r="G5" s="3279" t="s">
        <v>4264</v>
      </c>
      <c r="H5" s="3243"/>
      <c r="I5" s="3360" t="s">
        <v>4281</v>
      </c>
      <c r="J5" s="3361"/>
      <c r="K5" s="2591"/>
      <c r="L5" s="1127"/>
      <c r="M5" s="1128"/>
      <c r="N5" s="1128"/>
      <c r="O5" s="1128"/>
      <c r="P5" s="3230"/>
      <c r="Q5" s="3231"/>
      <c r="R5" s="3236"/>
      <c r="S5" s="3237"/>
      <c r="T5" s="3236"/>
      <c r="U5" s="3237"/>
      <c r="V5" s="3221"/>
      <c r="W5" s="3221"/>
      <c r="X5" s="1809"/>
      <c r="Y5" s="3236"/>
      <c r="Z5" s="3237"/>
      <c r="AA5" s="3223"/>
      <c r="AB5" s="3223"/>
      <c r="AC5" s="3223"/>
    </row>
    <row r="6" spans="1:29" ht="15.75" thickBot="1">
      <c r="A6" s="406"/>
      <c r="B6" s="407"/>
      <c r="C6" s="3240" t="s">
        <v>2535</v>
      </c>
      <c r="D6" s="3241"/>
      <c r="E6" s="3281" t="s">
        <v>4262</v>
      </c>
      <c r="F6" s="3248"/>
      <c r="G6" s="3278" t="s">
        <v>4260</v>
      </c>
      <c r="H6" s="3241"/>
      <c r="I6" s="3240" t="s">
        <v>2535</v>
      </c>
      <c r="J6" s="3241"/>
      <c r="K6" s="2591" t="s">
        <v>2536</v>
      </c>
      <c r="L6" s="1127"/>
      <c r="M6" s="1128"/>
      <c r="N6" s="1128"/>
      <c r="O6" s="1128"/>
      <c r="P6" s="3232"/>
      <c r="Q6" s="3233"/>
      <c r="R6" s="3236"/>
      <c r="S6" s="3237"/>
      <c r="T6" s="3238"/>
      <c r="U6" s="3239"/>
      <c r="V6" s="3221"/>
      <c r="W6" s="3221"/>
      <c r="X6" s="1809"/>
      <c r="Y6" s="3238"/>
      <c r="Z6" s="3239"/>
      <c r="AA6" s="3224"/>
      <c r="AB6" s="3224"/>
      <c r="AC6" s="3224"/>
    </row>
    <row r="7" spans="1:29" s="117" customFormat="1" ht="15.75" thickBot="1">
      <c r="A7" s="408" t="s">
        <v>2537</v>
      </c>
      <c r="B7" s="409"/>
      <c r="C7" s="410">
        <f>'数据-取费表'!B2</f>
        <v>43332</v>
      </c>
      <c r="D7" s="411">
        <v>100</v>
      </c>
      <c r="E7" s="412">
        <v>43313</v>
      </c>
      <c r="F7" s="413">
        <f>SUMIF(58:58,YEAR(E7)&amp;"-"&amp;MONTH(E7),59:59)</f>
        <v>100</v>
      </c>
      <c r="G7" s="412">
        <f>E7</f>
        <v>43313</v>
      </c>
      <c r="H7" s="411">
        <f>SUMIF(58:58,YEAR(G7)&amp;"-"&amp;MONTH(G7),59:59)</f>
        <v>100</v>
      </c>
      <c r="I7" s="412">
        <f>G7</f>
        <v>43313</v>
      </c>
      <c r="J7" s="411">
        <f>SUMIF(58:58,YEAR(I7)&amp;"-"&amp;MONTH(I7),59:59)</f>
        <v>100</v>
      </c>
      <c r="K7" s="2592"/>
      <c r="L7" s="1129"/>
      <c r="M7" s="1130"/>
      <c r="N7" s="1130"/>
      <c r="O7" s="1130"/>
      <c r="P7" s="3244" t="s">
        <v>2538</v>
      </c>
      <c r="Q7" s="3246"/>
      <c r="R7" s="770" t="s">
        <v>23</v>
      </c>
      <c r="S7" s="771">
        <f t="shared" ref="S7:S15" si="0">F7</f>
        <v>100</v>
      </c>
      <c r="T7" s="770" t="s">
        <v>23</v>
      </c>
      <c r="U7" s="771">
        <f t="shared" ref="U7:U15" si="1">H7</f>
        <v>100</v>
      </c>
      <c r="V7" s="770" t="s">
        <v>23</v>
      </c>
      <c r="W7" s="771">
        <f t="shared" ref="W7:W15" si="2">J7</f>
        <v>100</v>
      </c>
      <c r="X7" s="772"/>
      <c r="Y7" s="3244" t="s">
        <v>2538</v>
      </c>
      <c r="Z7" s="3245"/>
      <c r="AA7" s="773">
        <f>D7/F7</f>
        <v>1</v>
      </c>
      <c r="AB7" s="773">
        <f>D7/H7</f>
        <v>1</v>
      </c>
      <c r="AC7" s="773">
        <f>D7/J7</f>
        <v>1</v>
      </c>
    </row>
    <row r="8" spans="1:29" s="117" customFormat="1" ht="15.75" thickBot="1">
      <c r="A8" s="408" t="s">
        <v>2539</v>
      </c>
      <c r="B8" s="409"/>
      <c r="C8" s="414" t="s">
        <v>2540</v>
      </c>
      <c r="D8" s="411">
        <v>100</v>
      </c>
      <c r="E8" s="2593" t="s">
        <v>3191</v>
      </c>
      <c r="F8" s="413">
        <f>SUMIF(61:61,E8,62:62)-SUMIF(61:61,C8,62:62)+100</f>
        <v>100</v>
      </c>
      <c r="G8" s="414" t="s">
        <v>3191</v>
      </c>
      <c r="H8" s="411">
        <f>SUMIF(61:61,G8,62:62)-SUMIF(61:61,C8,62:62)+100</f>
        <v>100</v>
      </c>
      <c r="I8" s="414" t="s">
        <v>3191</v>
      </c>
      <c r="J8" s="411">
        <f>SUMIF(61:61,I8,62:62)-SUMIF(61:61,C8,62:62)+100</f>
        <v>100</v>
      </c>
      <c r="K8" s="2592"/>
      <c r="L8" s="1129"/>
      <c r="M8" s="1130"/>
      <c r="N8" s="1130"/>
      <c r="O8" s="1130"/>
      <c r="P8" s="3244" t="s">
        <v>2541</v>
      </c>
      <c r="Q8" s="3245"/>
      <c r="R8" s="770" t="s">
        <v>23</v>
      </c>
      <c r="S8" s="771">
        <f t="shared" si="0"/>
        <v>100</v>
      </c>
      <c r="T8" s="770" t="s">
        <v>23</v>
      </c>
      <c r="U8" s="771">
        <f t="shared" si="1"/>
        <v>100</v>
      </c>
      <c r="V8" s="770" t="s">
        <v>23</v>
      </c>
      <c r="W8" s="771">
        <f t="shared" si="2"/>
        <v>100</v>
      </c>
      <c r="X8" s="772"/>
      <c r="Y8" s="3244" t="s">
        <v>2541</v>
      </c>
      <c r="Z8" s="3245"/>
      <c r="AA8" s="773">
        <f t="shared" ref="AA8:AA19" si="3">D8/F8</f>
        <v>1</v>
      </c>
      <c r="AB8" s="773">
        <f t="shared" ref="AB8:AB19" si="4">D8/H8</f>
        <v>1</v>
      </c>
      <c r="AC8" s="773">
        <f t="shared" ref="AC8:AC19" si="5">D8/J8</f>
        <v>1</v>
      </c>
    </row>
    <row r="9" spans="1:29" s="117" customFormat="1">
      <c r="A9" s="415" t="s">
        <v>2542</v>
      </c>
      <c r="B9" s="71" t="s">
        <v>2543</v>
      </c>
      <c r="C9" s="3008" t="s">
        <v>4247</v>
      </c>
      <c r="D9" s="135">
        <v>100</v>
      </c>
      <c r="E9" s="417" t="s">
        <v>3047</v>
      </c>
      <c r="F9" s="418">
        <f>SUMIF(63:63,E9,64:64)-SUMIF(63:63,C9,64:64)+100</f>
        <v>100</v>
      </c>
      <c r="G9" s="419" t="s">
        <v>3047</v>
      </c>
      <c r="H9" s="135">
        <f>SUMIF(63:63,G9,64:64)-SUMIF(63:63,C9,64:64)+100</f>
        <v>100</v>
      </c>
      <c r="I9" s="419" t="s">
        <v>3047</v>
      </c>
      <c r="J9" s="135">
        <f>SUMIF(63:63,I9,64:64)-SUMIF(63:63,C9,64:64)+100</f>
        <v>100</v>
      </c>
      <c r="K9" s="2592"/>
      <c r="L9" s="1129"/>
      <c r="M9" s="1130"/>
      <c r="N9" s="1130"/>
      <c r="O9" s="1130"/>
      <c r="P9" s="3214" t="s">
        <v>2544</v>
      </c>
      <c r="Q9" s="1791" t="str">
        <f t="shared" ref="Q9:Q15" si="6">B9</f>
        <v>用途</v>
      </c>
      <c r="R9" s="770" t="s">
        <v>17</v>
      </c>
      <c r="S9" s="771">
        <f t="shared" si="0"/>
        <v>100</v>
      </c>
      <c r="T9" s="770" t="s">
        <v>17</v>
      </c>
      <c r="U9" s="771">
        <f t="shared" si="1"/>
        <v>100</v>
      </c>
      <c r="V9" s="770" t="s">
        <v>17</v>
      </c>
      <c r="W9" s="771">
        <f t="shared" si="2"/>
        <v>100</v>
      </c>
      <c r="X9" s="772"/>
      <c r="Y9" s="3059" t="s">
        <v>2545</v>
      </c>
      <c r="Z9" s="55" t="str">
        <f t="shared" ref="Z9:Z15" si="7">Q9</f>
        <v>用途</v>
      </c>
      <c r="AA9" s="773">
        <f t="shared" si="3"/>
        <v>1</v>
      </c>
      <c r="AB9" s="773">
        <f t="shared" si="4"/>
        <v>1</v>
      </c>
      <c r="AC9" s="773">
        <f t="shared" si="5"/>
        <v>1</v>
      </c>
    </row>
    <row r="10" spans="1:29" s="427" customFormat="1" ht="27">
      <c r="A10" s="421"/>
      <c r="B10" s="422" t="s">
        <v>2546</v>
      </c>
      <c r="C10" s="423" t="s">
        <v>4221</v>
      </c>
      <c r="D10" s="136">
        <v>100</v>
      </c>
      <c r="E10" s="424" t="s">
        <v>4248</v>
      </c>
      <c r="F10" s="425">
        <f>SUMIF(65:65,E10,66:66)-SUMIF(65:65,C10,66:66)+100</f>
        <v>101</v>
      </c>
      <c r="G10" s="423" t="s">
        <v>4248</v>
      </c>
      <c r="H10" s="136">
        <f>SUMIF(65:65,G10,66:66)-SUMIF(65:65,C10,66:66)+100</f>
        <v>101</v>
      </c>
      <c r="I10" s="423" t="s">
        <v>4248</v>
      </c>
      <c r="J10" s="136">
        <f>SUMIF(65:65,I10,66:66)-SUMIF(65:65,C10,66:66)+100</f>
        <v>101</v>
      </c>
      <c r="K10" s="426">
        <v>1</v>
      </c>
      <c r="L10" s="1132"/>
      <c r="M10" s="1133"/>
      <c r="N10" s="1133"/>
      <c r="O10" s="1133"/>
      <c r="P10" s="3214"/>
      <c r="Q10" s="1791" t="str">
        <f t="shared" si="6"/>
        <v>土地使用年限（年）</v>
      </c>
      <c r="R10" s="770" t="s">
        <v>17</v>
      </c>
      <c r="S10" s="771">
        <f t="shared" si="0"/>
        <v>101</v>
      </c>
      <c r="T10" s="770" t="s">
        <v>17</v>
      </c>
      <c r="U10" s="771">
        <f t="shared" si="1"/>
        <v>101</v>
      </c>
      <c r="V10" s="770" t="s">
        <v>17</v>
      </c>
      <c r="W10" s="771">
        <f t="shared" si="2"/>
        <v>101</v>
      </c>
      <c r="X10" s="772"/>
      <c r="Y10" s="3059"/>
      <c r="Z10" s="55" t="str">
        <f t="shared" si="7"/>
        <v>土地使用年限（年）</v>
      </c>
      <c r="AA10" s="773">
        <f t="shared" si="3"/>
        <v>0.99009900990099009</v>
      </c>
      <c r="AB10" s="773">
        <f t="shared" si="4"/>
        <v>0.99009900990099009</v>
      </c>
      <c r="AC10" s="773">
        <f t="shared" si="5"/>
        <v>0.99009900990099009</v>
      </c>
    </row>
    <row r="11" spans="1:29" ht="15">
      <c r="A11" s="428"/>
      <c r="B11" s="422" t="s">
        <v>2547</v>
      </c>
      <c r="C11" s="429">
        <f>'数据-汇总表'!I6</f>
        <v>8.8699999999999992</v>
      </c>
      <c r="D11" s="136">
        <v>100</v>
      </c>
      <c r="E11" s="430">
        <v>4</v>
      </c>
      <c r="F11" s="425">
        <f>LOOKUP(E11,68:68,69:69)-LOOKUP(C11,68:68,69:69)+100</f>
        <v>101</v>
      </c>
      <c r="G11" s="429">
        <v>17.43</v>
      </c>
      <c r="H11" s="136">
        <f>LOOKUP(G11,68:68,69:69)-LOOKUP(C11,68:68,69:69)+100</f>
        <v>98</v>
      </c>
      <c r="I11" s="3359">
        <v>3.83</v>
      </c>
      <c r="J11" s="136">
        <f>LOOKUP(I11,68:68,69:69)-LOOKUP(C11,68:68,69:69)+100</f>
        <v>101</v>
      </c>
      <c r="K11" s="426">
        <f>'比较法-办公'!K11</f>
        <v>1</v>
      </c>
      <c r="L11" s="1135"/>
      <c r="M11" s="1128"/>
      <c r="N11" s="1128"/>
      <c r="O11" s="1128"/>
      <c r="P11" s="3214"/>
      <c r="Q11" s="1791" t="str">
        <f t="shared" si="6"/>
        <v>容积率</v>
      </c>
      <c r="R11" s="770" t="s">
        <v>21</v>
      </c>
      <c r="S11" s="771">
        <f t="shared" si="0"/>
        <v>101</v>
      </c>
      <c r="T11" s="770" t="s">
        <v>21</v>
      </c>
      <c r="U11" s="771">
        <f t="shared" si="1"/>
        <v>98</v>
      </c>
      <c r="V11" s="770" t="s">
        <v>21</v>
      </c>
      <c r="W11" s="771">
        <f t="shared" si="2"/>
        <v>101</v>
      </c>
      <c r="X11" s="772"/>
      <c r="Y11" s="3059"/>
      <c r="Z11" s="55" t="str">
        <f t="shared" si="7"/>
        <v>容积率</v>
      </c>
      <c r="AA11" s="773">
        <f t="shared" si="3"/>
        <v>0.99009900990099009</v>
      </c>
      <c r="AB11" s="773">
        <f t="shared" si="4"/>
        <v>1.0204081632653061</v>
      </c>
      <c r="AC11" s="773">
        <f t="shared" si="5"/>
        <v>0.99009900990099009</v>
      </c>
    </row>
    <row r="12" spans="1:29" s="117" customFormat="1" ht="15">
      <c r="A12" s="431"/>
      <c r="B12" s="2594"/>
      <c r="C12" s="432"/>
      <c r="D12" s="433">
        <v>100</v>
      </c>
      <c r="E12" s="432"/>
      <c r="F12" s="425">
        <f>SUMIF(70:70,E12,71:71)-SUMIF(70:70,C12,71:71)+100</f>
        <v>100</v>
      </c>
      <c r="G12" s="432"/>
      <c r="H12" s="136">
        <f>SUMIF(70:70,G12,71:71)-SUMIF(70:70,C12,71:71)+100</f>
        <v>100</v>
      </c>
      <c r="I12" s="432"/>
      <c r="J12" s="136">
        <f>SUMIF(70:70,I12,71:71)-SUMIF(70:70,C12,71:71)+100</f>
        <v>100</v>
      </c>
      <c r="K12" s="2595"/>
      <c r="L12" s="1129"/>
      <c r="M12" s="1130"/>
      <c r="N12" s="1130"/>
      <c r="O12" s="1130"/>
      <c r="P12" s="3214"/>
      <c r="Q12" s="1791">
        <f t="shared" si="6"/>
        <v>0</v>
      </c>
      <c r="R12" s="770" t="s">
        <v>21</v>
      </c>
      <c r="S12" s="771">
        <f t="shared" si="0"/>
        <v>100</v>
      </c>
      <c r="T12" s="770" t="s">
        <v>21</v>
      </c>
      <c r="U12" s="771">
        <f t="shared" si="1"/>
        <v>100</v>
      </c>
      <c r="V12" s="770" t="s">
        <v>21</v>
      </c>
      <c r="W12" s="771">
        <f t="shared" si="2"/>
        <v>100</v>
      </c>
      <c r="X12" s="772"/>
      <c r="Y12" s="3059"/>
      <c r="Z12" s="55">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2595"/>
      <c r="L13" s="1137"/>
      <c r="M13" s="1128"/>
      <c r="N13" s="1128"/>
      <c r="O13" s="1128"/>
      <c r="P13" s="3214"/>
      <c r="Q13" s="1791">
        <f t="shared" si="6"/>
        <v>0</v>
      </c>
      <c r="R13" s="770" t="s">
        <v>21</v>
      </c>
      <c r="S13" s="771">
        <f t="shared" si="0"/>
        <v>100</v>
      </c>
      <c r="T13" s="770" t="s">
        <v>21</v>
      </c>
      <c r="U13" s="771">
        <f t="shared" si="1"/>
        <v>100</v>
      </c>
      <c r="V13" s="770" t="s">
        <v>21</v>
      </c>
      <c r="W13" s="771">
        <f t="shared" si="2"/>
        <v>100</v>
      </c>
      <c r="X13" s="772"/>
      <c r="Y13" s="3059"/>
      <c r="Z13" s="55">
        <f t="shared" si="7"/>
        <v>0</v>
      </c>
      <c r="AA13" s="773">
        <f t="shared" si="3"/>
        <v>1</v>
      </c>
      <c r="AB13" s="773">
        <f t="shared" si="4"/>
        <v>1</v>
      </c>
      <c r="AC13" s="773">
        <f t="shared" si="5"/>
        <v>1</v>
      </c>
    </row>
    <row r="14" spans="1:29" ht="15.75" thickBot="1">
      <c r="A14" s="436"/>
      <c r="B14" s="2596"/>
      <c r="C14" s="437"/>
      <c r="D14" s="438">
        <v>100</v>
      </c>
      <c r="E14" s="437"/>
      <c r="F14" s="439">
        <f>SUMIF(74:74,E14,75:75)-SUMIF(74:74,C14,75:75)+100</f>
        <v>100</v>
      </c>
      <c r="G14" s="437"/>
      <c r="H14" s="438">
        <f>SUMIF(74:74,G14,75:75)-SUMIF(74:74,C14,75:75)+100</f>
        <v>100</v>
      </c>
      <c r="I14" s="437"/>
      <c r="J14" s="438">
        <f>SUMIF(74:74,I14,75:75)-SUMIF(74:74,C14,75:75)+100</f>
        <v>100</v>
      </c>
      <c r="K14" s="2595"/>
      <c r="L14" s="1137"/>
      <c r="M14" s="1128"/>
      <c r="N14" s="1128"/>
      <c r="O14" s="1128"/>
      <c r="P14" s="3214"/>
      <c r="Q14" s="1791">
        <f t="shared" si="6"/>
        <v>0</v>
      </c>
      <c r="R14" s="770" t="s">
        <v>21</v>
      </c>
      <c r="S14" s="771">
        <f t="shared" si="0"/>
        <v>100</v>
      </c>
      <c r="T14" s="770" t="s">
        <v>21</v>
      </c>
      <c r="U14" s="771">
        <f t="shared" si="1"/>
        <v>100</v>
      </c>
      <c r="V14" s="770" t="s">
        <v>21</v>
      </c>
      <c r="W14" s="771">
        <f t="shared" si="2"/>
        <v>100</v>
      </c>
      <c r="X14" s="772"/>
      <c r="Y14" s="3059"/>
      <c r="Z14" s="55">
        <f t="shared" si="7"/>
        <v>0</v>
      </c>
      <c r="AA14" s="773">
        <f t="shared" si="3"/>
        <v>1</v>
      </c>
      <c r="AB14" s="773">
        <f t="shared" si="4"/>
        <v>1</v>
      </c>
      <c r="AC14" s="773">
        <f t="shared" si="5"/>
        <v>1</v>
      </c>
    </row>
    <row r="15" spans="1:29" ht="57">
      <c r="A15" s="440" t="s">
        <v>2548</v>
      </c>
      <c r="B15" s="69" t="s">
        <v>2084</v>
      </c>
      <c r="C15" s="2597" t="str">
        <f>估价对象房地状况!C3</f>
        <v>周边居住用地比例、居住小区规模和社区发展完善程度</v>
      </c>
      <c r="D15" s="441">
        <v>100</v>
      </c>
      <c r="E15" s="444"/>
      <c r="F15" s="441">
        <f>SUMIF(76:76,E16,77:77)-SUMIF(76:76,C16,77:77)+100</f>
        <v>100</v>
      </c>
      <c r="G15" s="444"/>
      <c r="H15" s="441">
        <f>SUMIF(76:76,G16,77:77)-SUMIF(76:76,C16,77:77)+100</f>
        <v>100</v>
      </c>
      <c r="I15" s="442"/>
      <c r="J15" s="441">
        <f>SUMIF(76:76,I16,77:77)-SUMIF(76:76,C16,77:77)+100</f>
        <v>100</v>
      </c>
      <c r="K15" s="445">
        <v>5</v>
      </c>
      <c r="L15" s="1137"/>
      <c r="M15" s="1128"/>
      <c r="N15" s="1128"/>
      <c r="O15" s="1128"/>
      <c r="P15" s="3259" t="s">
        <v>2549</v>
      </c>
      <c r="Q15" s="1806" t="str">
        <f t="shared" si="6"/>
        <v>居住社区成熟度</v>
      </c>
      <c r="R15" s="774" t="s">
        <v>21</v>
      </c>
      <c r="S15" s="775">
        <f t="shared" si="0"/>
        <v>100</v>
      </c>
      <c r="T15" s="774" t="s">
        <v>21</v>
      </c>
      <c r="U15" s="775">
        <f t="shared" si="1"/>
        <v>100</v>
      </c>
      <c r="V15" s="774" t="s">
        <v>21</v>
      </c>
      <c r="W15" s="775">
        <f t="shared" si="2"/>
        <v>100</v>
      </c>
      <c r="X15" s="1809"/>
      <c r="Y15" s="3217" t="s">
        <v>2549</v>
      </c>
      <c r="Z15" s="1810" t="str">
        <f t="shared" si="7"/>
        <v>居住社区成熟度</v>
      </c>
      <c r="AA15" s="1807">
        <f t="shared" si="3"/>
        <v>1</v>
      </c>
      <c r="AB15" s="1807">
        <f t="shared" si="4"/>
        <v>1</v>
      </c>
      <c r="AC15" s="1807">
        <f t="shared" si="5"/>
        <v>1</v>
      </c>
    </row>
    <row r="16" spans="1:29" ht="15">
      <c r="A16" s="428"/>
      <c r="B16" s="446"/>
      <c r="C16" s="447" t="s">
        <v>3193</v>
      </c>
      <c r="D16" s="448"/>
      <c r="E16" s="2598" t="s">
        <v>3193</v>
      </c>
      <c r="F16" s="448"/>
      <c r="G16" s="2598" t="s">
        <v>3193</v>
      </c>
      <c r="H16" s="450"/>
      <c r="I16" s="2599" t="s">
        <v>3193</v>
      </c>
      <c r="J16" s="448"/>
      <c r="K16" s="2600"/>
      <c r="L16" s="1137"/>
      <c r="M16" s="1128"/>
      <c r="N16" s="1128"/>
      <c r="O16" s="1128"/>
      <c r="P16" s="3260"/>
      <c r="Q16" s="1806"/>
      <c r="R16" s="774"/>
      <c r="S16" s="775"/>
      <c r="T16" s="774"/>
      <c r="U16" s="775"/>
      <c r="V16" s="774"/>
      <c r="W16" s="775"/>
      <c r="X16" s="1809"/>
      <c r="Y16" s="3218"/>
      <c r="Z16" s="1810"/>
      <c r="AA16" s="1807">
        <v>1</v>
      </c>
      <c r="AB16" s="1807">
        <v>1</v>
      </c>
      <c r="AC16" s="1807">
        <v>1</v>
      </c>
    </row>
    <row r="17" spans="1:29" ht="71.25">
      <c r="A17" s="428"/>
      <c r="B17" s="451" t="s">
        <v>2090</v>
      </c>
      <c r="C17" s="2601" t="str">
        <f>估价对象房地状况!C6</f>
        <v>周边道路状况、公共交通通达情况、停车便捷程度（地铁三号线观音桥</v>
      </c>
      <c r="D17" s="450">
        <v>100</v>
      </c>
      <c r="E17" s="454"/>
      <c r="F17" s="450">
        <f>SUMIF(78:78,E18,79:79)-SUMIF(78:78,C18,79:79)+100</f>
        <v>95</v>
      </c>
      <c r="G17" s="454"/>
      <c r="H17" s="455">
        <f>SUMIF(78:78,G18,79:79)-SUMIF(78:78,C18,79:79)+100</f>
        <v>100</v>
      </c>
      <c r="I17" s="452"/>
      <c r="J17" s="455">
        <f>SUMIF(78:78,I18,79:79)-SUMIF(78:78,C18,79:79)+100</f>
        <v>100</v>
      </c>
      <c r="K17" s="445">
        <v>5</v>
      </c>
      <c r="L17" s="1137"/>
      <c r="M17" s="1128"/>
      <c r="N17" s="1128"/>
      <c r="O17" s="1128"/>
      <c r="P17" s="3260"/>
      <c r="Q17" s="1806" t="str">
        <f>B17</f>
        <v>交通便捷度</v>
      </c>
      <c r="R17" s="774" t="s">
        <v>21</v>
      </c>
      <c r="S17" s="775">
        <f>F17</f>
        <v>95</v>
      </c>
      <c r="T17" s="774" t="s">
        <v>21</v>
      </c>
      <c r="U17" s="775">
        <f>H17</f>
        <v>100</v>
      </c>
      <c r="V17" s="774" t="s">
        <v>21</v>
      </c>
      <c r="W17" s="775">
        <f>J17</f>
        <v>100</v>
      </c>
      <c r="X17" s="1809"/>
      <c r="Y17" s="3218"/>
      <c r="Z17" s="1810" t="str">
        <f>Q17</f>
        <v>交通便捷度</v>
      </c>
      <c r="AA17" s="1807">
        <f t="shared" si="3"/>
        <v>1.0526315789473684</v>
      </c>
      <c r="AB17" s="1807">
        <f t="shared" si="4"/>
        <v>1</v>
      </c>
      <c r="AC17" s="1807">
        <f t="shared" si="5"/>
        <v>1</v>
      </c>
    </row>
    <row r="18" spans="1:29" ht="15">
      <c r="A18" s="428"/>
      <c r="B18" s="456"/>
      <c r="C18" s="2670" t="s">
        <v>3193</v>
      </c>
      <c r="D18" s="450"/>
      <c r="E18" s="3356" t="s">
        <v>3176</v>
      </c>
      <c r="F18" s="450"/>
      <c r="G18" s="2603" t="s">
        <v>3193</v>
      </c>
      <c r="H18" s="448"/>
      <c r="I18" s="2604" t="s">
        <v>3193</v>
      </c>
      <c r="J18" s="448"/>
      <c r="K18" s="2600"/>
      <c r="L18" s="1137"/>
      <c r="M18" s="1128"/>
      <c r="N18" s="1128"/>
      <c r="O18" s="1128"/>
      <c r="P18" s="3260"/>
      <c r="Q18" s="1806"/>
      <c r="R18" s="774"/>
      <c r="S18" s="775"/>
      <c r="T18" s="774"/>
      <c r="U18" s="775"/>
      <c r="V18" s="774"/>
      <c r="W18" s="775"/>
      <c r="X18" s="1809"/>
      <c r="Y18" s="3218"/>
      <c r="Z18" s="1810"/>
      <c r="AA18" s="1807">
        <v>1</v>
      </c>
      <c r="AB18" s="1807">
        <v>1</v>
      </c>
      <c r="AC18" s="1807">
        <v>1</v>
      </c>
    </row>
    <row r="19" spans="1:29" ht="15">
      <c r="A19" s="428"/>
      <c r="B19" s="451" t="s">
        <v>2089</v>
      </c>
      <c r="C19" s="2601">
        <f>估价对象房地状况!C7</f>
        <v>0</v>
      </c>
      <c r="D19" s="455">
        <v>100</v>
      </c>
      <c r="E19" s="459"/>
      <c r="F19" s="455">
        <f>SUMIF(80:80,E20,81:81)-SUMIF(80:80,C20,81:81)+100</f>
        <v>100</v>
      </c>
      <c r="G19" s="459"/>
      <c r="H19" s="450">
        <f>SUMIF(80:80,G20,81:81)-SUMIF(80:80,C20,81:81)+100</f>
        <v>100</v>
      </c>
      <c r="I19" s="457"/>
      <c r="J19" s="450">
        <f>SUMIF(80:80,I20,81:81)-SUMIF(80:80,C20,81:81)+100</f>
        <v>100</v>
      </c>
      <c r="K19" s="445">
        <v>5</v>
      </c>
      <c r="L19" s="1137"/>
      <c r="M19" s="1128"/>
      <c r="N19" s="1128"/>
      <c r="O19" s="1128"/>
      <c r="P19" s="3260"/>
      <c r="Q19" s="1806" t="str">
        <f>B19</f>
        <v>公共配套设施</v>
      </c>
      <c r="R19" s="774" t="s">
        <v>21</v>
      </c>
      <c r="S19" s="775">
        <f>F19</f>
        <v>100</v>
      </c>
      <c r="T19" s="774" t="s">
        <v>21</v>
      </c>
      <c r="U19" s="775">
        <f>H19</f>
        <v>100</v>
      </c>
      <c r="V19" s="774" t="s">
        <v>21</v>
      </c>
      <c r="W19" s="775">
        <f>J19</f>
        <v>100</v>
      </c>
      <c r="X19" s="1809"/>
      <c r="Y19" s="3218"/>
      <c r="Z19" s="1810" t="str">
        <f>Q19</f>
        <v>公共配套设施</v>
      </c>
      <c r="AA19" s="1807">
        <f t="shared" si="3"/>
        <v>1</v>
      </c>
      <c r="AB19" s="1807">
        <f t="shared" si="4"/>
        <v>1</v>
      </c>
      <c r="AC19" s="1807">
        <f t="shared" si="5"/>
        <v>1</v>
      </c>
    </row>
    <row r="20" spans="1:29" ht="15">
      <c r="A20" s="428"/>
      <c r="B20" s="456"/>
      <c r="C20" s="447" t="s">
        <v>3176</v>
      </c>
      <c r="D20" s="448"/>
      <c r="E20" s="447" t="s">
        <v>3176</v>
      </c>
      <c r="F20" s="448"/>
      <c r="G20" s="447" t="s">
        <v>3176</v>
      </c>
      <c r="H20" s="448"/>
      <c r="I20" s="2599" t="s">
        <v>3176</v>
      </c>
      <c r="J20" s="448"/>
      <c r="K20" s="2600"/>
      <c r="L20" s="1137"/>
      <c r="M20" s="1128"/>
      <c r="N20" s="1128"/>
      <c r="O20" s="1128"/>
      <c r="P20" s="3260"/>
      <c r="Q20" s="1806"/>
      <c r="R20" s="774"/>
      <c r="S20" s="775"/>
      <c r="T20" s="774"/>
      <c r="U20" s="775"/>
      <c r="V20" s="774"/>
      <c r="W20" s="775"/>
      <c r="X20" s="1809"/>
      <c r="Y20" s="3218"/>
      <c r="Z20" s="1810"/>
      <c r="AA20" s="1807">
        <v>1</v>
      </c>
      <c r="AB20" s="1807">
        <v>1</v>
      </c>
      <c r="AC20" s="1807">
        <v>1</v>
      </c>
    </row>
    <row r="21" spans="1:29" ht="15">
      <c r="A21" s="428"/>
      <c r="B21" s="1381" t="s">
        <v>2091</v>
      </c>
      <c r="C21" s="2601">
        <f>估价对象房地状况!C8</f>
        <v>0</v>
      </c>
      <c r="D21" s="450">
        <v>100</v>
      </c>
      <c r="E21" s="459"/>
      <c r="F21" s="455">
        <f>SUMIF(82:82,E22,83:83)-SUMIF(82:82,C22,83:83)+100</f>
        <v>100</v>
      </c>
      <c r="G21" s="459"/>
      <c r="H21" s="450">
        <f>SUMIF(82:82,G22,83:83)-SUMIF(82:82,C22,83:83)+100</f>
        <v>100</v>
      </c>
      <c r="I21" s="457"/>
      <c r="J21" s="450">
        <f>SUMIF(82:82,I22,83:83)-SUMIF(82:82,C22,83:83)+100</f>
        <v>100</v>
      </c>
      <c r="K21" s="445">
        <v>2</v>
      </c>
      <c r="L21" s="1137"/>
      <c r="M21" s="1128"/>
      <c r="N21" s="1128"/>
      <c r="O21" s="1128"/>
      <c r="P21" s="3260"/>
      <c r="Q21" s="1806" t="str">
        <f>B21</f>
        <v>基础设施水平</v>
      </c>
      <c r="R21" s="774" t="s">
        <v>17</v>
      </c>
      <c r="S21" s="775">
        <f>F21</f>
        <v>100</v>
      </c>
      <c r="T21" s="774" t="s">
        <v>17</v>
      </c>
      <c r="U21" s="775">
        <f>H21</f>
        <v>100</v>
      </c>
      <c r="V21" s="774" t="s">
        <v>17</v>
      </c>
      <c r="W21" s="775">
        <f>J21</f>
        <v>100</v>
      </c>
      <c r="X21" s="1809"/>
      <c r="Y21" s="3218"/>
      <c r="Z21" s="1810" t="str">
        <f>Q21</f>
        <v>基础设施水平</v>
      </c>
      <c r="AA21" s="1807">
        <f t="shared" ref="AA21" si="8">D21/F21</f>
        <v>1</v>
      </c>
      <c r="AB21" s="1807">
        <f t="shared" ref="AB21" si="9">D21/H21</f>
        <v>1</v>
      </c>
      <c r="AC21" s="1807">
        <f t="shared" ref="AC21" si="10">D21/J21</f>
        <v>1</v>
      </c>
    </row>
    <row r="22" spans="1:29" ht="15">
      <c r="A22" s="428"/>
      <c r="B22" s="1381"/>
      <c r="C22" s="2602" t="s">
        <v>3367</v>
      </c>
      <c r="D22" s="448"/>
      <c r="E22" s="2602" t="s">
        <v>3367</v>
      </c>
      <c r="F22" s="448"/>
      <c r="G22" s="2602" t="s">
        <v>3367</v>
      </c>
      <c r="H22" s="448"/>
      <c r="I22" s="447" t="s">
        <v>3367</v>
      </c>
      <c r="J22" s="448"/>
      <c r="K22" s="2606"/>
      <c r="L22" s="1137"/>
      <c r="M22" s="1128"/>
      <c r="N22" s="1128"/>
      <c r="O22" s="1128"/>
      <c r="P22" s="3260"/>
      <c r="Q22" s="1806"/>
      <c r="R22" s="774"/>
      <c r="S22" s="775"/>
      <c r="T22" s="774"/>
      <c r="U22" s="775"/>
      <c r="V22" s="774"/>
      <c r="W22" s="775"/>
      <c r="X22" s="1809"/>
      <c r="Y22" s="3218"/>
      <c r="Z22" s="1810"/>
      <c r="AA22" s="1807">
        <v>1</v>
      </c>
      <c r="AB22" s="1807">
        <v>1</v>
      </c>
      <c r="AC22" s="1807">
        <v>1</v>
      </c>
    </row>
    <row r="23" spans="1:29" ht="15">
      <c r="A23" s="428"/>
      <c r="B23" s="451" t="s">
        <v>2093</v>
      </c>
      <c r="C23" s="2601">
        <f>估价对象房地状况!C9</f>
        <v>0</v>
      </c>
      <c r="D23" s="450">
        <v>100</v>
      </c>
      <c r="E23" s="2991" t="s">
        <v>4265</v>
      </c>
      <c r="F23" s="450">
        <f>SUMIF(84:84,E24,85:85)-SUMIF(84:84,C24,85:85)+100</f>
        <v>100</v>
      </c>
      <c r="G23" s="454"/>
      <c r="H23" s="450">
        <f>SUMIF(84:84,G24,85:85)-SUMIF(84:84,C24,85:85)+100</f>
        <v>100</v>
      </c>
      <c r="I23" s="452"/>
      <c r="J23" s="450">
        <f>SUMIF(84:84,I24,85:85)-SUMIF(84:84,C24,85:85)+100</f>
        <v>105</v>
      </c>
      <c r="K23" s="3355">
        <v>5</v>
      </c>
      <c r="L23" s="1137"/>
      <c r="M23" s="1128"/>
      <c r="N23" s="1128"/>
      <c r="O23" s="1128"/>
      <c r="P23" s="3260"/>
      <c r="Q23" s="1806" t="str">
        <f>B23</f>
        <v>自然及人文环境</v>
      </c>
      <c r="R23" s="774" t="s">
        <v>21</v>
      </c>
      <c r="S23" s="775">
        <f>F23</f>
        <v>100</v>
      </c>
      <c r="T23" s="774" t="s">
        <v>21</v>
      </c>
      <c r="U23" s="775">
        <f>H23</f>
        <v>100</v>
      </c>
      <c r="V23" s="774" t="s">
        <v>21</v>
      </c>
      <c r="W23" s="775">
        <f>J23</f>
        <v>105</v>
      </c>
      <c r="X23" s="1809"/>
      <c r="Y23" s="3218"/>
      <c r="Z23" s="1810" t="str">
        <f>Q23</f>
        <v>自然及人文环境</v>
      </c>
      <c r="AA23" s="1807">
        <f>D23/F23</f>
        <v>1</v>
      </c>
      <c r="AB23" s="1807">
        <f>D23/H23</f>
        <v>1</v>
      </c>
      <c r="AC23" s="1807">
        <f>D23/J23</f>
        <v>0.95238095238095233</v>
      </c>
    </row>
    <row r="24" spans="1:29" ht="15">
      <c r="A24" s="428"/>
      <c r="B24" s="456"/>
      <c r="C24" s="447" t="s">
        <v>3176</v>
      </c>
      <c r="D24" s="448"/>
      <c r="E24" s="2598" t="s">
        <v>3176</v>
      </c>
      <c r="F24" s="448"/>
      <c r="G24" s="2598" t="s">
        <v>3176</v>
      </c>
      <c r="H24" s="448"/>
      <c r="I24" s="2599" t="s">
        <v>3193</v>
      </c>
      <c r="J24" s="448"/>
      <c r="K24" s="2600"/>
      <c r="L24" s="1137"/>
      <c r="M24" s="1128"/>
      <c r="N24" s="1128"/>
      <c r="O24" s="1128"/>
      <c r="P24" s="3260"/>
      <c r="Q24" s="1806"/>
      <c r="R24" s="774"/>
      <c r="S24" s="775"/>
      <c r="T24" s="774"/>
      <c r="U24" s="775"/>
      <c r="V24" s="774"/>
      <c r="W24" s="775"/>
      <c r="X24" s="1809"/>
      <c r="Y24" s="3218"/>
      <c r="Z24" s="1810"/>
      <c r="AA24" s="1807">
        <v>1</v>
      </c>
      <c r="AB24" s="1807">
        <v>1</v>
      </c>
      <c r="AC24" s="1807">
        <v>1</v>
      </c>
    </row>
    <row r="25" spans="1:29" ht="15">
      <c r="A25" s="428"/>
      <c r="B25" s="422" t="s">
        <v>2550</v>
      </c>
      <c r="C25" s="460"/>
      <c r="D25" s="435">
        <v>100</v>
      </c>
      <c r="E25" s="2607"/>
      <c r="F25" s="435">
        <f>SUMIF(86:86,E25,87:87)-SUMIF(86:86,C25,87:87)+100</f>
        <v>100</v>
      </c>
      <c r="G25" s="2607"/>
      <c r="H25" s="435">
        <f>SUMIF(86:86,G25,87:87)-SUMIF(86:86,C25,87:87)+100</f>
        <v>100</v>
      </c>
      <c r="I25" s="2608"/>
      <c r="J25" s="435">
        <f>SUMIF(86:86,I25,87:87)-SUMIF(86:86,C25,87:87)+100</f>
        <v>100</v>
      </c>
      <c r="K25" s="426"/>
      <c r="L25" s="1137"/>
      <c r="M25" s="1128"/>
      <c r="N25" s="1128"/>
      <c r="O25" s="1128"/>
      <c r="P25" s="3260"/>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18"/>
      <c r="Z25" s="1810" t="str">
        <f>Q25</f>
        <v>楼层-1</v>
      </c>
      <c r="AA25" s="1807">
        <f t="shared" ref="AA25:AA46" si="15">D25/F25</f>
        <v>1</v>
      </c>
      <c r="AB25" s="1807">
        <f t="shared" ref="AB25:AB46" si="16">D25/H25</f>
        <v>1</v>
      </c>
      <c r="AC25" s="1807">
        <f t="shared" ref="AC25:AC46" si="17">D25/J25</f>
        <v>1</v>
      </c>
    </row>
    <row r="26" spans="1:29" ht="15">
      <c r="A26" s="428"/>
      <c r="B26" s="422" t="s">
        <v>2551</v>
      </c>
      <c r="C26" s="460"/>
      <c r="D26" s="435">
        <v>100</v>
      </c>
      <c r="E26" s="2607"/>
      <c r="F26" s="435">
        <f>SUMIF(88:88,E26,89:89)-SUMIF(88:88,C26,89:89)+100</f>
        <v>100</v>
      </c>
      <c r="G26" s="2607"/>
      <c r="H26" s="435">
        <f>SUMIF(88:88,G26,89:89)-SUMIF(88:88,C26,89:89)+100</f>
        <v>100</v>
      </c>
      <c r="I26" s="2608"/>
      <c r="J26" s="435">
        <f>SUMIF(88:88,I26,89:89)-SUMIF(88:88,C26,89:89)+100</f>
        <v>100</v>
      </c>
      <c r="K26" s="426"/>
      <c r="L26" s="1137"/>
      <c r="M26" s="1128"/>
      <c r="N26" s="1128"/>
      <c r="O26" s="1128"/>
      <c r="P26" s="3260"/>
      <c r="Q26" s="1806" t="str">
        <f t="shared" si="11"/>
        <v>朝向</v>
      </c>
      <c r="R26" s="774" t="s">
        <v>21</v>
      </c>
      <c r="S26" s="775">
        <f t="shared" si="12"/>
        <v>100</v>
      </c>
      <c r="T26" s="774" t="s">
        <v>21</v>
      </c>
      <c r="U26" s="775">
        <f t="shared" si="13"/>
        <v>100</v>
      </c>
      <c r="V26" s="774" t="s">
        <v>21</v>
      </c>
      <c r="W26" s="775">
        <f t="shared" si="14"/>
        <v>100</v>
      </c>
      <c r="X26" s="1809"/>
      <c r="Y26" s="3218"/>
      <c r="Z26" s="1810" t="str">
        <f>Q26</f>
        <v>朝向</v>
      </c>
      <c r="AA26" s="1807">
        <f t="shared" si="15"/>
        <v>1</v>
      </c>
      <c r="AB26" s="1807">
        <f t="shared" si="16"/>
        <v>1</v>
      </c>
      <c r="AC26" s="1807">
        <f t="shared" si="17"/>
        <v>1</v>
      </c>
    </row>
    <row r="27" spans="1:29" s="117" customFormat="1" ht="15">
      <c r="A27" s="431"/>
      <c r="B27" s="1383"/>
      <c r="C27" s="432"/>
      <c r="D27" s="462">
        <v>100</v>
      </c>
      <c r="E27" s="465"/>
      <c r="F27" s="462">
        <f>SUMIF(90:90,E27,91:91)-SUMIF(90:90,C27,91:91)+100</f>
        <v>100</v>
      </c>
      <c r="G27" s="465"/>
      <c r="H27" s="462">
        <f>SUMIF(90:90,G27,91:91)-SUMIF(90:90,C27,91:91)+100</f>
        <v>100</v>
      </c>
      <c r="I27" s="463"/>
      <c r="J27" s="462">
        <f>SUMIF(90:90,I27,91:91)-SUMIF(90:90,C27,91:91)+100</f>
        <v>100</v>
      </c>
      <c r="K27" s="2595"/>
      <c r="L27" s="1129"/>
      <c r="M27" s="1130"/>
      <c r="N27" s="1130"/>
      <c r="O27" s="1130"/>
      <c r="P27" s="3260"/>
      <c r="Q27" s="1791">
        <f t="shared" si="11"/>
        <v>0</v>
      </c>
      <c r="R27" s="770" t="s">
        <v>21</v>
      </c>
      <c r="S27" s="771">
        <f t="shared" si="12"/>
        <v>100</v>
      </c>
      <c r="T27" s="770" t="s">
        <v>21</v>
      </c>
      <c r="U27" s="771">
        <f t="shared" si="13"/>
        <v>100</v>
      </c>
      <c r="V27" s="770" t="s">
        <v>21</v>
      </c>
      <c r="W27" s="771">
        <f t="shared" si="14"/>
        <v>100</v>
      </c>
      <c r="X27" s="772"/>
      <c r="Y27" s="3218"/>
      <c r="Z27" s="55">
        <f>Q27</f>
        <v>0</v>
      </c>
      <c r="AA27" s="1807">
        <f t="shared" si="15"/>
        <v>1</v>
      </c>
      <c r="AB27" s="1807">
        <f t="shared" si="16"/>
        <v>1</v>
      </c>
      <c r="AC27" s="1807">
        <f t="shared" si="17"/>
        <v>1</v>
      </c>
    </row>
    <row r="28" spans="1:29" ht="15">
      <c r="A28" s="428"/>
      <c r="B28" s="1383"/>
      <c r="C28" s="434"/>
      <c r="D28" s="435">
        <v>100</v>
      </c>
      <c r="E28" s="434"/>
      <c r="F28" s="435">
        <f>SUMIF(92:92,E28,93:93)-SUMIF(92:92,C28,93:93)+100</f>
        <v>100</v>
      </c>
      <c r="G28" s="2609"/>
      <c r="H28" s="435">
        <f>SUMIF(92:92,G28,93:93)-SUMIF(92:92,C28,93:93)+100</f>
        <v>100</v>
      </c>
      <c r="I28" s="434"/>
      <c r="J28" s="435">
        <f>SUMIF(92:92,I28,93:93)-SUMIF(92:92,C28,93:93)+100</f>
        <v>100</v>
      </c>
      <c r="K28" s="2595"/>
      <c r="L28" s="1137"/>
      <c r="M28" s="1128"/>
      <c r="N28" s="1128"/>
      <c r="O28" s="1128"/>
      <c r="P28" s="3260"/>
      <c r="Q28" s="1806">
        <f t="shared" si="11"/>
        <v>0</v>
      </c>
      <c r="R28" s="774" t="s">
        <v>21</v>
      </c>
      <c r="S28" s="775">
        <f t="shared" si="12"/>
        <v>100</v>
      </c>
      <c r="T28" s="774" t="s">
        <v>21</v>
      </c>
      <c r="U28" s="775">
        <f t="shared" si="13"/>
        <v>100</v>
      </c>
      <c r="V28" s="774" t="s">
        <v>21</v>
      </c>
      <c r="W28" s="775">
        <f t="shared" si="14"/>
        <v>100</v>
      </c>
      <c r="X28" s="1809"/>
      <c r="Y28" s="3218"/>
      <c r="Z28" s="1810">
        <f t="shared" ref="Z28:Z46" si="18">Q28</f>
        <v>0</v>
      </c>
      <c r="AA28" s="1807">
        <f t="shared" si="15"/>
        <v>1</v>
      </c>
      <c r="AB28" s="1807">
        <f t="shared" si="16"/>
        <v>1</v>
      </c>
      <c r="AC28" s="1807">
        <f t="shared" si="17"/>
        <v>1</v>
      </c>
    </row>
    <row r="29" spans="1:29" ht="15">
      <c r="A29" s="428"/>
      <c r="B29" s="1383"/>
      <c r="C29" s="434"/>
      <c r="D29" s="435">
        <v>100</v>
      </c>
      <c r="E29" s="434"/>
      <c r="F29" s="435">
        <f>SUMIF(94:94,E29,95:95)-SUMIF(94:94,C29,95:95)+100</f>
        <v>100</v>
      </c>
      <c r="G29" s="2609"/>
      <c r="H29" s="435">
        <f>SUMIF(94:94,G29,95:95)-SUMIF(94:94,C29,95:95)+100</f>
        <v>100</v>
      </c>
      <c r="I29" s="434"/>
      <c r="J29" s="435">
        <f>SUMIF(94:94,I29,95:95)-SUMIF(94:94,C29,95:95)+100</f>
        <v>100</v>
      </c>
      <c r="K29" s="2595"/>
      <c r="L29" s="1137"/>
      <c r="M29" s="1128"/>
      <c r="N29" s="1128"/>
      <c r="O29" s="1128"/>
      <c r="P29" s="3260"/>
      <c r="Q29" s="1806">
        <f t="shared" si="11"/>
        <v>0</v>
      </c>
      <c r="R29" s="774" t="s">
        <v>21</v>
      </c>
      <c r="S29" s="775">
        <f t="shared" si="12"/>
        <v>100</v>
      </c>
      <c r="T29" s="774" t="s">
        <v>21</v>
      </c>
      <c r="U29" s="775">
        <f t="shared" si="13"/>
        <v>100</v>
      </c>
      <c r="V29" s="774" t="s">
        <v>21</v>
      </c>
      <c r="W29" s="775">
        <f t="shared" si="14"/>
        <v>100</v>
      </c>
      <c r="X29" s="1809"/>
      <c r="Y29" s="3218"/>
      <c r="Z29" s="1810">
        <f t="shared" si="18"/>
        <v>0</v>
      </c>
      <c r="AA29" s="1807">
        <f t="shared" si="15"/>
        <v>1</v>
      </c>
      <c r="AB29" s="1807">
        <f t="shared" si="16"/>
        <v>1</v>
      </c>
      <c r="AC29" s="1807">
        <f t="shared" si="17"/>
        <v>1</v>
      </c>
    </row>
    <row r="30" spans="1:29" ht="15">
      <c r="A30" s="428"/>
      <c r="B30" s="1383"/>
      <c r="C30" s="434"/>
      <c r="D30" s="435">
        <v>100</v>
      </c>
      <c r="E30" s="434"/>
      <c r="F30" s="435">
        <f>SUMIF(96:96,E30,97:97)-SUMIF(96:96,C30,97:97)+100</f>
        <v>100</v>
      </c>
      <c r="G30" s="2609"/>
      <c r="H30" s="435">
        <f>SUMIF(96:96,G30,97:97)-SUMIF(96:96,C30,97:97)+100</f>
        <v>100</v>
      </c>
      <c r="I30" s="434"/>
      <c r="J30" s="435">
        <f>SUMIF(96:96,I30,97:97)-SUMIF(96:96,C30,97:97)+100</f>
        <v>100</v>
      </c>
      <c r="K30" s="2595"/>
      <c r="L30" s="1137"/>
      <c r="M30" s="1128"/>
      <c r="N30" s="1128"/>
      <c r="O30" s="1128"/>
      <c r="P30" s="3260"/>
      <c r="Q30" s="1806">
        <f t="shared" si="11"/>
        <v>0</v>
      </c>
      <c r="R30" s="774" t="s">
        <v>21</v>
      </c>
      <c r="S30" s="775">
        <f t="shared" si="12"/>
        <v>100</v>
      </c>
      <c r="T30" s="774" t="s">
        <v>21</v>
      </c>
      <c r="U30" s="775">
        <f t="shared" si="13"/>
        <v>100</v>
      </c>
      <c r="V30" s="774" t="s">
        <v>21</v>
      </c>
      <c r="W30" s="775">
        <f t="shared" si="14"/>
        <v>100</v>
      </c>
      <c r="X30" s="1809"/>
      <c r="Y30" s="3218"/>
      <c r="Z30" s="1810">
        <f t="shared" si="18"/>
        <v>0</v>
      </c>
      <c r="AA30" s="1807">
        <f t="shared" si="15"/>
        <v>1</v>
      </c>
      <c r="AB30" s="1807">
        <f t="shared" si="16"/>
        <v>1</v>
      </c>
      <c r="AC30" s="1807">
        <f t="shared" si="17"/>
        <v>1</v>
      </c>
    </row>
    <row r="31" spans="1:29" ht="15.75" thickBot="1">
      <c r="A31" s="436"/>
      <c r="B31" s="1383"/>
      <c r="C31" s="437"/>
      <c r="D31" s="438">
        <v>100</v>
      </c>
      <c r="E31" s="437"/>
      <c r="F31" s="438">
        <f>SUMIF(98:98,E31,99:99)-SUMIF(98:98,C31,99:99)+100</f>
        <v>100</v>
      </c>
      <c r="G31" s="2610"/>
      <c r="H31" s="438">
        <f>SUMIF(98:98,G31,99:99)-SUMIF(98:98,C31,99:99)+100</f>
        <v>100</v>
      </c>
      <c r="I31" s="437"/>
      <c r="J31" s="438">
        <f>SUMIF(98:98,I31,99:99)-SUMIF(98:98,C31,99:99)+100</f>
        <v>100</v>
      </c>
      <c r="K31" s="2595"/>
      <c r="L31" s="1137"/>
      <c r="M31" s="1128"/>
      <c r="N31" s="1128"/>
      <c r="O31" s="1128"/>
      <c r="P31" s="3260"/>
      <c r="Q31" s="1806">
        <f t="shared" si="11"/>
        <v>0</v>
      </c>
      <c r="R31" s="774" t="s">
        <v>21</v>
      </c>
      <c r="S31" s="775">
        <f t="shared" si="12"/>
        <v>100</v>
      </c>
      <c r="T31" s="774" t="s">
        <v>21</v>
      </c>
      <c r="U31" s="775">
        <f t="shared" si="13"/>
        <v>100</v>
      </c>
      <c r="V31" s="774" t="s">
        <v>21</v>
      </c>
      <c r="W31" s="775">
        <f t="shared" si="14"/>
        <v>100</v>
      </c>
      <c r="X31" s="1809"/>
      <c r="Y31" s="3218"/>
      <c r="Z31" s="1810">
        <f t="shared" si="18"/>
        <v>0</v>
      </c>
      <c r="AA31" s="1807">
        <f t="shared" si="15"/>
        <v>1</v>
      </c>
      <c r="AB31" s="1807">
        <f t="shared" si="16"/>
        <v>1</v>
      </c>
      <c r="AC31" s="1807">
        <f t="shared" si="17"/>
        <v>1</v>
      </c>
    </row>
    <row r="32" spans="1:29" ht="15">
      <c r="A32" s="440" t="s">
        <v>2552</v>
      </c>
      <c r="B32" s="71" t="s">
        <v>2553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7"/>
      <c r="M32" s="1128"/>
      <c r="N32" s="1128"/>
      <c r="O32" s="1128"/>
      <c r="P32" s="3261" t="s">
        <v>2554</v>
      </c>
      <c r="Q32" s="1806" t="str">
        <f t="shared" si="11"/>
        <v>建筑类型</v>
      </c>
      <c r="R32" s="774" t="s">
        <v>21</v>
      </c>
      <c r="S32" s="775">
        <f t="shared" si="12"/>
        <v>100</v>
      </c>
      <c r="T32" s="774" t="s">
        <v>21</v>
      </c>
      <c r="U32" s="775">
        <f t="shared" si="13"/>
        <v>100</v>
      </c>
      <c r="V32" s="774" t="s">
        <v>21</v>
      </c>
      <c r="W32" s="775">
        <f t="shared" si="14"/>
        <v>100</v>
      </c>
      <c r="X32" s="1809"/>
      <c r="Y32" s="3220" t="s">
        <v>2554</v>
      </c>
      <c r="Z32" s="1810" t="str">
        <f t="shared" si="18"/>
        <v>建筑类型</v>
      </c>
      <c r="AA32" s="1807">
        <f t="shared" si="15"/>
        <v>1</v>
      </c>
      <c r="AB32" s="1807">
        <f t="shared" si="16"/>
        <v>1</v>
      </c>
      <c r="AC32" s="1807">
        <f t="shared" si="17"/>
        <v>1</v>
      </c>
    </row>
    <row r="33" spans="1:29" s="471" customFormat="1" ht="15">
      <c r="A33" s="468"/>
      <c r="B33" s="422" t="s">
        <v>2555</v>
      </c>
      <c r="C33" s="469">
        <f>'数据-汇总表'!E3</f>
        <v>378335.58999999997</v>
      </c>
      <c r="D33" s="136">
        <v>100</v>
      </c>
      <c r="E33" s="430">
        <v>500000</v>
      </c>
      <c r="F33" s="425">
        <f>LOOKUP(E33,103:103,104:104)-LOOKUP(C33,103:103,104:104)+100</f>
        <v>100</v>
      </c>
      <c r="G33" s="429">
        <v>156480</v>
      </c>
      <c r="H33" s="136">
        <f>LOOKUP(G33,103:103,104:104)-LOOKUP(C33,103:103,104:104)+100</f>
        <v>100</v>
      </c>
      <c r="I33" s="430"/>
      <c r="J33" s="136">
        <f>LOOKUP(I33,103:103,104:104)-LOOKUP(C33,103:103,104:104)+100</f>
        <v>100</v>
      </c>
      <c r="K33" s="2595"/>
      <c r="L33" s="1135"/>
      <c r="M33" s="1138"/>
      <c r="N33" s="1138"/>
      <c r="O33" s="1138"/>
      <c r="P33" s="3262"/>
      <c r="Q33" s="776" t="str">
        <f t="shared" si="11"/>
        <v>项目建筑规模</v>
      </c>
      <c r="R33" s="777" t="s">
        <v>21</v>
      </c>
      <c r="S33" s="778">
        <f t="shared" si="12"/>
        <v>100</v>
      </c>
      <c r="T33" s="777" t="s">
        <v>21</v>
      </c>
      <c r="U33" s="778">
        <f t="shared" si="13"/>
        <v>100</v>
      </c>
      <c r="V33" s="777" t="s">
        <v>21</v>
      </c>
      <c r="W33" s="778">
        <f t="shared" si="14"/>
        <v>100</v>
      </c>
      <c r="X33" s="779"/>
      <c r="Y33" s="3220"/>
      <c r="Z33" s="780" t="str">
        <f t="shared" si="18"/>
        <v>项目建筑规模</v>
      </c>
      <c r="AA33" s="1807">
        <f t="shared" si="15"/>
        <v>1</v>
      </c>
      <c r="AB33" s="1807">
        <f t="shared" si="16"/>
        <v>1</v>
      </c>
      <c r="AC33" s="1807">
        <f t="shared" si="17"/>
        <v>1</v>
      </c>
    </row>
    <row r="34" spans="1:29" ht="15">
      <c r="A34" s="472"/>
      <c r="B34" s="422" t="s">
        <v>2556</v>
      </c>
      <c r="C34" s="2613" t="s">
        <v>3077</v>
      </c>
      <c r="D34" s="435">
        <v>100</v>
      </c>
      <c r="E34" s="2613" t="s">
        <v>3077</v>
      </c>
      <c r="F34" s="461">
        <f>SUMIF(105:105,E34,106:106)-SUMIF(105:105,C34,106:106)+100</f>
        <v>100</v>
      </c>
      <c r="G34" s="2613" t="s">
        <v>3077</v>
      </c>
      <c r="H34" s="435">
        <f>SUMIF(105:105,G34,106:106)-SUMIF(105:105,C34,106:106)+100</f>
        <v>100</v>
      </c>
      <c r="I34" s="2613" t="s">
        <v>3077</v>
      </c>
      <c r="J34" s="435">
        <f>SUMIF(105:105,I34,106:106)-SUMIF(105:105,C34,106:106)+100</f>
        <v>100</v>
      </c>
      <c r="K34" s="426"/>
      <c r="L34" s="1137"/>
      <c r="M34" s="1128"/>
      <c r="N34" s="1128"/>
      <c r="O34" s="1128"/>
      <c r="P34" s="3262"/>
      <c r="Q34" s="1806" t="str">
        <f t="shared" si="11"/>
        <v>建筑结构</v>
      </c>
      <c r="R34" s="774" t="s">
        <v>21</v>
      </c>
      <c r="S34" s="775">
        <f t="shared" si="12"/>
        <v>100</v>
      </c>
      <c r="T34" s="774" t="s">
        <v>21</v>
      </c>
      <c r="U34" s="775">
        <f t="shared" si="13"/>
        <v>100</v>
      </c>
      <c r="V34" s="774" t="s">
        <v>21</v>
      </c>
      <c r="W34" s="775">
        <f t="shared" si="14"/>
        <v>100</v>
      </c>
      <c r="X34" s="1809"/>
      <c r="Y34" s="3220"/>
      <c r="Z34" s="1810" t="str">
        <f t="shared" si="18"/>
        <v>建筑结构</v>
      </c>
      <c r="AA34" s="1807">
        <f t="shared" si="15"/>
        <v>1</v>
      </c>
      <c r="AB34" s="1807">
        <f t="shared" si="16"/>
        <v>1</v>
      </c>
      <c r="AC34" s="1807">
        <f t="shared" si="17"/>
        <v>1</v>
      </c>
    </row>
    <row r="35" spans="1:29" ht="15">
      <c r="A35" s="472"/>
      <c r="B35" s="422" t="s">
        <v>2557</v>
      </c>
      <c r="C35" s="2607" t="s">
        <v>4251</v>
      </c>
      <c r="D35" s="435">
        <v>100</v>
      </c>
      <c r="E35" s="2607" t="s">
        <v>4251</v>
      </c>
      <c r="F35" s="461">
        <f>SUMIF(107:107,E35,108:108)-SUMIF(107:107,C35,108:108)+100</f>
        <v>100</v>
      </c>
      <c r="G35" s="2607" t="s">
        <v>4251</v>
      </c>
      <c r="H35" s="435">
        <f>SUMIF(107:107,G35,108:108)-SUMIF(107:107,C35,108:108)+100</f>
        <v>100</v>
      </c>
      <c r="I35" s="2607" t="s">
        <v>4251</v>
      </c>
      <c r="J35" s="435">
        <f>SUMIF(107:107,I35,108:108)-SUMIF(107:107,C35,108:108)+100</f>
        <v>100</v>
      </c>
      <c r="K35" s="426"/>
      <c r="L35" s="1137"/>
      <c r="M35" s="1128"/>
      <c r="N35" s="1128"/>
      <c r="O35" s="1128"/>
      <c r="P35" s="3262"/>
      <c r="Q35" s="1806" t="str">
        <f t="shared" si="11"/>
        <v>建筑品质</v>
      </c>
      <c r="R35" s="774" t="s">
        <v>21</v>
      </c>
      <c r="S35" s="775">
        <f t="shared" si="12"/>
        <v>100</v>
      </c>
      <c r="T35" s="774" t="s">
        <v>21</v>
      </c>
      <c r="U35" s="775">
        <f t="shared" si="13"/>
        <v>100</v>
      </c>
      <c r="V35" s="774" t="s">
        <v>21</v>
      </c>
      <c r="W35" s="775">
        <f t="shared" si="14"/>
        <v>100</v>
      </c>
      <c r="X35" s="1809"/>
      <c r="Y35" s="3220"/>
      <c r="Z35" s="1810" t="str">
        <f t="shared" si="18"/>
        <v>建筑品质</v>
      </c>
      <c r="AA35" s="1807">
        <f t="shared" si="15"/>
        <v>1</v>
      </c>
      <c r="AB35" s="1807">
        <f t="shared" si="16"/>
        <v>1</v>
      </c>
      <c r="AC35" s="1807">
        <f t="shared" si="17"/>
        <v>1</v>
      </c>
    </row>
    <row r="36" spans="1:29" ht="15">
      <c r="A36" s="472"/>
      <c r="B36" s="422" t="s">
        <v>2558</v>
      </c>
      <c r="C36" s="2607" t="s">
        <v>4227</v>
      </c>
      <c r="D36" s="435">
        <v>100</v>
      </c>
      <c r="E36" s="2607" t="s">
        <v>4227</v>
      </c>
      <c r="F36" s="461">
        <f>SUMIF(109:109,E36,110:110)-SUMIF(109:109,C36,110:110)+100</f>
        <v>100</v>
      </c>
      <c r="G36" s="2607" t="s">
        <v>4227</v>
      </c>
      <c r="H36" s="435">
        <f>SUMIF(109:109,G36,110:110)-SUMIF(109:109,C36,110:110)+100</f>
        <v>100</v>
      </c>
      <c r="I36" s="2607" t="s">
        <v>4227</v>
      </c>
      <c r="J36" s="435">
        <f>SUMIF(109:109,I36,110:110)-SUMIF(109:109,C36,110:110)+100</f>
        <v>100</v>
      </c>
      <c r="K36" s="426"/>
      <c r="L36" s="1137"/>
      <c r="M36" s="1128"/>
      <c r="N36" s="1128"/>
      <c r="O36" s="1128"/>
      <c r="P36" s="3262"/>
      <c r="Q36" s="1806" t="str">
        <f t="shared" si="11"/>
        <v>公共部分装修</v>
      </c>
      <c r="R36" s="774" t="s">
        <v>21</v>
      </c>
      <c r="S36" s="775">
        <f t="shared" si="12"/>
        <v>100</v>
      </c>
      <c r="T36" s="774" t="s">
        <v>21</v>
      </c>
      <c r="U36" s="775">
        <f t="shared" si="13"/>
        <v>100</v>
      </c>
      <c r="V36" s="774" t="s">
        <v>21</v>
      </c>
      <c r="W36" s="775">
        <f t="shared" si="14"/>
        <v>100</v>
      </c>
      <c r="X36" s="1809"/>
      <c r="Y36" s="3220"/>
      <c r="Z36" s="1810" t="str">
        <f t="shared" si="18"/>
        <v>公共部分装修</v>
      </c>
      <c r="AA36" s="1807">
        <f t="shared" si="15"/>
        <v>1</v>
      </c>
      <c r="AB36" s="1807">
        <f t="shared" si="16"/>
        <v>1</v>
      </c>
      <c r="AC36" s="1807">
        <f t="shared" si="17"/>
        <v>1</v>
      </c>
    </row>
    <row r="37" spans="1:29" s="117" customFormat="1" ht="15">
      <c r="A37" s="473"/>
      <c r="B37" s="422"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29"/>
      <c r="M37" s="1130"/>
      <c r="N37" s="1130"/>
      <c r="O37" s="1130"/>
      <c r="P37" s="3262"/>
      <c r="Q37" s="1791" t="str">
        <f t="shared" si="11"/>
        <v>成新度</v>
      </c>
      <c r="R37" s="770" t="s">
        <v>21</v>
      </c>
      <c r="S37" s="771">
        <f t="shared" si="12"/>
        <v>100</v>
      </c>
      <c r="T37" s="770" t="s">
        <v>21</v>
      </c>
      <c r="U37" s="771">
        <f t="shared" si="13"/>
        <v>100</v>
      </c>
      <c r="V37" s="770" t="s">
        <v>21</v>
      </c>
      <c r="W37" s="771">
        <f t="shared" si="14"/>
        <v>100</v>
      </c>
      <c r="X37" s="772"/>
      <c r="Y37" s="3220"/>
      <c r="Z37" s="55" t="str">
        <f t="shared" si="18"/>
        <v>成新度</v>
      </c>
      <c r="AA37" s="773">
        <f t="shared" si="15"/>
        <v>1</v>
      </c>
      <c r="AB37" s="773">
        <f t="shared" si="16"/>
        <v>1</v>
      </c>
      <c r="AC37" s="773">
        <f t="shared" si="17"/>
        <v>1</v>
      </c>
    </row>
    <row r="38" spans="1:29" ht="15">
      <c r="A38" s="472"/>
      <c r="B38" s="422" t="s">
        <v>2560</v>
      </c>
      <c r="C38" s="2607" t="s">
        <v>4231</v>
      </c>
      <c r="D38" s="435">
        <v>100</v>
      </c>
      <c r="E38" s="2607" t="s">
        <v>4231</v>
      </c>
      <c r="F38" s="461">
        <f>SUMIF(114:114,E38,115:115)-SUMIF(114:114,C38,115:115)+100</f>
        <v>100</v>
      </c>
      <c r="G38" s="2607" t="s">
        <v>4231</v>
      </c>
      <c r="H38" s="435">
        <f>SUMIF(114:114,G38,115:115)-SUMIF(114:114,C38,115:115)+100</f>
        <v>100</v>
      </c>
      <c r="I38" s="2607" t="s">
        <v>4231</v>
      </c>
      <c r="J38" s="435">
        <f>SUMIF(114:114,I38,115:115)-SUMIF(114:114,C38,115:115)+100</f>
        <v>100</v>
      </c>
      <c r="K38" s="426"/>
      <c r="L38" s="1137"/>
      <c r="M38" s="1128"/>
      <c r="N38" s="1128"/>
      <c r="O38" s="1128"/>
      <c r="P38" s="3262" t="s">
        <v>2554</v>
      </c>
      <c r="Q38" s="1806" t="str">
        <f t="shared" si="11"/>
        <v>物业管理</v>
      </c>
      <c r="R38" s="774" t="s">
        <v>21</v>
      </c>
      <c r="S38" s="775">
        <f t="shared" si="12"/>
        <v>100</v>
      </c>
      <c r="T38" s="774" t="s">
        <v>21</v>
      </c>
      <c r="U38" s="775">
        <f t="shared" si="13"/>
        <v>100</v>
      </c>
      <c r="V38" s="774" t="s">
        <v>21</v>
      </c>
      <c r="W38" s="775">
        <f t="shared" si="14"/>
        <v>100</v>
      </c>
      <c r="X38" s="1809"/>
      <c r="Y38" s="3220" t="s">
        <v>2554</v>
      </c>
      <c r="Z38" s="1810" t="str">
        <f t="shared" si="18"/>
        <v>物业管理</v>
      </c>
      <c r="AA38" s="1807">
        <f t="shared" si="15"/>
        <v>1</v>
      </c>
      <c r="AB38" s="1807">
        <f t="shared" si="16"/>
        <v>1</v>
      </c>
      <c r="AC38" s="1807">
        <f t="shared" si="17"/>
        <v>1</v>
      </c>
    </row>
    <row r="39" spans="1:29" ht="15">
      <c r="A39" s="472"/>
      <c r="B39" s="422" t="s">
        <v>2561</v>
      </c>
      <c r="C39" s="2607" t="s">
        <v>3367</v>
      </c>
      <c r="D39" s="435">
        <v>100</v>
      </c>
      <c r="E39" s="2607" t="s">
        <v>3367</v>
      </c>
      <c r="F39" s="461">
        <f>SUMIF(116:116,E39,117:117)-SUMIF(116:116,C39,117:117)+100</f>
        <v>100</v>
      </c>
      <c r="G39" s="2607" t="s">
        <v>3367</v>
      </c>
      <c r="H39" s="435">
        <f>SUMIF(116:116,G39,117:117)-SUMIF(116:116,C39,117:117)+100</f>
        <v>100</v>
      </c>
      <c r="I39" s="2607" t="s">
        <v>3367</v>
      </c>
      <c r="J39" s="435">
        <f>SUMIF(116:116,I39,117:117)-SUMIF(116:116,C39,117:117)+100</f>
        <v>100</v>
      </c>
      <c r="K39" s="426"/>
      <c r="L39" s="1137"/>
      <c r="M39" s="1128"/>
      <c r="N39" s="1128"/>
      <c r="O39" s="1128"/>
      <c r="P39" s="3262"/>
      <c r="Q39" s="1806" t="str">
        <f t="shared" si="11"/>
        <v>市政基础设施</v>
      </c>
      <c r="R39" s="774" t="s">
        <v>21</v>
      </c>
      <c r="S39" s="775">
        <f t="shared" si="12"/>
        <v>100</v>
      </c>
      <c r="T39" s="774" t="s">
        <v>21</v>
      </c>
      <c r="U39" s="775">
        <f t="shared" si="13"/>
        <v>100</v>
      </c>
      <c r="V39" s="774" t="s">
        <v>21</v>
      </c>
      <c r="W39" s="775">
        <f t="shared" si="14"/>
        <v>100</v>
      </c>
      <c r="X39" s="1809"/>
      <c r="Y39" s="3220"/>
      <c r="Z39" s="1810" t="str">
        <f t="shared" si="18"/>
        <v>市政基础设施</v>
      </c>
      <c r="AA39" s="1807">
        <f t="shared" si="15"/>
        <v>1</v>
      </c>
      <c r="AB39" s="1807">
        <f t="shared" si="16"/>
        <v>1</v>
      </c>
      <c r="AC39" s="1807">
        <f t="shared" si="17"/>
        <v>1</v>
      </c>
    </row>
    <row r="40" spans="1:29" ht="15">
      <c r="A40" s="472"/>
      <c r="B40" s="422" t="s">
        <v>2562</v>
      </c>
      <c r="C40" s="2607" t="s">
        <v>4256</v>
      </c>
      <c r="D40" s="435">
        <v>100</v>
      </c>
      <c r="E40" s="2607" t="s">
        <v>4256</v>
      </c>
      <c r="F40" s="461">
        <f>SUMIF(118:118,E40,119:119)-SUMIF(118:118,C40,119:119)+100</f>
        <v>100</v>
      </c>
      <c r="G40" s="2607" t="s">
        <v>4256</v>
      </c>
      <c r="H40" s="435">
        <f>SUMIF(118:118,G40,119:119)-SUMIF(118:118,C40,119:119)+100</f>
        <v>100</v>
      </c>
      <c r="I40" s="2607" t="s">
        <v>4256</v>
      </c>
      <c r="J40" s="435">
        <f>SUMIF(118:118,I40,119:119)-SUMIF(118:118,C40,119:119)+100</f>
        <v>100</v>
      </c>
      <c r="K40" s="426"/>
      <c r="L40" s="1137"/>
      <c r="M40" s="1128"/>
      <c r="N40" s="1128"/>
      <c r="O40" s="1128"/>
      <c r="P40" s="3262"/>
      <c r="Q40" s="1806" t="str">
        <f t="shared" si="11"/>
        <v>房型</v>
      </c>
      <c r="R40" s="774" t="s">
        <v>21</v>
      </c>
      <c r="S40" s="775">
        <f t="shared" si="12"/>
        <v>100</v>
      </c>
      <c r="T40" s="774" t="s">
        <v>21</v>
      </c>
      <c r="U40" s="775">
        <f t="shared" si="13"/>
        <v>100</v>
      </c>
      <c r="V40" s="774" t="s">
        <v>21</v>
      </c>
      <c r="W40" s="775">
        <f t="shared" si="14"/>
        <v>100</v>
      </c>
      <c r="X40" s="1809"/>
      <c r="Y40" s="3220"/>
      <c r="Z40" s="1810" t="str">
        <f t="shared" si="18"/>
        <v>房型</v>
      </c>
      <c r="AA40" s="1807">
        <f t="shared" si="15"/>
        <v>1</v>
      </c>
      <c r="AB40" s="1807">
        <f t="shared" si="16"/>
        <v>1</v>
      </c>
      <c r="AC40" s="1807">
        <f t="shared" si="17"/>
        <v>1</v>
      </c>
    </row>
    <row r="41" spans="1:29" s="471" customFormat="1" ht="28.5">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5"/>
      <c r="M41" s="1138"/>
      <c r="N41" s="1138"/>
      <c r="O41" s="1138"/>
      <c r="P41" s="3262"/>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07">
        <f t="shared" si="15"/>
        <v>1</v>
      </c>
      <c r="AB41" s="1807">
        <f t="shared" si="16"/>
        <v>1</v>
      </c>
      <c r="AC41" s="1807">
        <f t="shared" si="17"/>
        <v>1</v>
      </c>
    </row>
    <row r="42" spans="1:29" ht="15">
      <c r="A42" s="472"/>
      <c r="B42" s="422" t="s">
        <v>2564</v>
      </c>
      <c r="C42" s="2607" t="s">
        <v>4237</v>
      </c>
      <c r="D42" s="435">
        <v>100</v>
      </c>
      <c r="E42" s="2607" t="s">
        <v>4237</v>
      </c>
      <c r="F42" s="461">
        <f>SUMIF(122:122,E42,123:123)-SUMIF(122:122,C42,123:123)+100</f>
        <v>100</v>
      </c>
      <c r="G42" s="2607" t="s">
        <v>4237</v>
      </c>
      <c r="H42" s="435">
        <f>SUMIF(122:122,G42,123:123)-SUMIF(122:122,C42,123:123)+100</f>
        <v>100</v>
      </c>
      <c r="I42" s="2607" t="s">
        <v>4237</v>
      </c>
      <c r="J42" s="435">
        <f>SUMIF(122:122,I42,123:123)-SUMIF(122:122,C42,123:123)+100</f>
        <v>100</v>
      </c>
      <c r="K42" s="426">
        <v>3</v>
      </c>
      <c r="L42" s="1137"/>
      <c r="M42" s="1128"/>
      <c r="N42" s="1128"/>
      <c r="O42" s="1128"/>
      <c r="P42" s="3262"/>
      <c r="Q42" s="1806" t="str">
        <f t="shared" si="11"/>
        <v>内部装修</v>
      </c>
      <c r="R42" s="774" t="s">
        <v>21</v>
      </c>
      <c r="S42" s="775">
        <f t="shared" si="12"/>
        <v>100</v>
      </c>
      <c r="T42" s="774" t="s">
        <v>21</v>
      </c>
      <c r="U42" s="775">
        <f t="shared" si="13"/>
        <v>100</v>
      </c>
      <c r="V42" s="774" t="s">
        <v>21</v>
      </c>
      <c r="W42" s="775">
        <f t="shared" si="14"/>
        <v>100</v>
      </c>
      <c r="X42" s="1809"/>
      <c r="Y42" s="3220"/>
      <c r="Z42" s="1810" t="str">
        <f t="shared" si="18"/>
        <v>内部装修</v>
      </c>
      <c r="AA42" s="1807">
        <f t="shared" si="15"/>
        <v>1</v>
      </c>
      <c r="AB42" s="1807">
        <f t="shared" si="16"/>
        <v>1</v>
      </c>
      <c r="AC42" s="1807">
        <f t="shared" si="17"/>
        <v>1</v>
      </c>
    </row>
    <row r="43" spans="1:29" ht="15">
      <c r="A43" s="472"/>
      <c r="B43" s="422" t="s">
        <v>2565</v>
      </c>
      <c r="C43" s="2607" t="s">
        <v>3176</v>
      </c>
      <c r="D43" s="435">
        <v>100</v>
      </c>
      <c r="E43" s="2607" t="s">
        <v>3176</v>
      </c>
      <c r="F43" s="461">
        <f>SUMIF(124:124,E43,125:125)-SUMIF(124:124,C43,125:125)+100</f>
        <v>100</v>
      </c>
      <c r="G43" s="2607" t="s">
        <v>3176</v>
      </c>
      <c r="H43" s="435">
        <f>SUMIF(124:124,G43,125:125)-SUMIF(124:124,C43,125:125)+100</f>
        <v>100</v>
      </c>
      <c r="I43" s="2607" t="s">
        <v>3176</v>
      </c>
      <c r="J43" s="435">
        <f>SUMIF(124:124,I43,125:125)-SUMIF(124:124,C43,125:125)+100</f>
        <v>100</v>
      </c>
      <c r="K43" s="426"/>
      <c r="L43" s="1137"/>
      <c r="M43" s="1128"/>
      <c r="N43" s="1128"/>
      <c r="O43" s="1128"/>
      <c r="P43" s="3262"/>
      <c r="Q43" s="1806" t="str">
        <f t="shared" si="11"/>
        <v>内部装修维护情况</v>
      </c>
      <c r="R43" s="774" t="s">
        <v>21</v>
      </c>
      <c r="S43" s="775">
        <f t="shared" si="12"/>
        <v>100</v>
      </c>
      <c r="T43" s="774" t="s">
        <v>21</v>
      </c>
      <c r="U43" s="775">
        <f t="shared" si="13"/>
        <v>100</v>
      </c>
      <c r="V43" s="774" t="s">
        <v>21</v>
      </c>
      <c r="W43" s="775">
        <f t="shared" si="14"/>
        <v>100</v>
      </c>
      <c r="X43" s="1809"/>
      <c r="Y43" s="3220"/>
      <c r="Z43" s="1810" t="str">
        <f t="shared" si="18"/>
        <v>内部装修维护情况</v>
      </c>
      <c r="AA43" s="1807">
        <f t="shared" si="15"/>
        <v>1</v>
      </c>
      <c r="AB43" s="1807">
        <f t="shared" si="16"/>
        <v>1</v>
      </c>
      <c r="AC43" s="1807">
        <f t="shared" si="17"/>
        <v>1</v>
      </c>
    </row>
    <row r="44" spans="1:29" s="117" customFormat="1" ht="15">
      <c r="A44" s="473"/>
      <c r="B44" s="1383"/>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9"/>
      <c r="M44" s="1130"/>
      <c r="N44" s="1130"/>
      <c r="O44" s="1130"/>
      <c r="P44" s="3262"/>
      <c r="Q44" s="1791">
        <f t="shared" si="11"/>
        <v>0</v>
      </c>
      <c r="R44" s="770" t="s">
        <v>21</v>
      </c>
      <c r="S44" s="771">
        <f t="shared" si="12"/>
        <v>100</v>
      </c>
      <c r="T44" s="770" t="s">
        <v>21</v>
      </c>
      <c r="U44" s="771">
        <f t="shared" si="13"/>
        <v>100</v>
      </c>
      <c r="V44" s="770" t="s">
        <v>21</v>
      </c>
      <c r="W44" s="771">
        <f t="shared" si="14"/>
        <v>100</v>
      </c>
      <c r="X44" s="772"/>
      <c r="Y44" s="3220"/>
      <c r="Z44" s="55">
        <f t="shared" si="18"/>
        <v>0</v>
      </c>
      <c r="AA44" s="773">
        <f t="shared" si="15"/>
        <v>1</v>
      </c>
      <c r="AB44" s="773">
        <f t="shared" si="16"/>
        <v>1</v>
      </c>
      <c r="AC44" s="773">
        <f t="shared" si="17"/>
        <v>1</v>
      </c>
    </row>
    <row r="45" spans="1:29" ht="15">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7"/>
      <c r="M45" s="1128"/>
      <c r="N45" s="1128"/>
      <c r="O45" s="1128"/>
      <c r="P45" s="3262"/>
      <c r="Q45" s="1806">
        <f t="shared" si="11"/>
        <v>0</v>
      </c>
      <c r="R45" s="774" t="s">
        <v>21</v>
      </c>
      <c r="S45" s="775">
        <f t="shared" si="12"/>
        <v>100</v>
      </c>
      <c r="T45" s="774" t="s">
        <v>21</v>
      </c>
      <c r="U45" s="775">
        <f t="shared" si="13"/>
        <v>100</v>
      </c>
      <c r="V45" s="774" t="s">
        <v>21</v>
      </c>
      <c r="W45" s="775">
        <f t="shared" si="14"/>
        <v>100</v>
      </c>
      <c r="X45" s="1809"/>
      <c r="Y45" s="3220"/>
      <c r="Z45" s="1810">
        <f t="shared" si="18"/>
        <v>0</v>
      </c>
      <c r="AA45" s="1807">
        <f t="shared" si="15"/>
        <v>1</v>
      </c>
      <c r="AB45" s="1807">
        <f t="shared" si="16"/>
        <v>1</v>
      </c>
      <c r="AC45" s="1807">
        <f t="shared" si="17"/>
        <v>1</v>
      </c>
    </row>
    <row r="46" spans="1:29" ht="15.75" thickBot="1">
      <c r="A46" s="478"/>
      <c r="B46" s="2596"/>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7"/>
      <c r="M46" s="1128"/>
      <c r="N46" s="1128"/>
      <c r="O46" s="1128"/>
      <c r="P46" s="3263"/>
      <c r="Q46" s="1806">
        <f t="shared" si="11"/>
        <v>0</v>
      </c>
      <c r="R46" s="774" t="s">
        <v>20</v>
      </c>
      <c r="S46" s="775">
        <f t="shared" si="12"/>
        <v>100</v>
      </c>
      <c r="T46" s="774" t="s">
        <v>20</v>
      </c>
      <c r="U46" s="775">
        <f t="shared" si="13"/>
        <v>100</v>
      </c>
      <c r="V46" s="774" t="s">
        <v>20</v>
      </c>
      <c r="W46" s="775">
        <f t="shared" si="14"/>
        <v>100</v>
      </c>
      <c r="X46" s="1809"/>
      <c r="Y46" s="3264"/>
      <c r="Z46" s="1810">
        <f t="shared" si="18"/>
        <v>0</v>
      </c>
      <c r="AA46" s="1807">
        <f t="shared" si="15"/>
        <v>1</v>
      </c>
      <c r="AB46" s="1807">
        <f t="shared" si="16"/>
        <v>1</v>
      </c>
      <c r="AC46" s="1807">
        <f t="shared" si="17"/>
        <v>1</v>
      </c>
    </row>
    <row r="47" spans="1:29" ht="15">
      <c r="A47" s="479" t="s">
        <v>2566</v>
      </c>
      <c r="B47" s="480"/>
      <c r="C47" s="1404" t="s">
        <v>19</v>
      </c>
      <c r="D47" s="1405"/>
      <c r="E47" s="1406">
        <f>ROUND(1000*10000/421,0)</f>
        <v>23753</v>
      </c>
      <c r="F47" s="1407"/>
      <c r="G47" s="1408">
        <f>ROUND(30000*60.99/78,0)</f>
        <v>23458</v>
      </c>
      <c r="H47" s="1409"/>
      <c r="I47" s="1408">
        <f>ROUND(35000*148.59/179.55,0)</f>
        <v>28965</v>
      </c>
      <c r="J47" s="1409"/>
      <c r="K47" s="2615"/>
      <c r="L47" s="1140"/>
      <c r="M47" s="1141"/>
      <c r="N47" s="1128"/>
      <c r="O47" s="1141"/>
      <c r="P47" s="3215" t="str">
        <f>A47</f>
        <v>成交单价（元/平方米）</v>
      </c>
      <c r="Q47" s="3215"/>
      <c r="R47" s="3257">
        <f>E47</f>
        <v>23753</v>
      </c>
      <c r="S47" s="3257"/>
      <c r="T47" s="3257">
        <f>G47</f>
        <v>23458</v>
      </c>
      <c r="U47" s="3257"/>
      <c r="V47" s="3257">
        <f>I47</f>
        <v>28965</v>
      </c>
      <c r="W47" s="3257"/>
      <c r="X47" s="759"/>
      <c r="Y47" s="781"/>
      <c r="Z47" s="759"/>
      <c r="AA47" s="759"/>
      <c r="AB47" s="759"/>
      <c r="AC47" s="759"/>
    </row>
    <row r="48" spans="1:29" ht="15.75" thickBot="1">
      <c r="A48" s="486" t="s">
        <v>2567</v>
      </c>
      <c r="B48" s="487"/>
      <c r="C48" s="1410">
        <f>R49</f>
        <v>25084</v>
      </c>
      <c r="D48" s="1411"/>
      <c r="E48" s="1412">
        <f>R48</f>
        <v>24510</v>
      </c>
      <c r="F48" s="1412"/>
      <c r="G48" s="1410">
        <f>T48</f>
        <v>23700</v>
      </c>
      <c r="H48" s="1411"/>
      <c r="I48" s="1412">
        <f>V48</f>
        <v>27042</v>
      </c>
      <c r="J48" s="1411"/>
      <c r="K48" s="2616"/>
      <c r="L48" s="1140"/>
      <c r="M48" s="1141"/>
      <c r="N48" s="1141"/>
      <c r="O48" s="1141"/>
      <c r="P48" s="3215" t="str">
        <f>A48</f>
        <v>比较价值（元/平方米）</v>
      </c>
      <c r="Q48" s="3215"/>
      <c r="R48" s="3257">
        <f>IF(F1="售价",ROUND(PRODUCT(R47,AA7:AA46),0),ROUND(PRODUCT(R47,AA7:AA46),1))</f>
        <v>24510</v>
      </c>
      <c r="S48" s="3257"/>
      <c r="T48" s="3257">
        <f>IF(F1="售价",ROUND(PRODUCT(T47,AB7:AB46),0),ROUND(PRODUCT(T47,AB7:AB46),1))</f>
        <v>23700</v>
      </c>
      <c r="U48" s="3257"/>
      <c r="V48" s="3257">
        <f>IF(F1="售价",ROUND(PRODUCT(V47,AC7:AC46),0),ROUND(PRODUCT(V47,AC7:AC46),1))</f>
        <v>27042</v>
      </c>
      <c r="W48" s="3257"/>
      <c r="X48" s="759"/>
      <c r="Y48" s="759"/>
      <c r="Z48" s="759"/>
      <c r="AA48" s="759"/>
      <c r="AB48" s="759"/>
      <c r="AC48" s="759"/>
    </row>
    <row r="49" spans="1:29" ht="15.75" thickBot="1">
      <c r="A49" s="492" t="s">
        <v>2568</v>
      </c>
      <c r="B49" s="493"/>
      <c r="C49" s="1413">
        <f>R49</f>
        <v>25084</v>
      </c>
      <c r="D49" s="1414"/>
      <c r="E49" s="1414"/>
      <c r="F49" s="1414"/>
      <c r="G49" s="1414"/>
      <c r="H49" s="1414"/>
      <c r="I49" s="1414"/>
      <c r="J49" s="1414"/>
      <c r="K49" s="2617"/>
      <c r="L49" s="1140"/>
      <c r="M49" s="1141"/>
      <c r="N49" s="1141"/>
      <c r="O49" s="1141"/>
      <c r="P49" s="3209" t="str">
        <f>A49</f>
        <v>估价对象XX用房的比较价值（楼面单价，元/平方米）</v>
      </c>
      <c r="Q49" s="3210"/>
      <c r="R49" s="3258">
        <f>IF(F1="售价",ROUND(AVERAGE(R48:V48),0),ROUND(AVERAGE(R48:V48),1))</f>
        <v>25084</v>
      </c>
      <c r="S49" s="3258"/>
      <c r="T49" s="3258"/>
      <c r="U49" s="3258"/>
      <c r="V49" s="3258"/>
      <c r="W49" s="325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2569</v>
      </c>
      <c r="D52" s="498"/>
      <c r="E52" s="499">
        <f>IF(E47&lt;E48,E48/E47-1,E47/E48-1)</f>
        <v>3.1869658569443793E-2</v>
      </c>
      <c r="F52" s="500" t="str">
        <f>IF(OR(E52&gt;=0.3,E52&lt;=-0.3),"超过30%","")</f>
        <v/>
      </c>
      <c r="G52" s="499">
        <f>IF(G47&lt;G48,G48/G47-1,G47/G48-1)</f>
        <v>1.0316310000852535E-2</v>
      </c>
      <c r="H52" s="500" t="str">
        <f>IF(OR(G52&gt;=0.3,G52&lt;=-0.3),"超过30%","")</f>
        <v/>
      </c>
      <c r="I52" s="499">
        <f>IF(I47&lt;I48,I48/I47-1,I47/I48-1)</f>
        <v>7.1111604171289144E-2</v>
      </c>
      <c r="J52" s="500" t="str">
        <f>IF(OR(I52&gt;=0.3,I52&lt;=-0.3),"超过30%","")</f>
        <v/>
      </c>
      <c r="K52" s="1102"/>
      <c r="L52" s="1103"/>
      <c r="M52" s="1141"/>
      <c r="N52" s="1141"/>
      <c r="O52" s="1141"/>
    </row>
    <row r="53" spans="1:29" ht="13.5" customHeight="1">
      <c r="A53" s="1141"/>
      <c r="B53" s="1141"/>
      <c r="C53" s="497" t="s">
        <v>2570</v>
      </c>
      <c r="D53" s="501"/>
      <c r="E53" s="499">
        <f>IF(E48&lt;G48,G48/E48-1,E48/G48-1)</f>
        <v>3.4177215189873378E-2</v>
      </c>
      <c r="F53" s="500" t="str">
        <f>IF(OR(E53&gt;=0.2,E53&lt;=-0.2),"超过20%","")</f>
        <v/>
      </c>
      <c r="G53" s="499">
        <f>IF(G48&lt;I48,I48/G48-1,G48/I48-1)</f>
        <v>0.14101265822784814</v>
      </c>
      <c r="H53" s="500" t="str">
        <f>IF(OR(G53&gt;=0.2,G53&lt;=-0.2),"超过20%","")</f>
        <v/>
      </c>
      <c r="I53" s="499">
        <f>IF(I48&lt;E48,E48/I48-1,I48/E48-1)</f>
        <v>0.10330477356181156</v>
      </c>
      <c r="J53" s="500" t="str">
        <f>IF(OR(I53&gt;=0.2,I53&lt;=-0.2),"超过20%","")</f>
        <v/>
      </c>
      <c r="K53" s="1102"/>
      <c r="L53" s="1103"/>
      <c r="M53" s="1141"/>
      <c r="N53" s="1141"/>
      <c r="O53" s="1141"/>
    </row>
    <row r="54" spans="1:29" s="502" customFormat="1" ht="13.5" customHeight="1">
      <c r="A54" s="1142"/>
      <c r="B54" s="1142"/>
      <c r="C54" s="497" t="s">
        <v>2571</v>
      </c>
      <c r="D54" s="501"/>
      <c r="E54" s="499">
        <f>IF(E47&lt;G47,G47/E47-1,E47/G47-1)</f>
        <v>1.257566714979963E-2</v>
      </c>
      <c r="F54" s="500" t="str">
        <f>IF(OR(E54&gt;=0.3,E54&lt;=-0.3),"超过30%","")</f>
        <v/>
      </c>
      <c r="G54" s="499">
        <f>IF(G47&lt;I47,I47/G47-1,G47/I47-1)</f>
        <v>0.23475999658964963</v>
      </c>
      <c r="H54" s="500" t="str">
        <f>IF(OR(G54&gt;=0.3,G54&lt;=-0.3),"超过30%","")</f>
        <v/>
      </c>
      <c r="I54" s="499">
        <f>IF(I47&lt;E47,E47/I47-1,I47/E47-1)</f>
        <v>0.21942491474761083</v>
      </c>
      <c r="J54" s="500" t="str">
        <f>IF(OR(I54&gt;=0.3,I54&lt;=-0.3),"超过30%","")</f>
        <v/>
      </c>
      <c r="K54" s="1145"/>
      <c r="L54" s="1146"/>
      <c r="M54" s="1142"/>
      <c r="N54" s="1142"/>
      <c r="O54" s="1142"/>
      <c r="P54" s="2619"/>
    </row>
    <row r="55" spans="1:29" s="502"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3" t="s">
        <v>2572</v>
      </c>
      <c r="B57" s="759"/>
      <c r="C57" s="764"/>
      <c r="D57" s="764"/>
      <c r="E57" s="764"/>
      <c r="F57" s="765"/>
      <c r="G57" s="765"/>
      <c r="H57" s="764"/>
      <c r="I57" s="764"/>
      <c r="J57" s="764"/>
      <c r="K57" s="1157"/>
      <c r="L57" s="1158"/>
      <c r="M57" s="1156"/>
      <c r="N57" s="1156"/>
      <c r="O57" s="1156"/>
      <c r="P57" s="2620"/>
      <c r="Q57" s="504"/>
    </row>
    <row r="58" spans="1:29" s="508" customFormat="1" ht="15">
      <c r="A58" s="505" t="s">
        <v>2573</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2574</v>
      </c>
      <c r="B60" s="516"/>
      <c r="C60" s="517"/>
      <c r="D60" s="518"/>
      <c r="E60" s="518"/>
      <c r="F60" s="518"/>
      <c r="G60" s="518"/>
      <c r="H60" s="518"/>
      <c r="I60" s="518"/>
      <c r="J60" s="518"/>
      <c r="K60" s="518"/>
      <c r="L60" s="518"/>
      <c r="M60" s="519"/>
      <c r="N60" s="518"/>
      <c r="O60" s="519"/>
      <c r="P60" s="2622"/>
      <c r="Q60" s="504"/>
    </row>
    <row r="61" spans="1:29" s="117" customFormat="1" ht="15">
      <c r="A61" s="521" t="s">
        <v>2575</v>
      </c>
      <c r="B61" s="510"/>
      <c r="C61" s="522" t="s">
        <v>2576</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2577</v>
      </c>
      <c r="B63" s="528" t="s">
        <v>2543</v>
      </c>
      <c r="C63" s="529" t="str">
        <f>C9</f>
        <v>住宅</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49"/>
      <c r="O65" s="1149"/>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4"/>
      <c r="Q66" s="504"/>
    </row>
    <row r="67" spans="1:17" ht="15.75" thickTop="1">
      <c r="A67" s="534"/>
      <c r="B67" s="546" t="s">
        <v>2547</v>
      </c>
      <c r="C67" s="547" t="str">
        <f>C68&amp;"（含）"&amp;"-"&amp;D68</f>
        <v>0（含）-5</v>
      </c>
      <c r="D67" s="547" t="str">
        <f t="shared" ref="D67:L67" si="21">D68&amp;"（含）"&amp;"-"&amp;E68</f>
        <v>5（含）-10</v>
      </c>
      <c r="E67" s="547" t="str">
        <f t="shared" si="21"/>
        <v>10（含）-15</v>
      </c>
      <c r="F67" s="547" t="str">
        <f t="shared" si="21"/>
        <v>15（含）-20</v>
      </c>
      <c r="G67" s="547" t="str">
        <f t="shared" si="21"/>
        <v>20（含）-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4"/>
      <c r="Q67" s="504"/>
    </row>
    <row r="68" spans="1:17" ht="15">
      <c r="A68" s="534"/>
      <c r="B68" s="548"/>
      <c r="C68" s="549">
        <v>0</v>
      </c>
      <c r="D68" s="549">
        <v>5</v>
      </c>
      <c r="E68" s="549">
        <v>10</v>
      </c>
      <c r="F68" s="549">
        <v>15</v>
      </c>
      <c r="G68" s="549">
        <v>20</v>
      </c>
      <c r="H68" s="549"/>
      <c r="I68" s="549"/>
      <c r="J68" s="549"/>
      <c r="K68" s="550"/>
      <c r="L68" s="551"/>
      <c r="M68" s="552"/>
      <c r="N68" s="1149"/>
      <c r="O68" s="1149"/>
      <c r="P68" s="2624"/>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0"/>
      <c r="O69" s="1150"/>
      <c r="P69" s="2624"/>
      <c r="Q69" s="504"/>
    </row>
    <row r="70" spans="1:17" s="471" customFormat="1" ht="15.75" thickTop="1">
      <c r="A70" s="553"/>
      <c r="B70" s="538">
        <f>B12</f>
        <v>0</v>
      </c>
      <c r="C70" s="554"/>
      <c r="D70" s="554"/>
      <c r="E70" s="554"/>
      <c r="F70" s="554"/>
      <c r="G70" s="554"/>
      <c r="H70" s="555"/>
      <c r="I70" s="555"/>
      <c r="J70" s="555"/>
      <c r="K70" s="555"/>
      <c r="L70" s="556"/>
      <c r="M70" s="557"/>
      <c r="N70" s="1151"/>
      <c r="O70" s="1151"/>
      <c r="P70" s="2625"/>
      <c r="Q70" s="559"/>
    </row>
    <row r="71" spans="1:17" s="471" customFormat="1" ht="15.75" thickBot="1">
      <c r="A71" s="553"/>
      <c r="B71" s="543"/>
      <c r="C71" s="560"/>
      <c r="D71" s="536"/>
      <c r="E71" s="536"/>
      <c r="F71" s="536"/>
      <c r="G71" s="536"/>
      <c r="H71" s="536"/>
      <c r="I71" s="536"/>
      <c r="J71" s="536"/>
      <c r="K71" s="536"/>
      <c r="L71" s="536"/>
      <c r="M71" s="537"/>
      <c r="N71" s="1150"/>
      <c r="O71" s="1150"/>
      <c r="P71" s="2625"/>
      <c r="Q71" s="559"/>
    </row>
    <row r="72" spans="1:17" s="471" customFormat="1" ht="15.75" thickTop="1">
      <c r="A72" s="553"/>
      <c r="B72" s="538">
        <f>B13</f>
        <v>0</v>
      </c>
      <c r="C72" s="554"/>
      <c r="D72" s="554"/>
      <c r="E72" s="554"/>
      <c r="F72" s="554"/>
      <c r="G72" s="554"/>
      <c r="H72" s="555"/>
      <c r="I72" s="555"/>
      <c r="J72" s="555"/>
      <c r="K72" s="555"/>
      <c r="L72" s="556"/>
      <c r="M72" s="557"/>
      <c r="N72" s="1151"/>
      <c r="O72" s="1151"/>
      <c r="P72" s="2626"/>
      <c r="Q72" s="561"/>
    </row>
    <row r="73" spans="1:17" s="471" customFormat="1" ht="15.75" thickBot="1">
      <c r="A73" s="553"/>
      <c r="B73" s="543"/>
      <c r="C73" s="560"/>
      <c r="D73" s="560"/>
      <c r="E73" s="560"/>
      <c r="F73" s="560"/>
      <c r="G73" s="560"/>
      <c r="H73" s="562"/>
      <c r="I73" s="562"/>
      <c r="J73" s="562"/>
      <c r="K73" s="562"/>
      <c r="L73" s="562"/>
      <c r="M73" s="563"/>
      <c r="N73" s="1151"/>
      <c r="O73" s="1151"/>
      <c r="P73" s="2625"/>
      <c r="Q73" s="559"/>
    </row>
    <row r="74" spans="1:17" s="471" customFormat="1" ht="15.75" thickTop="1">
      <c r="A74" s="553"/>
      <c r="B74" s="546">
        <f>B14</f>
        <v>0</v>
      </c>
      <c r="C74" s="554"/>
      <c r="D74" s="554"/>
      <c r="E74" s="554"/>
      <c r="F74" s="554"/>
      <c r="G74" s="523"/>
      <c r="H74" s="564"/>
      <c r="I74" s="564"/>
      <c r="J74" s="564"/>
      <c r="K74" s="564"/>
      <c r="L74" s="565"/>
      <c r="M74" s="566"/>
      <c r="N74" s="1151"/>
      <c r="O74" s="1151"/>
      <c r="P74" s="2627"/>
      <c r="Q74" s="559"/>
    </row>
    <row r="75" spans="1:17" s="471" customFormat="1" ht="15.75" thickBot="1">
      <c r="A75" s="568"/>
      <c r="B75" s="569"/>
      <c r="C75" s="570"/>
      <c r="D75" s="570"/>
      <c r="E75" s="570"/>
      <c r="F75" s="570"/>
      <c r="G75" s="570"/>
      <c r="H75" s="571"/>
      <c r="I75" s="571"/>
      <c r="J75" s="571"/>
      <c r="K75" s="571"/>
      <c r="L75" s="571"/>
      <c r="M75" s="572"/>
      <c r="N75" s="1151"/>
      <c r="O75" s="1151"/>
      <c r="P75" s="262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49"/>
      <c r="O76" s="1149"/>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2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49"/>
      <c r="O78" s="1149"/>
      <c r="P78" s="2624"/>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0"/>
      <c r="O79" s="1150"/>
      <c r="P79" s="262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49"/>
      <c r="O80" s="1149"/>
      <c r="P80" s="2624"/>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0"/>
      <c r="O81" s="1150"/>
      <c r="P81" s="2624"/>
      <c r="Q81" s="504"/>
    </row>
    <row r="82" spans="1:17" ht="15.75" thickTop="1">
      <c r="A82" s="534"/>
      <c r="B82" s="546" t="s">
        <v>2091</v>
      </c>
      <c r="C82" s="539" t="s">
        <v>2593</v>
      </c>
      <c r="D82" s="539" t="s">
        <v>2594</v>
      </c>
      <c r="E82" s="539" t="s">
        <v>2595</v>
      </c>
      <c r="F82" s="539" t="s">
        <v>2596</v>
      </c>
      <c r="G82" s="539" t="s">
        <v>2597</v>
      </c>
      <c r="H82" s="539"/>
      <c r="I82" s="539"/>
      <c r="J82" s="539"/>
      <c r="K82" s="539"/>
      <c r="L82" s="539"/>
      <c r="M82" s="1379"/>
      <c r="N82" s="1150"/>
      <c r="O82" s="1150"/>
      <c r="P82" s="2624"/>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49"/>
      <c r="O84" s="1149"/>
      <c r="P84" s="2624"/>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4"/>
      <c r="Q85" s="504"/>
    </row>
    <row r="86" spans="1:17" s="117" customFormat="1" ht="15.75" thickTop="1">
      <c r="A86" s="579"/>
      <c r="B86" s="538" t="s">
        <v>2599</v>
      </c>
      <c r="C86" s="554"/>
      <c r="D86" s="554"/>
      <c r="E86" s="554"/>
      <c r="F86" s="554"/>
      <c r="G86" s="554"/>
      <c r="H86" s="554"/>
      <c r="I86" s="554"/>
      <c r="J86" s="554"/>
      <c r="K86" s="554"/>
      <c r="L86" s="580"/>
      <c r="M86" s="581"/>
      <c r="N86" s="1148"/>
      <c r="O86" s="1148"/>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4"/>
      <c r="Q87" s="504"/>
    </row>
    <row r="88" spans="1:17" s="117" customFormat="1" ht="15.75" thickTop="1">
      <c r="A88" s="579"/>
      <c r="B88" s="538" t="s">
        <v>2600</v>
      </c>
      <c r="C88" s="554"/>
      <c r="D88" s="554"/>
      <c r="E88" s="554"/>
      <c r="F88" s="2629"/>
      <c r="G88" s="554"/>
      <c r="H88" s="554"/>
      <c r="I88" s="554"/>
      <c r="J88" s="554"/>
      <c r="K88" s="554"/>
      <c r="L88" s="554"/>
      <c r="M88" s="581"/>
      <c r="N88" s="1148"/>
      <c r="O88" s="1148"/>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4"/>
      <c r="Q89" s="504"/>
    </row>
    <row r="90" spans="1:17" s="471" customFormat="1" ht="15.75" thickTop="1">
      <c r="A90" s="553"/>
      <c r="B90" s="538">
        <f>B27</f>
        <v>0</v>
      </c>
      <c r="C90" s="554"/>
      <c r="D90" s="554"/>
      <c r="E90" s="554"/>
      <c r="F90" s="554"/>
      <c r="G90" s="554"/>
      <c r="H90" s="555"/>
      <c r="I90" s="555"/>
      <c r="J90" s="555"/>
      <c r="K90" s="555"/>
      <c r="L90" s="556"/>
      <c r="M90" s="557"/>
      <c r="N90" s="1151"/>
      <c r="O90" s="1151"/>
      <c r="P90" s="2625"/>
      <c r="Q90" s="559"/>
    </row>
    <row r="91" spans="1:17" s="471" customFormat="1" ht="15.75" thickBot="1">
      <c r="A91" s="553"/>
      <c r="B91" s="543"/>
      <c r="C91" s="560"/>
      <c r="D91" s="560"/>
      <c r="E91" s="560"/>
      <c r="F91" s="560"/>
      <c r="G91" s="560"/>
      <c r="H91" s="562"/>
      <c r="I91" s="562"/>
      <c r="J91" s="562"/>
      <c r="K91" s="562"/>
      <c r="L91" s="562"/>
      <c r="M91" s="563"/>
      <c r="N91" s="1151"/>
      <c r="O91" s="1151"/>
      <c r="P91" s="2625"/>
      <c r="Q91" s="559"/>
    </row>
    <row r="92" spans="1:17" ht="15.75" thickTop="1">
      <c r="A92" s="534"/>
      <c r="B92" s="538">
        <f>B28</f>
        <v>0</v>
      </c>
      <c r="C92" s="554"/>
      <c r="D92" s="554"/>
      <c r="E92" s="554"/>
      <c r="F92" s="554"/>
      <c r="G92" s="583"/>
      <c r="H92" s="583"/>
      <c r="I92" s="583"/>
      <c r="J92" s="583"/>
      <c r="K92" s="584"/>
      <c r="L92" s="585"/>
      <c r="M92" s="586"/>
      <c r="N92" s="1149"/>
      <c r="O92" s="1149"/>
      <c r="P92" s="2624"/>
      <c r="Q92" s="504"/>
    </row>
    <row r="93" spans="1:17" ht="15.75" thickBot="1">
      <c r="A93" s="534"/>
      <c r="B93" s="543"/>
      <c r="C93" s="560"/>
      <c r="D93" s="536"/>
      <c r="E93" s="536"/>
      <c r="F93" s="536"/>
      <c r="G93" s="536"/>
      <c r="H93" s="536"/>
      <c r="I93" s="536"/>
      <c r="J93" s="536"/>
      <c r="K93" s="536"/>
      <c r="L93" s="536"/>
      <c r="M93" s="537"/>
      <c r="N93" s="1150"/>
      <c r="O93" s="1150"/>
      <c r="P93" s="2624"/>
      <c r="Q93" s="504"/>
    </row>
    <row r="94" spans="1:17" ht="15.75" thickTop="1">
      <c r="A94" s="534"/>
      <c r="B94" s="538">
        <f>B29</f>
        <v>0</v>
      </c>
      <c r="C94" s="554"/>
      <c r="D94" s="554"/>
      <c r="E94" s="554"/>
      <c r="F94" s="554"/>
      <c r="G94" s="583"/>
      <c r="H94" s="583"/>
      <c r="I94" s="583"/>
      <c r="J94" s="583"/>
      <c r="K94" s="584"/>
      <c r="L94" s="585"/>
      <c r="M94" s="586"/>
      <c r="N94" s="1149"/>
      <c r="O94" s="1149"/>
      <c r="P94" s="2624"/>
      <c r="Q94" s="504"/>
    </row>
    <row r="95" spans="1:17" ht="15.75" thickBot="1">
      <c r="A95" s="534"/>
      <c r="B95" s="543"/>
      <c r="C95" s="560"/>
      <c r="D95" s="560"/>
      <c r="E95" s="560"/>
      <c r="F95" s="560"/>
      <c r="G95" s="536"/>
      <c r="H95" s="536"/>
      <c r="I95" s="536"/>
      <c r="J95" s="536"/>
      <c r="K95" s="536"/>
      <c r="L95" s="536"/>
      <c r="M95" s="537"/>
      <c r="N95" s="1150"/>
      <c r="O95" s="1150"/>
      <c r="P95" s="2624"/>
      <c r="Q95" s="504"/>
    </row>
    <row r="96" spans="1:17" ht="15.75" thickTop="1">
      <c r="A96" s="534"/>
      <c r="B96" s="538">
        <f>B30</f>
        <v>0</v>
      </c>
      <c r="C96" s="554"/>
      <c r="D96" s="554"/>
      <c r="E96" s="554"/>
      <c r="F96" s="554"/>
      <c r="G96" s="583"/>
      <c r="H96" s="583"/>
      <c r="I96" s="583"/>
      <c r="J96" s="583"/>
      <c r="K96" s="584"/>
      <c r="L96" s="585"/>
      <c r="M96" s="586"/>
      <c r="N96" s="1149"/>
      <c r="O96" s="1149"/>
      <c r="P96" s="2624"/>
      <c r="Q96" s="504"/>
    </row>
    <row r="97" spans="1:17" ht="15.75" thickBot="1">
      <c r="A97" s="534"/>
      <c r="B97" s="543"/>
      <c r="C97" s="570"/>
      <c r="D97" s="570"/>
      <c r="E97" s="570"/>
      <c r="F97" s="570"/>
      <c r="G97" s="536"/>
      <c r="H97" s="536"/>
      <c r="I97" s="536"/>
      <c r="J97" s="536"/>
      <c r="K97" s="536"/>
      <c r="L97" s="536"/>
      <c r="M97" s="537"/>
      <c r="N97" s="1150"/>
      <c r="O97" s="1150"/>
      <c r="P97" s="2624"/>
      <c r="Q97" s="504"/>
    </row>
    <row r="98" spans="1:17" ht="15.75" thickTop="1">
      <c r="A98" s="534"/>
      <c r="B98" s="546">
        <f>B31</f>
        <v>0</v>
      </c>
      <c r="C98" s="587"/>
      <c r="D98" s="587"/>
      <c r="E98" s="587"/>
      <c r="F98" s="587"/>
      <c r="G98" s="587"/>
      <c r="H98" s="587"/>
      <c r="I98" s="587"/>
      <c r="J98" s="587"/>
      <c r="K98" s="588"/>
      <c r="L98" s="589"/>
      <c r="M98" s="590"/>
      <c r="N98" s="1149"/>
      <c r="O98" s="1149"/>
      <c r="P98" s="2624"/>
      <c r="Q98" s="504"/>
    </row>
    <row r="99" spans="1:17" ht="15.75" thickBot="1">
      <c r="A99" s="2630"/>
      <c r="B99" s="569"/>
      <c r="C99" s="591"/>
      <c r="D99" s="591"/>
      <c r="E99" s="591"/>
      <c r="F99" s="591"/>
      <c r="G99" s="591"/>
      <c r="H99" s="591"/>
      <c r="I99" s="591"/>
      <c r="J99" s="591"/>
      <c r="K99" s="591"/>
      <c r="L99" s="591"/>
      <c r="M99" s="592"/>
      <c r="N99" s="1150"/>
      <c r="O99" s="1150"/>
      <c r="P99" s="2624"/>
      <c r="Q99" s="504"/>
    </row>
    <row r="100" spans="1:17">
      <c r="A100" s="527" t="s">
        <v>2552</v>
      </c>
      <c r="B100" s="528" t="s">
        <v>2601</v>
      </c>
      <c r="C100" s="2986" t="s">
        <v>4249</v>
      </c>
      <c r="D100" s="530"/>
      <c r="E100" s="530"/>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4"/>
      <c r="Q101" s="504"/>
    </row>
    <row r="102" spans="1:17" ht="15.75" thickTop="1">
      <c r="A102" s="534"/>
      <c r="B102" s="538" t="s">
        <v>2602</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4"/>
      <c r="Q102" s="504"/>
    </row>
    <row r="103" spans="1:17" s="471" customFormat="1">
      <c r="A103" s="593"/>
      <c r="B103" s="594"/>
      <c r="C103" s="595">
        <v>0</v>
      </c>
      <c r="D103" s="595"/>
      <c r="E103" s="595"/>
      <c r="F103" s="595"/>
      <c r="G103" s="595"/>
      <c r="H103" s="595"/>
      <c r="I103" s="595"/>
      <c r="J103" s="596"/>
      <c r="K103" s="596"/>
      <c r="L103" s="597"/>
      <c r="M103" s="598"/>
      <c r="N103" s="1151"/>
      <c r="O103" s="1151"/>
      <c r="P103" s="2625"/>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5"/>
      <c r="Q104" s="559"/>
    </row>
    <row r="105" spans="1:17" ht="15" thickTop="1">
      <c r="A105" s="599"/>
      <c r="B105" s="538" t="s">
        <v>2603</v>
      </c>
      <c r="C105" s="2970" t="s">
        <v>4250</v>
      </c>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4"/>
      <c r="Q106" s="504"/>
    </row>
    <row r="107" spans="1:17" ht="15" thickTop="1">
      <c r="A107" s="599"/>
      <c r="B107" s="538" t="s">
        <v>2604</v>
      </c>
      <c r="C107" s="2969" t="s">
        <v>4252</v>
      </c>
      <c r="D107" s="583"/>
      <c r="E107" s="583"/>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4"/>
      <c r="Q108" s="504"/>
    </row>
    <row r="109" spans="1:17" ht="15" thickTop="1">
      <c r="A109" s="599"/>
      <c r="B109" s="538" t="s">
        <v>2605</v>
      </c>
      <c r="C109" s="2970" t="s">
        <v>4253</v>
      </c>
      <c r="D109" s="554"/>
      <c r="E109" s="554"/>
      <c r="F109" s="583"/>
      <c r="G109" s="583"/>
      <c r="H109" s="583"/>
      <c r="I109" s="583"/>
      <c r="J109" s="583"/>
      <c r="K109" s="584"/>
      <c r="L109" s="585"/>
      <c r="M109" s="586"/>
      <c r="N109" s="1149"/>
      <c r="O109" s="1149"/>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5"/>
      <c r="Q113" s="559"/>
    </row>
    <row r="114" spans="1:17" ht="15" thickTop="1">
      <c r="A114" s="599"/>
      <c r="B114" s="538" t="s">
        <v>2606</v>
      </c>
      <c r="C114" s="2970" t="s">
        <v>4254</v>
      </c>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4"/>
      <c r="Q115" s="504"/>
    </row>
    <row r="116" spans="1:17" ht="15" thickTop="1">
      <c r="A116" s="599"/>
      <c r="B116" s="538" t="s">
        <v>2607</v>
      </c>
      <c r="C116" s="2970" t="s">
        <v>4255</v>
      </c>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4"/>
      <c r="Q117" s="504"/>
    </row>
    <row r="118" spans="1:17" ht="15" thickTop="1">
      <c r="A118" s="599"/>
      <c r="B118" s="538" t="s">
        <v>2608</v>
      </c>
      <c r="C118" s="2969" t="s">
        <v>4257</v>
      </c>
      <c r="D118" s="583"/>
      <c r="E118" s="583"/>
      <c r="F118" s="583"/>
      <c r="G118" s="583"/>
      <c r="H118" s="583"/>
      <c r="I118" s="583"/>
      <c r="J118" s="583"/>
      <c r="K118" s="584"/>
      <c r="L118" s="585"/>
      <c r="M118" s="586"/>
      <c r="N118" s="1149"/>
      <c r="O118" s="1149"/>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4"/>
      <c r="Q119" s="504"/>
    </row>
    <row r="120" spans="1:17" s="471" customFormat="1" ht="28.5" thickTop="1">
      <c r="A120" s="593"/>
      <c r="B120" s="538" t="s">
        <v>2563</v>
      </c>
      <c r="C120" s="554"/>
      <c r="D120" s="554"/>
      <c r="E120" s="554"/>
      <c r="F120" s="554"/>
      <c r="G120" s="554"/>
      <c r="H120" s="554"/>
      <c r="I120" s="554"/>
      <c r="J120" s="554"/>
      <c r="K120" s="554"/>
      <c r="L120" s="580"/>
      <c r="M120" s="581"/>
      <c r="N120" s="1151"/>
      <c r="O120" s="1151"/>
      <c r="P120" s="2625"/>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5"/>
      <c r="Q121" s="559"/>
    </row>
    <row r="122" spans="1:17" ht="15" thickTop="1">
      <c r="A122" s="599"/>
      <c r="B122" s="538" t="s">
        <v>2609</v>
      </c>
      <c r="C122" s="2970" t="s">
        <v>4258</v>
      </c>
      <c r="D122" s="2970" t="s">
        <v>4259</v>
      </c>
      <c r="E122" s="554"/>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49"/>
      <c r="O124" s="1149"/>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4"/>
      <c r="Q125" s="504"/>
    </row>
    <row r="126" spans="1:17" s="471" customFormat="1" ht="15" thickTop="1">
      <c r="A126" s="593"/>
      <c r="B126" s="538">
        <f>B44</f>
        <v>0</v>
      </c>
      <c r="C126" s="554"/>
      <c r="D126" s="554"/>
      <c r="E126" s="554"/>
      <c r="F126" s="554"/>
      <c r="G126" s="554"/>
      <c r="H126" s="555"/>
      <c r="I126" s="555"/>
      <c r="J126" s="555"/>
      <c r="K126" s="555"/>
      <c r="L126" s="556"/>
      <c r="M126" s="557"/>
      <c r="N126" s="1151"/>
      <c r="O126" s="1151"/>
      <c r="P126" s="2625"/>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5"/>
      <c r="Q127" s="559"/>
    </row>
    <row r="128" spans="1:17" ht="15" thickTop="1">
      <c r="A128" s="599"/>
      <c r="B128" s="538">
        <f>B45</f>
        <v>0</v>
      </c>
      <c r="C128" s="554"/>
      <c r="D128" s="554"/>
      <c r="E128" s="554"/>
      <c r="F128" s="554"/>
      <c r="G128" s="583"/>
      <c r="H128" s="583"/>
      <c r="I128" s="583"/>
      <c r="J128" s="583"/>
      <c r="K128" s="584"/>
      <c r="L128" s="585"/>
      <c r="M128" s="586"/>
      <c r="N128" s="1149"/>
      <c r="O128" s="1149"/>
      <c r="P128" s="2624"/>
      <c r="Q128" s="504"/>
    </row>
    <row r="129" spans="1:17" ht="15.75" thickBot="1">
      <c r="A129" s="534"/>
      <c r="B129" s="543"/>
      <c r="C129" s="560"/>
      <c r="D129" s="560"/>
      <c r="E129" s="560"/>
      <c r="F129" s="560"/>
      <c r="G129" s="536"/>
      <c r="H129" s="536"/>
      <c r="I129" s="536"/>
      <c r="J129" s="536"/>
      <c r="K129" s="536"/>
      <c r="L129" s="536"/>
      <c r="M129" s="537"/>
      <c r="N129" s="1150"/>
      <c r="O129" s="1150"/>
      <c r="P129" s="2624"/>
      <c r="Q129" s="504"/>
    </row>
    <row r="130" spans="1:17" ht="15" thickTop="1">
      <c r="A130" s="599"/>
      <c r="B130" s="546">
        <f>B46</f>
        <v>0</v>
      </c>
      <c r="C130" s="554"/>
      <c r="D130" s="554"/>
      <c r="E130" s="554"/>
      <c r="F130" s="554"/>
      <c r="G130" s="587"/>
      <c r="H130" s="587"/>
      <c r="I130" s="587"/>
      <c r="J130" s="587"/>
      <c r="K130" s="523"/>
      <c r="L130" s="524"/>
      <c r="M130" s="590"/>
      <c r="N130" s="1149"/>
      <c r="O130" s="1149"/>
      <c r="P130" s="2624"/>
      <c r="Q130" s="504"/>
    </row>
    <row r="131" spans="1:17" ht="15.75" thickBot="1">
      <c r="A131" s="2630"/>
      <c r="B131" s="569"/>
      <c r="C131" s="570"/>
      <c r="D131" s="570"/>
      <c r="E131" s="570"/>
      <c r="F131" s="570"/>
      <c r="G131" s="591"/>
      <c r="H131" s="591"/>
      <c r="I131" s="591"/>
      <c r="J131" s="591"/>
      <c r="K131" s="591"/>
      <c r="L131" s="591"/>
      <c r="M131" s="592"/>
      <c r="N131" s="1150"/>
      <c r="O131" s="1150"/>
      <c r="P131" s="2624"/>
      <c r="Q131" s="504"/>
    </row>
    <row r="136" spans="1:17" ht="15" thickBot="1">
      <c r="B136" s="2631" t="s">
        <v>2611</v>
      </c>
    </row>
    <row r="137" spans="1:17" ht="15">
      <c r="B137" s="2632" t="s">
        <v>2612</v>
      </c>
      <c r="C137" s="2633"/>
      <c r="D137" s="2633"/>
      <c r="E137" s="2633"/>
      <c r="F137" s="2633"/>
      <c r="G137" s="2634"/>
      <c r="H137" s="2635"/>
      <c r="I137" s="2636" t="s">
        <v>2613</v>
      </c>
      <c r="J137" s="2633"/>
      <c r="K137" s="2637"/>
    </row>
    <row r="138" spans="1:17" ht="15">
      <c r="B138" s="2638"/>
      <c r="C138" s="146" t="s">
        <v>2614</v>
      </c>
      <c r="D138" s="146" t="s">
        <v>2615</v>
      </c>
      <c r="E138" s="2639" t="s">
        <v>2616</v>
      </c>
      <c r="F138" s="2640" t="s">
        <v>2617</v>
      </c>
      <c r="G138" s="146" t="s">
        <v>2615</v>
      </c>
      <c r="H138" s="147" t="s">
        <v>2616</v>
      </c>
      <c r="I138" s="2641"/>
      <c r="J138" s="146" t="s">
        <v>2618</v>
      </c>
      <c r="K138" s="147" t="s">
        <v>2619</v>
      </c>
    </row>
    <row r="139" spans="1:17" ht="15">
      <c r="B139" s="1081">
        <v>6</v>
      </c>
      <c r="C139" s="1082">
        <v>96</v>
      </c>
      <c r="D139" s="2642" t="s">
        <v>2620</v>
      </c>
      <c r="E139" s="1083">
        <v>100</v>
      </c>
      <c r="F139" s="1084">
        <v>102.5</v>
      </c>
      <c r="G139" s="2642" t="s">
        <v>2620</v>
      </c>
      <c r="H139" s="1085">
        <v>105</v>
      </c>
      <c r="I139" s="2643" t="s">
        <v>2621</v>
      </c>
      <c r="J139" s="1082">
        <v>20</v>
      </c>
      <c r="K139" s="1086">
        <f>C145/(J139-2)</f>
        <v>4.0555555555555553E-3</v>
      </c>
    </row>
    <row r="140" spans="1:17" ht="15">
      <c r="B140" s="1087">
        <v>5</v>
      </c>
      <c r="C140" s="1088">
        <v>100</v>
      </c>
      <c r="D140" s="1088"/>
      <c r="E140" s="1089"/>
      <c r="F140" s="1090">
        <v>102</v>
      </c>
      <c r="G140" s="1088"/>
      <c r="H140" s="1091"/>
      <c r="I140" s="2644" t="s">
        <v>2622</v>
      </c>
      <c r="J140" s="315">
        <f>ROUNDUP((J139-1)/2,0)</f>
        <v>10</v>
      </c>
      <c r="K140" s="1092">
        <v>100</v>
      </c>
    </row>
    <row r="141" spans="1:17" ht="15">
      <c r="B141" s="1087">
        <v>4</v>
      </c>
      <c r="C141" s="1088">
        <v>102</v>
      </c>
      <c r="D141" s="1088"/>
      <c r="E141" s="1089"/>
      <c r="F141" s="1090">
        <v>101.5</v>
      </c>
      <c r="G141" s="1088"/>
      <c r="H141" s="1091"/>
      <c r="I141" s="2644" t="s">
        <v>2623</v>
      </c>
      <c r="J141" s="315">
        <v>1</v>
      </c>
      <c r="K141" s="1093">
        <f>ROUND(100+(J141-J140)*K139*100,1)</f>
        <v>96.4</v>
      </c>
    </row>
    <row r="142" spans="1:17" ht="15">
      <c r="B142" s="1087">
        <v>3</v>
      </c>
      <c r="C142" s="1088">
        <v>103</v>
      </c>
      <c r="D142" s="1088"/>
      <c r="E142" s="1089"/>
      <c r="F142" s="1090">
        <v>101</v>
      </c>
      <c r="G142" s="1088"/>
      <c r="H142" s="1091"/>
      <c r="I142" s="2644" t="s">
        <v>2624</v>
      </c>
      <c r="J142" s="315">
        <f>J139</f>
        <v>20</v>
      </c>
      <c r="K142" s="1094">
        <v>95</v>
      </c>
    </row>
    <row r="143" spans="1:17" ht="15">
      <c r="B143" s="1087">
        <v>2</v>
      </c>
      <c r="C143" s="1088">
        <v>100</v>
      </c>
      <c r="D143" s="1088"/>
      <c r="E143" s="1089"/>
      <c r="F143" s="1090">
        <v>100.5</v>
      </c>
      <c r="G143" s="1088"/>
      <c r="H143" s="1091"/>
      <c r="I143" s="2644" t="s">
        <v>2625</v>
      </c>
      <c r="J143" s="1088">
        <v>15</v>
      </c>
      <c r="K143" s="1093">
        <f>ROUND(100+(J143-J140)*K139*100,1)</f>
        <v>102</v>
      </c>
    </row>
    <row r="144" spans="1:17" ht="15">
      <c r="B144" s="1087">
        <v>1</v>
      </c>
      <c r="C144" s="1088">
        <v>98</v>
      </c>
      <c r="D144" s="2645" t="s">
        <v>2626</v>
      </c>
      <c r="E144" s="1089">
        <v>102</v>
      </c>
      <c r="F144" s="1095">
        <v>100</v>
      </c>
      <c r="G144" s="2645" t="s">
        <v>2626</v>
      </c>
      <c r="H144" s="1091">
        <v>105</v>
      </c>
      <c r="I144" s="2644" t="s">
        <v>2625</v>
      </c>
      <c r="J144" s="1088">
        <v>18</v>
      </c>
      <c r="K144" s="1093">
        <f>ROUND(100+(J144-J140)*K139*100,1)</f>
        <v>103.2</v>
      </c>
    </row>
    <row r="145" spans="2:11" ht="15.75" thickBot="1">
      <c r="B145" s="2646" t="s">
        <v>2627</v>
      </c>
      <c r="C145" s="1096">
        <f>ROUND(MAX(C139:C144)/MIN(C139:C144)-1,3)</f>
        <v>7.2999999999999995E-2</v>
      </c>
      <c r="D145" s="1097"/>
      <c r="E145" s="1097"/>
      <c r="F145" s="2647" t="s">
        <v>2628</v>
      </c>
      <c r="G145" s="2648"/>
      <c r="H145" s="2649"/>
      <c r="I145" s="2650" t="s">
        <v>2625</v>
      </c>
      <c r="J145" s="1098">
        <v>8</v>
      </c>
      <c r="K145" s="1099">
        <f>ROUND(100+(J145-J140)*K139*100,1)</f>
        <v>99.2</v>
      </c>
    </row>
    <row r="147" spans="2:11">
      <c r="B147" s="2631" t="s">
        <v>2629</v>
      </c>
    </row>
    <row r="148" spans="2:11">
      <c r="B148" s="2631"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2"/>
      <c r="C1" s="1833"/>
      <c r="D1" s="1816"/>
      <c r="E1" s="1817" t="s">
        <v>1387</v>
      </c>
      <c r="F1" s="1280"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4" t="s">
        <v>1588</v>
      </c>
      <c r="I3" s="1836"/>
      <c r="J3" s="1836"/>
      <c r="K3" s="1837"/>
      <c r="L3" s="1836"/>
      <c r="M3" s="1836"/>
    </row>
    <row r="4" spans="1:37" ht="18" customHeight="1">
      <c r="A4" s="340" t="s">
        <v>1595</v>
      </c>
      <c r="B4" s="341" t="s">
        <v>1596</v>
      </c>
      <c r="C4" s="341" t="s">
        <v>1597</v>
      </c>
      <c r="D4" s="341" t="s">
        <v>1598</v>
      </c>
      <c r="E4" s="342" t="s">
        <v>1599</v>
      </c>
      <c r="F4" s="343"/>
      <c r="G4" s="1847"/>
      <c r="H4" s="340" t="s">
        <v>1595</v>
      </c>
      <c r="I4" s="341" t="s">
        <v>1596</v>
      </c>
      <c r="J4" s="341" t="s">
        <v>1597</v>
      </c>
      <c r="K4" s="341" t="s">
        <v>1598</v>
      </c>
      <c r="L4" s="342" t="s">
        <v>1599</v>
      </c>
      <c r="M4" s="343"/>
    </row>
    <row r="5" spans="1:37" ht="18" customHeight="1">
      <c r="A5" s="344">
        <v>1</v>
      </c>
      <c r="B5" s="345" t="s">
        <v>1600</v>
      </c>
      <c r="C5" s="1289">
        <f ca="1">C6+C10+C12</f>
        <v>0</v>
      </c>
      <c r="D5" s="1818" t="s">
        <v>1601</v>
      </c>
      <c r="E5" s="1290"/>
      <c r="F5" s="1291"/>
      <c r="G5" s="1847"/>
      <c r="H5" s="344">
        <v>1</v>
      </c>
      <c r="I5" s="345" t="s">
        <v>1600</v>
      </c>
      <c r="J5" s="1289">
        <f ca="1">J6+J10+J12</f>
        <v>0</v>
      </c>
      <c r="K5" s="1818" t="s">
        <v>1601</v>
      </c>
      <c r="L5" s="1290"/>
      <c r="M5" s="1291"/>
    </row>
    <row r="6" spans="1:37" ht="18" customHeight="1">
      <c r="A6" s="1288" t="s">
        <v>1035</v>
      </c>
      <c r="B6" s="3254" t="s">
        <v>1403</v>
      </c>
      <c r="C6" s="1293">
        <f ca="1">ROUND(F6*F8*F7*(1-F9),0)</f>
        <v>0</v>
      </c>
      <c r="D6" s="164" t="s">
        <v>3018</v>
      </c>
      <c r="E6" s="347" t="s">
        <v>1405</v>
      </c>
      <c r="F6" s="348">
        <f ca="1">INDIRECT("'数据-取费表'!u"&amp;$G$1)</f>
        <v>0</v>
      </c>
      <c r="G6" s="1847"/>
      <c r="H6" s="1288" t="s">
        <v>1035</v>
      </c>
      <c r="I6" s="3254" t="s">
        <v>1403</v>
      </c>
      <c r="J6" s="346">
        <f ca="1">ROUND(M6*M8*M7*(1-M9),0)</f>
        <v>0</v>
      </c>
      <c r="K6" s="1830" t="s">
        <v>3019</v>
      </c>
      <c r="L6" s="347" t="s">
        <v>1405</v>
      </c>
      <c r="M6" s="348">
        <f ca="1">INDIRECT("'数据-取费表'!z"&amp;$G$1)</f>
        <v>0</v>
      </c>
    </row>
    <row r="7" spans="1:37" ht="18" customHeight="1">
      <c r="A7" s="1292"/>
      <c r="B7" s="3255"/>
      <c r="C7" s="1294"/>
      <c r="D7" s="352"/>
      <c r="E7" s="1295" t="s">
        <v>1406</v>
      </c>
      <c r="F7" s="348">
        <f ca="1">IF(INDIRECT("'数据-取费表'!ah"&amp;$G$1)="",INDIRECT("'数据-取费表'!k"&amp;$G$1),INDIRECT("'数据-取费表'!ah"&amp;$G$1))</f>
        <v>0</v>
      </c>
      <c r="G7" s="1847"/>
      <c r="H7" s="349"/>
      <c r="I7" s="3255"/>
      <c r="J7" s="351"/>
      <c r="K7" s="352"/>
      <c r="L7" s="347" t="s">
        <v>1406</v>
      </c>
      <c r="M7" s="348">
        <f ca="1">F7</f>
        <v>0</v>
      </c>
    </row>
    <row r="8" spans="1:37" ht="18" customHeight="1">
      <c r="A8" s="349"/>
      <c r="B8" s="3255"/>
      <c r="C8" s="351"/>
      <c r="D8" s="352"/>
      <c r="E8" s="347" t="s">
        <v>1407</v>
      </c>
      <c r="F8" s="348">
        <f ca="1">INDIRECT("'数据-取费表'!ai"&amp;$G$1)</f>
        <v>0</v>
      </c>
      <c r="G8" s="1847"/>
      <c r="H8" s="349"/>
      <c r="I8" s="3255"/>
      <c r="J8" s="351"/>
      <c r="K8" s="352"/>
      <c r="L8" s="347" t="s">
        <v>1407</v>
      </c>
      <c r="M8" s="348">
        <f ca="1">INDIRECT("'数据-取费表'!ai"&amp;$G$1)</f>
        <v>0</v>
      </c>
    </row>
    <row r="9" spans="1:37" ht="18" customHeight="1">
      <c r="A9" s="349"/>
      <c r="B9" s="3256"/>
      <c r="C9" s="351"/>
      <c r="D9" s="352"/>
      <c r="E9" s="347" t="s">
        <v>1408</v>
      </c>
      <c r="F9" s="357">
        <f ca="1">INDIRECT("'数据-取费表'!w"&amp;$G$1)</f>
        <v>0</v>
      </c>
      <c r="G9" s="1847"/>
      <c r="H9" s="349"/>
      <c r="I9" s="3256"/>
      <c r="J9" s="351"/>
      <c r="K9" s="352"/>
      <c r="L9" s="358" t="s">
        <v>1408</v>
      </c>
      <c r="M9" s="359">
        <f ca="1">INDIRECT("'数据-取费表'!ab"&amp;$G$1)</f>
        <v>0</v>
      </c>
    </row>
    <row r="10" spans="1:37" ht="18" customHeight="1">
      <c r="A10" s="1288" t="s">
        <v>1039</v>
      </c>
      <c r="B10" s="1819" t="s">
        <v>1409</v>
      </c>
      <c r="C10" s="361">
        <f ca="1">ROUND(IF(F10="押一",C6/12*F11,IF(F10="押二",C6/12*2*F11,IF(F10="押三",C6/12*3*F11,C11*F11))),0)</f>
        <v>0</v>
      </c>
      <c r="D10" s="1820" t="s">
        <v>3029</v>
      </c>
      <c r="E10" s="358" t="s">
        <v>1410</v>
      </c>
      <c r="F10" s="1363"/>
      <c r="G10" s="1847"/>
      <c r="H10" s="1288" t="s">
        <v>1039</v>
      </c>
      <c r="I10" s="1819" t="s">
        <v>1409</v>
      </c>
      <c r="J10" s="346">
        <f ca="1">ROUND(IF(M10="押一",J6/12*M11,IF(M10="押二",J6/12*2*M11,IF(M10="押三",J6/12*3*M11,J11*M11))),0)</f>
        <v>0</v>
      </c>
      <c r="K10" s="1831" t="s">
        <v>3031</v>
      </c>
      <c r="L10" s="358" t="s">
        <v>1410</v>
      </c>
      <c r="M10" s="1363"/>
    </row>
    <row r="11" spans="1:37" ht="18" customHeight="1">
      <c r="A11" s="353"/>
      <c r="B11" s="1821" t="s">
        <v>1602</v>
      </c>
      <c r="C11" s="1175"/>
      <c r="D11" s="352"/>
      <c r="E11" s="358" t="s">
        <v>1412</v>
      </c>
      <c r="F11" s="359">
        <f ca="1">'数据-取费表'!B39</f>
        <v>1.4999999999999999E-2</v>
      </c>
      <c r="G11" s="1847"/>
      <c r="H11" s="1296"/>
      <c r="I11" s="1821" t="s">
        <v>1603</v>
      </c>
      <c r="J11" s="1175"/>
      <c r="K11" s="748"/>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7"/>
      <c r="H13" s="1326">
        <v>2</v>
      </c>
      <c r="I13" s="1327" t="s">
        <v>1414</v>
      </c>
      <c r="J13" s="1287">
        <f ca="1">ROUND(J14*J15,0)</f>
        <v>0</v>
      </c>
      <c r="K13" s="1334" t="s">
        <v>1415</v>
      </c>
      <c r="L13" s="1848"/>
      <c r="M13" s="1849"/>
    </row>
    <row r="14" spans="1:37" ht="18" customHeight="1">
      <c r="A14" s="1198" t="s">
        <v>1034</v>
      </c>
      <c r="B14" s="347" t="s">
        <v>1417</v>
      </c>
      <c r="C14" s="363">
        <f ca="1">ROUND(INDIRECT("'数据-取费表'!l"&amp;$G$1)*F43+'数据-取费表'!L14*INDIRECT("'数据-取费表'!S"&amp;$G$1),0)</f>
        <v>0</v>
      </c>
      <c r="D14" s="1796" t="s">
        <v>1418</v>
      </c>
      <c r="E14" s="1790"/>
      <c r="F14" s="364"/>
      <c r="G14" s="1847"/>
      <c r="H14" s="1198" t="s">
        <v>1035</v>
      </c>
      <c r="I14" s="347" t="s">
        <v>1419</v>
      </c>
      <c r="J14" s="24">
        <f ca="1">C29</f>
        <v>0</v>
      </c>
      <c r="K14" s="15"/>
      <c r="L14" s="976"/>
      <c r="M14" s="977"/>
    </row>
    <row r="15" spans="1:37" s="1854" customFormat="1" ht="18" customHeight="1" thickBot="1">
      <c r="A15" s="1198" t="s">
        <v>1036</v>
      </c>
      <c r="B15" s="347" t="s">
        <v>1420</v>
      </c>
      <c r="C15" s="24">
        <f ca="1">ROUND(C14*F15,0)</f>
        <v>0</v>
      </c>
      <c r="D15" s="365" t="s">
        <v>1421</v>
      </c>
      <c r="E15" s="365" t="s">
        <v>1422</v>
      </c>
      <c r="F15" s="366">
        <f>'数据-取费表'!B33</f>
        <v>0.03</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7"/>
      <c r="H16" s="1326" t="s">
        <v>1030</v>
      </c>
      <c r="I16" s="1327" t="s">
        <v>1424</v>
      </c>
      <c r="J16" s="355">
        <f ca="1">ROUND(J17+J22+J23+J24,0)</f>
        <v>0</v>
      </c>
      <c r="K16" s="1334" t="s">
        <v>1425</v>
      </c>
      <c r="L16" s="1335"/>
      <c r="M16" s="1291"/>
    </row>
    <row r="17" spans="1:37" s="1854" customFormat="1" ht="18" customHeight="1">
      <c r="A17" s="1198" t="s">
        <v>1390</v>
      </c>
      <c r="B17" s="347" t="s">
        <v>1426</v>
      </c>
      <c r="C17" s="24">
        <f ca="1">ROUND(F17*(F43+INDIRECT("'数据-取费表'!S"&amp;$G$1)),0)</f>
        <v>0</v>
      </c>
      <c r="D17" s="347" t="s">
        <v>1427</v>
      </c>
      <c r="E17" s="347" t="s">
        <v>1428</v>
      </c>
      <c r="F17" s="26">
        <f>'数据-取费表'!B35</f>
        <v>200</v>
      </c>
      <c r="G17" s="1850"/>
      <c r="H17" s="1198" t="s">
        <v>1035</v>
      </c>
      <c r="I17" s="347" t="s">
        <v>1429</v>
      </c>
      <c r="J17" s="24">
        <f ca="1">ROUND(IF(项目基本情况!B11="自然人",J5*M17,J18+J19+J20),0)</f>
        <v>0</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0</v>
      </c>
      <c r="D18" s="347" t="s">
        <v>1421</v>
      </c>
      <c r="E18" s="347" t="s">
        <v>1422</v>
      </c>
      <c r="F18" s="367">
        <f>'数据-取费表'!B36</f>
        <v>1.4999999999999999E-2</v>
      </c>
      <c r="G18" s="1850"/>
      <c r="H18" s="1198" t="s">
        <v>1034</v>
      </c>
      <c r="I18" s="347" t="s">
        <v>1433</v>
      </c>
      <c r="J18" s="24">
        <f ca="1">ROUND(J5*M18/(1+'数据-取费表'!C42),0)</f>
        <v>0</v>
      </c>
      <c r="K18" s="1794"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0</v>
      </c>
      <c r="D19" s="140" t="s">
        <v>1436</v>
      </c>
      <c r="E19" s="1814"/>
      <c r="F19" s="26"/>
      <c r="G19" s="1847"/>
      <c r="H19" s="1198" t="s">
        <v>1036</v>
      </c>
      <c r="I19" s="347" t="s">
        <v>1437</v>
      </c>
      <c r="J19" s="24">
        <f ca="1">IF(K19="按租金收入计税",ROUND(J5*M19,0),ROUND(C29*M19*0.7,0))</f>
        <v>0</v>
      </c>
      <c r="K19" s="1824" t="s">
        <v>1438</v>
      </c>
      <c r="L19" s="347" t="s">
        <v>1422</v>
      </c>
      <c r="M19" s="367">
        <f>IF(K19="按租金收入计税",'数据-取费表'!B51,'数据-取费表'!B50)</f>
        <v>1.2E-2</v>
      </c>
    </row>
    <row r="20" spans="1:37" s="1854" customFormat="1" ht="18" customHeight="1">
      <c r="A20" s="1198" t="s">
        <v>1039</v>
      </c>
      <c r="B20" s="347" t="s">
        <v>1439</v>
      </c>
      <c r="C20" s="24">
        <f ca="1">ROUND(C19*F20,0)</f>
        <v>0</v>
      </c>
      <c r="D20" s="369" t="s">
        <v>1440</v>
      </c>
      <c r="E20" s="347" t="s">
        <v>1422</v>
      </c>
      <c r="F20" s="367">
        <f>'数据-取费表'!B37</f>
        <v>0.02</v>
      </c>
      <c r="G20" s="1850"/>
      <c r="H20" s="1198" t="s">
        <v>1389</v>
      </c>
      <c r="I20" s="164" t="s">
        <v>1441</v>
      </c>
      <c r="J20" s="25">
        <f ca="1">ROUND(M20*M21,0)</f>
        <v>0</v>
      </c>
      <c r="K20" s="370" t="s">
        <v>1442</v>
      </c>
      <c r="L20" s="347" t="s">
        <v>1443</v>
      </c>
      <c r="M20" s="371">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v>
      </c>
      <c r="D21" s="369" t="s">
        <v>1445</v>
      </c>
      <c r="E21" s="347" t="s">
        <v>1446</v>
      </c>
      <c r="F21" s="367">
        <f>'数据-取费表'!B38</f>
        <v>0.05</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4"/>
      <c r="F22" s="26"/>
      <c r="G22" s="1847"/>
      <c r="H22" s="1198" t="s">
        <v>1039</v>
      </c>
      <c r="I22" s="347" t="s">
        <v>1449</v>
      </c>
      <c r="J22" s="24">
        <f ca="1">ROUND(J14*M22,0)</f>
        <v>0</v>
      </c>
      <c r="K22" s="1794" t="s">
        <v>1450</v>
      </c>
      <c r="L22" s="347" t="s">
        <v>1422</v>
      </c>
      <c r="M22" s="374">
        <f ca="1">INDIRECT("'数据-取费表'!Ak"&amp;$G$1)</f>
        <v>0</v>
      </c>
    </row>
    <row r="23" spans="1:37" s="1854"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3.5</v>
      </c>
      <c r="G23" s="1850"/>
      <c r="H23" s="1198" t="s">
        <v>1075</v>
      </c>
      <c r="I23" s="347" t="s">
        <v>1453</v>
      </c>
      <c r="J23" s="24">
        <f ca="1">ROUND(J13*M23,0)</f>
        <v>0</v>
      </c>
      <c r="K23" s="1794" t="s">
        <v>1454</v>
      </c>
      <c r="L23" s="347" t="s">
        <v>1455</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1456</v>
      </c>
      <c r="B24" s="347" t="s">
        <v>1457</v>
      </c>
      <c r="C24" s="24">
        <f ca="1">ROUND(IF('数据-取费表'!B22&lt;=1,F21*F24*F23/2,F21*(POWER((1+F24),F23/2)-1)),4)</f>
        <v>4.1999999999999997E-3</v>
      </c>
      <c r="D24" s="375" t="str">
        <f>IF(F23&lt;=1,"销售费用×利率×(建设周期÷2)","销售费用×((1+利率)^(建设周期÷2)-1)")</f>
        <v>销售费用×((1+利率)^(建设周期÷2)-1)</v>
      </c>
      <c r="E24" s="347" t="s">
        <v>1458</v>
      </c>
      <c r="F24" s="377">
        <f ca="1">'数据-取费表'!B40</f>
        <v>4.7500000000000001E-2</v>
      </c>
      <c r="G24" s="1850"/>
      <c r="H24" s="1336" t="s">
        <v>1393</v>
      </c>
      <c r="I24" s="1337" t="s">
        <v>1439</v>
      </c>
      <c r="J24" s="1338">
        <f ca="1">ROUND(J5*M24,0)</f>
        <v>0</v>
      </c>
      <c r="K24" s="1339" t="s">
        <v>1459</v>
      </c>
      <c r="L24" s="1337" t="s">
        <v>1455</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1460</v>
      </c>
      <c r="B25" s="347" t="s">
        <v>1461</v>
      </c>
      <c r="C25" s="24"/>
      <c r="D25" s="140" t="s">
        <v>1462</v>
      </c>
      <c r="E25" s="1814"/>
      <c r="F25" s="26"/>
      <c r="G25" s="1847"/>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7"/>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0</v>
      </c>
      <c r="D29" s="1339"/>
      <c r="E29" s="1337"/>
      <c r="F29" s="1340"/>
      <c r="G29" s="1850"/>
      <c r="H29" s="380" t="s">
        <v>1033</v>
      </c>
      <c r="I29" s="381" t="s">
        <v>1479</v>
      </c>
      <c r="J29" s="382">
        <f ca="1">ROUND(J26/(1+F40)^F41,0)</f>
        <v>0</v>
      </c>
      <c r="K29" s="383" t="s">
        <v>1480</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0</v>
      </c>
      <c r="D30" s="1334" t="s">
        <v>1425</v>
      </c>
      <c r="E30" s="1335"/>
      <c r="F30" s="1291"/>
      <c r="G30" s="1847"/>
      <c r="H30" s="745"/>
      <c r="I30" s="746"/>
      <c r="J30" s="747"/>
      <c r="K30" s="748"/>
      <c r="L30" s="749"/>
      <c r="M30" s="750"/>
    </row>
    <row r="31" spans="1:37" ht="18" customHeight="1">
      <c r="A31" s="1198" t="s">
        <v>1035</v>
      </c>
      <c r="B31" s="347" t="s">
        <v>1429</v>
      </c>
      <c r="C31" s="24">
        <f ca="1">ROUND(IF(项目基本情况!B11="自然人",C5*F31,C32+C33+C34),0)</f>
        <v>0</v>
      </c>
      <c r="D31" s="1796" t="s">
        <v>1430</v>
      </c>
      <c r="E31" s="1794" t="s">
        <v>1481</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1034</v>
      </c>
      <c r="B32" s="347" t="s">
        <v>1433</v>
      </c>
      <c r="C32" s="24">
        <f ca="1">IF(项目基本情况!B11="自然人","——",ROUND(C5*F32/(1+'数据-取费表'!C42),0))</f>
        <v>0</v>
      </c>
      <c r="D32" s="1794" t="s">
        <v>1434</v>
      </c>
      <c r="E32" s="347" t="s">
        <v>1422</v>
      </c>
      <c r="F32" s="377">
        <f>'数据-取费表'!B41</f>
        <v>5.6000000000000001E-2</v>
      </c>
      <c r="G32" s="1847"/>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4" t="s">
        <v>1438</v>
      </c>
      <c r="E33" s="347" t="s">
        <v>1422</v>
      </c>
      <c r="F33" s="367">
        <f>IF(D33="按票据","——",IF(D33="按租金收入计税",'数据-取费表'!B51,'数据-取费表'!B50))</f>
        <v>1.2E-2</v>
      </c>
      <c r="G33" s="1847"/>
      <c r="H33" s="1855"/>
      <c r="I33" s="1856"/>
      <c r="J33" s="1857"/>
      <c r="K33" s="1858"/>
      <c r="L33" s="1855"/>
      <c r="M33" s="1855"/>
    </row>
    <row r="34" spans="1:18" ht="18" customHeight="1">
      <c r="A34" s="1288" t="s">
        <v>1389</v>
      </c>
      <c r="B34" s="164" t="s">
        <v>1441</v>
      </c>
      <c r="C34" s="25">
        <f ca="1">IF(项目基本情况!B11="自然人","——",ROUND(F34*F35,))</f>
        <v>0</v>
      </c>
      <c r="D34" s="370" t="s">
        <v>1442</v>
      </c>
      <c r="E34" s="347" t="s">
        <v>1443</v>
      </c>
      <c r="F34" s="371">
        <f>'数据-取费表'!B52</f>
        <v>20</v>
      </c>
      <c r="G34" s="1847"/>
      <c r="H34" s="745"/>
      <c r="I34" s="1856"/>
      <c r="J34" s="1857"/>
      <c r="K34" s="1859"/>
      <c r="L34" s="1860"/>
      <c r="M34" s="1860"/>
    </row>
    <row r="35" spans="1:18" ht="18" customHeight="1">
      <c r="A35" s="1350"/>
      <c r="B35" s="1348"/>
      <c r="C35" s="29"/>
      <c r="D35" s="373"/>
      <c r="E35" s="347" t="s">
        <v>1447</v>
      </c>
      <c r="F35" s="348">
        <f ca="1">INDIRECT("'数据-取费表'!r"&amp;$G$1)</f>
        <v>0</v>
      </c>
      <c r="G35" s="1847"/>
      <c r="H35" s="745"/>
      <c r="I35" s="1856"/>
      <c r="J35" s="1857"/>
      <c r="K35" s="1858"/>
      <c r="L35" s="1855"/>
      <c r="M35" s="1855"/>
    </row>
    <row r="36" spans="1:18" ht="18" customHeight="1">
      <c r="A36" s="1349" t="s">
        <v>1039</v>
      </c>
      <c r="B36" s="347" t="s">
        <v>1449</v>
      </c>
      <c r="C36" s="24">
        <f ca="1">ROUND(C29*F36,0)</f>
        <v>0</v>
      </c>
      <c r="D36" s="1794" t="s">
        <v>1482</v>
      </c>
      <c r="E36" s="347" t="s">
        <v>1422</v>
      </c>
      <c r="F36" s="374">
        <f ca="1">INDIRECT("'数据-取费表'!Ak"&amp;$G$1)</f>
        <v>0</v>
      </c>
      <c r="G36" s="1847"/>
      <c r="H36" s="1855"/>
      <c r="I36" s="1856"/>
      <c r="J36" s="1857"/>
      <c r="K36" s="751"/>
      <c r="L36" s="1855"/>
      <c r="M36" s="1855"/>
    </row>
    <row r="37" spans="1:18" ht="18" customHeight="1">
      <c r="A37" s="1198" t="s">
        <v>1075</v>
      </c>
      <c r="B37" s="347" t="s">
        <v>1453</v>
      </c>
      <c r="C37" s="24">
        <f ca="1">ROUND(C13*F37,0)</f>
        <v>0</v>
      </c>
      <c r="D37" s="1794" t="s">
        <v>1454</v>
      </c>
      <c r="E37" s="347" t="s">
        <v>1455</v>
      </c>
      <c r="F37" s="376">
        <f ca="1">INDIRECT("'数据-取费表'!Al"&amp;$G$1)</f>
        <v>0</v>
      </c>
      <c r="G37" s="1847"/>
      <c r="H37" s="1855"/>
      <c r="I37" s="1856"/>
      <c r="J37" s="1857"/>
      <c r="K37" s="751"/>
      <c r="L37" s="1855"/>
      <c r="M37" s="1855"/>
    </row>
    <row r="38" spans="1:18" ht="18" customHeight="1" thickBot="1">
      <c r="A38" s="1336" t="s">
        <v>1393</v>
      </c>
      <c r="B38" s="1337" t="s">
        <v>1439</v>
      </c>
      <c r="C38" s="1338">
        <f ca="1">ROUND(C5*F38,1)</f>
        <v>0</v>
      </c>
      <c r="D38" s="1339" t="s">
        <v>1459</v>
      </c>
      <c r="E38" s="1337" t="s">
        <v>1455</v>
      </c>
      <c r="F38" s="1333">
        <f ca="1">INDIRECT("'数据-取费表'!Am"&amp;$G$1)</f>
        <v>0</v>
      </c>
      <c r="G38" s="1847"/>
      <c r="H38" s="1855"/>
      <c r="I38" s="1856"/>
      <c r="J38" s="1857"/>
      <c r="K38" s="1861"/>
      <c r="L38" s="1855"/>
      <c r="M38" s="1855"/>
    </row>
    <row r="39" spans="1:18" ht="24.6" customHeight="1" thickTop="1">
      <c r="A39" s="1326" t="s">
        <v>1031</v>
      </c>
      <c r="B39" s="1341" t="s">
        <v>1483</v>
      </c>
      <c r="C39" s="355">
        <f ca="1">C5-C30</f>
        <v>0</v>
      </c>
      <c r="D39" s="1342" t="s">
        <v>1484</v>
      </c>
      <c r="E39" s="1343"/>
      <c r="F39" s="1344"/>
      <c r="G39" s="1847"/>
      <c r="H39" s="1855"/>
      <c r="I39" s="1856"/>
      <c r="J39" s="1857"/>
      <c r="K39" s="1861"/>
      <c r="L39" s="1855"/>
      <c r="M39" s="1855"/>
    </row>
    <row r="40" spans="1:18" ht="18" customHeight="1">
      <c r="A40" s="344" t="s">
        <v>1032</v>
      </c>
      <c r="B40" s="345" t="s">
        <v>1485</v>
      </c>
      <c r="C40" s="346" t="e">
        <f ca="1">ROUND(C39*(1-((1+F42)/(1+F40))^F41)/(F40-F42),0)</f>
        <v>#DIV/0!</v>
      </c>
      <c r="D40" s="370" t="s">
        <v>1469</v>
      </c>
      <c r="E40" s="347" t="s">
        <v>1470</v>
      </c>
      <c r="F40" s="357">
        <f ca="1">INDIRECT("'数据-取费表'!I"&amp;$G$1)</f>
        <v>0</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1477</v>
      </c>
      <c r="F42" s="357">
        <f ca="1">INDIRECT("'数据-取费表'!v"&amp;$G$1)</f>
        <v>0</v>
      </c>
      <c r="G42" s="1847"/>
      <c r="H42" s="732"/>
      <c r="I42" s="1856"/>
      <c r="J42" s="1857"/>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2" t="s">
        <v>1396</v>
      </c>
      <c r="B47" s="1194" t="s">
        <v>1397</v>
      </c>
      <c r="C47" s="1194" t="s">
        <v>1398</v>
      </c>
      <c r="D47" s="1194" t="s">
        <v>1399</v>
      </c>
      <c r="E47" s="1276" t="s">
        <v>1400</v>
      </c>
      <c r="F47" s="1277"/>
      <c r="G47" s="792"/>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7" t="s">
        <v>1135</v>
      </c>
      <c r="B48" s="345" t="s">
        <v>1401</v>
      </c>
      <c r="C48" s="1813">
        <f ca="1">C49+C53+C55</f>
        <v>0</v>
      </c>
      <c r="D48" s="1359"/>
      <c r="E48" s="1360"/>
      <c r="F48" s="1178"/>
      <c r="G48" s="792"/>
      <c r="H48" s="793"/>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1" t="s">
        <v>1136</v>
      </c>
      <c r="B49" s="1825" t="s">
        <v>1490</v>
      </c>
      <c r="C49" s="1361">
        <f ca="1">ROUND(F49*F51*F50*(1-F52),0)</f>
        <v>0</v>
      </c>
      <c r="D49" s="1273" t="s">
        <v>1404</v>
      </c>
      <c r="E49" s="1826" t="s">
        <v>1491</v>
      </c>
      <c r="F49" s="1278"/>
      <c r="G49" s="1887"/>
      <c r="H49" s="793"/>
      <c r="I49" s="1883" t="s">
        <v>1534</v>
      </c>
      <c r="J49" s="1888"/>
      <c r="K49" s="1885" t="s">
        <v>1535</v>
      </c>
      <c r="L49" s="1889"/>
      <c r="O49" s="1890" t="s">
        <v>1042</v>
      </c>
      <c r="P49" s="1881" t="s">
        <v>1536</v>
      </c>
      <c r="Q49" s="1882">
        <f ca="1">C29</f>
        <v>0</v>
      </c>
      <c r="R49" s="1882" t="s">
        <v>1529</v>
      </c>
    </row>
    <row r="50" spans="1:18" s="1838" customFormat="1" ht="13.5" thickBot="1">
      <c r="A50" s="1192"/>
      <c r="B50" s="1195"/>
      <c r="C50" s="1196"/>
      <c r="D50" s="1169"/>
      <c r="E50" s="1274" t="s">
        <v>1406</v>
      </c>
      <c r="F50" s="1275">
        <f ca="1">F7</f>
        <v>0</v>
      </c>
      <c r="H50" s="793"/>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3"/>
      <c r="B51" s="1195"/>
      <c r="C51" s="1196"/>
      <c r="D51" s="1169"/>
      <c r="E51" s="1197" t="s">
        <v>1407</v>
      </c>
      <c r="F51" s="348">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3"/>
      <c r="B52" s="1195"/>
      <c r="C52" s="1196"/>
      <c r="D52" s="1169"/>
      <c r="E52" s="1197" t="s">
        <v>1408</v>
      </c>
      <c r="F52" s="1272"/>
      <c r="I52" s="1899" t="s">
        <v>1543</v>
      </c>
      <c r="J52" s="1900"/>
      <c r="K52" s="1899" t="s">
        <v>1544</v>
      </c>
      <c r="L52" s="1900"/>
      <c r="O52" s="1890" t="s">
        <v>1045</v>
      </c>
      <c r="P52" s="1881" t="s">
        <v>1545</v>
      </c>
      <c r="Q52" s="1882" t="b">
        <f>J53</f>
        <v>0</v>
      </c>
      <c r="R52" s="1882" t="s">
        <v>1546</v>
      </c>
    </row>
    <row r="53" spans="1:18" s="1838" customFormat="1" ht="30.75" customHeight="1" thickBot="1">
      <c r="A53" s="1358" t="s">
        <v>1137</v>
      </c>
      <c r="B53" s="369" t="s">
        <v>1409</v>
      </c>
      <c r="C53" s="361">
        <f ca="1">ROUND(IF(F53="押一",C49/12*F11,IF(F53="押二",C49/12*2*F11,IF(F53="押三",C49/12*3*F11,C54*F11))),0)</f>
        <v>0</v>
      </c>
      <c r="D53" s="1820" t="s">
        <v>3032</v>
      </c>
      <c r="E53" s="358" t="s">
        <v>1410</v>
      </c>
      <c r="F53" s="1363"/>
      <c r="I53" s="1901" t="s">
        <v>1547</v>
      </c>
      <c r="J53" s="1902" t="b">
        <f>IF(M47="住宅",IF(D1="——",MAX(J51,L48),IF(D1="在建（套用方法）",MAX(J51,L48-'数据-取费表'!B24),MAX(J51,L48-'数据-取费表'!B20))),IF(D1="——",MIN(J51,L48),IF(D1="在建（套用方法）",MIN(J51,L48-'数据-取费表'!B24),IF(D1="土地（套用方法）",MIN(J51,L48-'数据-取费表'!B20)))))</f>
        <v>0</v>
      </c>
      <c r="K53" s="3252" t="s">
        <v>1548</v>
      </c>
      <c r="L53" s="3253"/>
      <c r="O53" s="1880" t="s">
        <v>1046</v>
      </c>
      <c r="P53" s="1881" t="s">
        <v>1549</v>
      </c>
      <c r="Q53" s="1882" t="e">
        <f ca="1">Q47+Q48</f>
        <v>#DIV/0!</v>
      </c>
      <c r="R53" s="1882" t="s">
        <v>1047</v>
      </c>
    </row>
    <row r="54" spans="1:18" s="1838" customFormat="1" ht="13.5" thickBot="1">
      <c r="A54" s="1191"/>
      <c r="B54" s="1937" t="s">
        <v>1603</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0" t="s">
        <v>1075</v>
      </c>
      <c r="B55" s="1823" t="s">
        <v>1413</v>
      </c>
      <c r="C55" s="1331"/>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3">
        <v>2</v>
      </c>
      <c r="B56" s="1174" t="s">
        <v>1414</v>
      </c>
      <c r="C56" s="276">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6" t="s">
        <v>1478</v>
      </c>
      <c r="C57" s="282">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60" t="s">
        <v>1030</v>
      </c>
      <c r="B58" s="1174" t="s">
        <v>1424</v>
      </c>
      <c r="C58" s="361">
        <f ca="1">ROUND(C59+C64+C65+C66,0)</f>
        <v>0</v>
      </c>
      <c r="D58" s="1176" t="s">
        <v>1425</v>
      </c>
      <c r="E58" s="1177"/>
      <c r="F58" s="1178"/>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8" t="s">
        <v>1492</v>
      </c>
      <c r="B61" s="1166" t="s">
        <v>1493</v>
      </c>
      <c r="C61" s="24">
        <f ca="1">IF(项目基本情况!B11="自然人","——",IF(D61="按租金收入计税",ROUND(C48*F61,0),IF(D61="按房产原值计税",ROUND(C57*F61*0.7,0),INDIRECT("'数据-取费表'!Aj"&amp;$G$1))))</f>
        <v>0</v>
      </c>
      <c r="D61" s="1824" t="s">
        <v>1438</v>
      </c>
      <c r="E61" s="1166" t="s">
        <v>1494</v>
      </c>
      <c r="F61" s="367">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8" t="s">
        <v>1495</v>
      </c>
      <c r="B62" s="1165" t="s">
        <v>1496</v>
      </c>
      <c r="C62" s="25">
        <f ca="1">IF(项目基本情况!B11="自然人","——",ROUND(F62*F63,0))</f>
        <v>0</v>
      </c>
      <c r="D62" s="1181" t="s">
        <v>1497</v>
      </c>
      <c r="E62" s="1166" t="s">
        <v>1498</v>
      </c>
      <c r="F62" s="371">
        <f t="shared" si="0"/>
        <v>20</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2"/>
      <c r="B63" s="1172"/>
      <c r="C63" s="29"/>
      <c r="D63" s="1182"/>
      <c r="E63" s="1166" t="s">
        <v>1499</v>
      </c>
      <c r="F63" s="348">
        <f t="shared" ca="1" si="0"/>
        <v>0</v>
      </c>
      <c r="I63" s="1925" t="s">
        <v>1576</v>
      </c>
      <c r="J63" s="1926">
        <v>70</v>
      </c>
      <c r="K63" s="1926">
        <v>50</v>
      </c>
      <c r="L63" s="1926">
        <v>80</v>
      </c>
      <c r="M63" s="1928">
        <v>0.02</v>
      </c>
      <c r="O63" s="1865" t="s">
        <v>1577</v>
      </c>
      <c r="P63" s="1835"/>
      <c r="Q63" s="1835"/>
      <c r="R63" s="1835"/>
    </row>
    <row r="64" spans="1:18" s="1838" customFormat="1" ht="13.5" thickBot="1">
      <c r="A64" s="1198" t="s">
        <v>1500</v>
      </c>
      <c r="B64" s="1166" t="s">
        <v>1501</v>
      </c>
      <c r="C64" s="24">
        <f ca="1">ROUND(C57*F64,0)</f>
        <v>0</v>
      </c>
      <c r="D64" s="1180" t="s">
        <v>1502</v>
      </c>
      <c r="E64" s="1166" t="s">
        <v>1494</v>
      </c>
      <c r="F64" s="374">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ROUND(C56*F65,0)</f>
        <v>0</v>
      </c>
      <c r="D65" s="1180" t="s">
        <v>1454</v>
      </c>
      <c r="E65" s="1166" t="s">
        <v>1455</v>
      </c>
      <c r="F65" s="376">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8" t="s">
        <v>1504</v>
      </c>
      <c r="B66" s="1166" t="s">
        <v>1439</v>
      </c>
      <c r="C66" s="24">
        <f ca="1">ROUND(C48*F66,0)</f>
        <v>0</v>
      </c>
      <c r="D66" s="1180" t="s">
        <v>1505</v>
      </c>
      <c r="E66" s="1166" t="s">
        <v>1422</v>
      </c>
      <c r="F66" s="357">
        <f t="shared" ca="1" si="0"/>
        <v>0</v>
      </c>
      <c r="O66" s="1880" t="s">
        <v>1041</v>
      </c>
      <c r="P66" s="1881" t="s">
        <v>1558</v>
      </c>
      <c r="Q66" s="1882" t="e">
        <f ca="1">L60</f>
        <v>#DIV/0!</v>
      </c>
      <c r="R66" s="1882" t="s">
        <v>1581</v>
      </c>
    </row>
    <row r="67" spans="1:18" s="1838" customFormat="1" ht="16.5" thickBot="1">
      <c r="A67" s="1173" t="s">
        <v>1031</v>
      </c>
      <c r="B67" s="1183" t="s">
        <v>1463</v>
      </c>
      <c r="C67" s="361">
        <f ca="1">C48-C58</f>
        <v>0</v>
      </c>
      <c r="D67" s="1179" t="s">
        <v>1464</v>
      </c>
      <c r="E67" s="1184"/>
      <c r="F67" s="1185"/>
      <c r="O67" s="1890" t="s">
        <v>1042</v>
      </c>
      <c r="P67" s="1881" t="s">
        <v>1562</v>
      </c>
      <c r="Q67" s="1929">
        <f ca="1">L51</f>
        <v>0</v>
      </c>
      <c r="R67" s="1882" t="s">
        <v>1582</v>
      </c>
    </row>
    <row r="68" spans="1:18" s="1838" customFormat="1" ht="16.5" thickBot="1">
      <c r="A68" s="1163" t="s">
        <v>1032</v>
      </c>
      <c r="B68" s="1164" t="s">
        <v>1485</v>
      </c>
      <c r="C68" s="346" t="e">
        <f ca="1">ROUND(C67*(1-((1+F70)/(1+F68))^F69)/(F68-F70),0)</f>
        <v>#DIV/0!</v>
      </c>
      <c r="D68" s="1181" t="s">
        <v>1469</v>
      </c>
      <c r="E68" s="1166" t="s">
        <v>1470</v>
      </c>
      <c r="F68" s="357">
        <f ca="1">F40</f>
        <v>0</v>
      </c>
      <c r="O68" s="1890" t="s">
        <v>1043</v>
      </c>
      <c r="P68" s="1930" t="s">
        <v>1583</v>
      </c>
      <c r="Q68" s="1882">
        <f ca="1">ROUND(Q69-Q70*Q71,0)</f>
        <v>0</v>
      </c>
      <c r="R68" s="1882" t="s">
        <v>1051</v>
      </c>
    </row>
    <row r="69" spans="1:18" s="1838" customFormat="1" ht="13.5" thickBot="1">
      <c r="A69" s="1167"/>
      <c r="B69" s="1168"/>
      <c r="C69" s="351"/>
      <c r="D69" s="1186" t="s">
        <v>1473</v>
      </c>
      <c r="E69" s="1166" t="s">
        <v>1474</v>
      </c>
      <c r="F69" s="379">
        <f ca="1">F41</f>
        <v>0</v>
      </c>
      <c r="O69" s="1890" t="s">
        <v>1048</v>
      </c>
      <c r="P69" s="1930" t="s">
        <v>1584</v>
      </c>
      <c r="Q69" s="1882">
        <f ca="1">C39</f>
        <v>0</v>
      </c>
      <c r="R69" s="1882" t="s">
        <v>1529</v>
      </c>
    </row>
    <row r="70" spans="1:18" s="1838" customFormat="1" ht="13.5" thickBot="1">
      <c r="A70" s="1170"/>
      <c r="B70" s="1171"/>
      <c r="C70" s="355"/>
      <c r="D70" s="1182"/>
      <c r="E70" s="1166" t="s">
        <v>1477</v>
      </c>
      <c r="F70" s="1272">
        <f ca="1">F42</f>
        <v>0</v>
      </c>
      <c r="O70" s="1890" t="s">
        <v>1049</v>
      </c>
      <c r="P70" s="1930" t="s">
        <v>1585</v>
      </c>
      <c r="Q70" s="1882">
        <f ca="1">C13</f>
        <v>0</v>
      </c>
      <c r="R70" s="1882" t="s">
        <v>1529</v>
      </c>
    </row>
    <row r="71" spans="1:18" s="1838" customFormat="1" ht="13.5" thickBot="1">
      <c r="A71" s="1187" t="s">
        <v>1033</v>
      </c>
      <c r="B71" s="1188" t="s">
        <v>1487</v>
      </c>
      <c r="C71" s="382" t="e">
        <f ca="1">ROUND(C68/F71,0)</f>
        <v>#DIV/0!</v>
      </c>
      <c r="D71" s="1189" t="s">
        <v>1488</v>
      </c>
      <c r="E71" s="1190" t="s">
        <v>1489</v>
      </c>
      <c r="F71" s="385">
        <f ca="1">F43</f>
        <v>0</v>
      </c>
      <c r="O71" s="1890" t="s">
        <v>1050</v>
      </c>
      <c r="P71" s="1930" t="s">
        <v>1586</v>
      </c>
      <c r="Q71" s="1893">
        <f ca="1">C76</f>
        <v>0</v>
      </c>
      <c r="R71" s="1882"/>
    </row>
    <row r="72" spans="1:18" s="1838" customFormat="1" ht="13.5" thickBot="1">
      <c r="B72" s="796"/>
      <c r="C72" s="796"/>
      <c r="O72" s="1890" t="s">
        <v>1044</v>
      </c>
      <c r="P72" s="1881" t="s">
        <v>1564</v>
      </c>
      <c r="Q72" s="1893">
        <f>L52</f>
        <v>0</v>
      </c>
      <c r="R72" s="1882"/>
    </row>
    <row r="73" spans="1:18" ht="16.5" thickBot="1">
      <c r="A73" s="1838"/>
      <c r="B73" s="796"/>
      <c r="C73" s="796"/>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6" t="s">
        <v>1506</v>
      </c>
      <c r="C75" s="387">
        <f ca="1">ROUND(C13*C76,0)</f>
        <v>0</v>
      </c>
      <c r="D75" s="1838"/>
      <c r="E75" s="1838"/>
      <c r="F75" s="1838"/>
      <c r="K75" s="1864"/>
      <c r="L75" s="1838"/>
      <c r="O75" s="1880" t="s">
        <v>1046</v>
      </c>
      <c r="P75" s="1881" t="s">
        <v>1549</v>
      </c>
      <c r="Q75" s="1882" t="e">
        <f ca="1">Q65+Q66</f>
        <v>#DIV/0!</v>
      </c>
      <c r="R75" s="1882" t="s">
        <v>1047</v>
      </c>
    </row>
    <row r="76" spans="1:18">
      <c r="B76" s="388" t="s">
        <v>1507</v>
      </c>
      <c r="C76" s="389">
        <f ca="1">INDIRECT("'数据-取费表'!j"&amp;$G$1)</f>
        <v>0</v>
      </c>
      <c r="I76" s="1838"/>
      <c r="J76" s="1838"/>
      <c r="K76" s="1864"/>
      <c r="L76" s="1838"/>
    </row>
    <row r="77" spans="1:18">
      <c r="B77" s="390" t="s">
        <v>1508</v>
      </c>
      <c r="C77" s="391"/>
      <c r="I77" s="1838"/>
      <c r="J77" s="1838"/>
      <c r="K77" s="1864"/>
      <c r="L77" s="1838"/>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2515</v>
      </c>
      <c r="B1" s="2556"/>
      <c r="C1" s="2556"/>
      <c r="D1" s="2556"/>
      <c r="E1" s="2557"/>
    </row>
    <row r="2" spans="1:6" ht="15.75">
      <c r="A2" s="2558" t="s">
        <v>2319</v>
      </c>
      <c r="B2" s="2559">
        <f ca="1">SUMIF(B6:B13,"&lt;&gt;#ref!",B6:B13)</f>
        <v>273949</v>
      </c>
      <c r="C2" s="2560" t="s">
        <v>2508</v>
      </c>
      <c r="D2" s="2561" t="s">
        <v>2509</v>
      </c>
      <c r="E2" s="2562">
        <f>SUM(E6:E13)</f>
        <v>199930.35</v>
      </c>
    </row>
    <row r="3" spans="1:6" ht="15.75">
      <c r="A3" s="2558" t="s">
        <v>1395</v>
      </c>
      <c r="B3" s="2559">
        <f ca="1">ROUND(B2*10000/E2,0)</f>
        <v>13702</v>
      </c>
      <c r="C3" s="2560" t="s">
        <v>2516</v>
      </c>
      <c r="D3" s="2563"/>
      <c r="E3" s="2564"/>
    </row>
    <row r="4" spans="1:6" ht="15.75">
      <c r="A4" s="2565"/>
      <c r="B4" s="2563"/>
      <c r="C4" s="2563"/>
      <c r="D4" s="2563"/>
      <c r="E4" s="2564"/>
    </row>
    <row r="5" spans="1:6" ht="15">
      <c r="A5" s="2566" t="s">
        <v>2510</v>
      </c>
      <c r="B5" s="3284" t="s">
        <v>2511</v>
      </c>
      <c r="C5" s="3284"/>
      <c r="D5" s="2567"/>
      <c r="E5" s="2568" t="s">
        <v>2512</v>
      </c>
      <c r="F5" s="2569" t="s">
        <v>2513</v>
      </c>
    </row>
    <row r="6" spans="1:6">
      <c r="A6" s="2570" t="str">
        <f>'数据-取费表'!AN6</f>
        <v>收益法（地上商业）</v>
      </c>
      <c r="B6" s="2569">
        <f ca="1">IF(F6="是",'数据-取费表'!AO6,0)</f>
        <v>145184</v>
      </c>
      <c r="C6" s="2560" t="s">
        <v>2508</v>
      </c>
      <c r="D6" s="2563"/>
      <c r="E6" s="2571">
        <f>IF(OR(A6=0,F6="否"),0,'数据-取费表'!K6+'数据-取费表'!S6)</f>
        <v>46396.9</v>
      </c>
      <c r="F6" s="2572" t="s">
        <v>2514</v>
      </c>
    </row>
    <row r="7" spans="1:6">
      <c r="A7" s="2570" t="str">
        <f>'数据-取费表'!AN7</f>
        <v>收益法（地下商业）</v>
      </c>
      <c r="B7" s="2569">
        <f ca="1">IF(F7="是",'数据-取费表'!AO7,0)</f>
        <v>80137</v>
      </c>
      <c r="C7" s="2560" t="s">
        <v>2508</v>
      </c>
      <c r="D7" s="2563"/>
      <c r="E7" s="2571">
        <f>IF(OR(A7=0,F7="否"),0,'数据-取费表'!K7+'数据-取费表'!S7)</f>
        <v>33836.86</v>
      </c>
      <c r="F7" s="2572" t="s">
        <v>2514</v>
      </c>
    </row>
    <row r="8" spans="1:6">
      <c r="A8" s="2570">
        <f>'数据-取费表'!AN8</f>
        <v>0</v>
      </c>
      <c r="B8" s="2569" t="e">
        <f ca="1">IF(F8="是",'数据-取费表'!AO8,0)</f>
        <v>#REF!</v>
      </c>
      <c r="C8" s="2560" t="s">
        <v>2508</v>
      </c>
      <c r="D8" s="2563"/>
      <c r="E8" s="2571">
        <f>IF(OR(A8=0,F8="否"),0,'数据-取费表'!K8+'数据-取费表'!S8)</f>
        <v>0</v>
      </c>
      <c r="F8" s="2572" t="s">
        <v>2514</v>
      </c>
    </row>
    <row r="9" spans="1:6">
      <c r="A9" s="2570">
        <f>'数据-取费表'!AN9</f>
        <v>0</v>
      </c>
      <c r="B9" s="2569" t="e">
        <f ca="1">IF(F9="是",'数据-取费表'!AO9,0)</f>
        <v>#REF!</v>
      </c>
      <c r="C9" s="2560" t="s">
        <v>2508</v>
      </c>
      <c r="D9" s="2563"/>
      <c r="E9" s="2571">
        <f>IF(OR(A9=0,F9="否"),0,'数据-取费表'!K9+'数据-取费表'!S9)</f>
        <v>0</v>
      </c>
      <c r="F9" s="2572" t="s">
        <v>2514</v>
      </c>
    </row>
    <row r="10" spans="1:6">
      <c r="A10" s="2570" t="str">
        <f>'数据-取费表'!AN10</f>
        <v>收益法（地下车位）</v>
      </c>
      <c r="B10" s="2569">
        <f ca="1">IF(F10="是",'数据-取费表'!AO10,0)</f>
        <v>48628</v>
      </c>
      <c r="C10" s="2560" t="s">
        <v>2508</v>
      </c>
      <c r="D10" s="2563"/>
      <c r="E10" s="2571">
        <f>IF(OR(A10=0,F10="否"),0,'数据-取费表'!K10+'数据-取费表'!S10)</f>
        <v>119696.59</v>
      </c>
      <c r="F10" s="2572" t="s">
        <v>2514</v>
      </c>
    </row>
    <row r="11" spans="1:6">
      <c r="A11" s="2570">
        <f>'数据-取费表'!AN11</f>
        <v>0</v>
      </c>
      <c r="B11" s="2569" t="e">
        <f ca="1">IF(F11="是",'数据-取费表'!AO11,0)</f>
        <v>#REF!</v>
      </c>
      <c r="C11" s="2560" t="s">
        <v>2508</v>
      </c>
      <c r="D11" s="2563"/>
      <c r="E11" s="2571">
        <f>IF(OR(A11=0,F11="否"),0,'数据-取费表'!K11+'数据-取费表'!S11)</f>
        <v>0</v>
      </c>
      <c r="F11" s="2572" t="s">
        <v>2514</v>
      </c>
    </row>
    <row r="12" spans="1:6">
      <c r="A12" s="2570">
        <f>'数据-取费表'!AN12</f>
        <v>0</v>
      </c>
      <c r="B12" s="2569" t="e">
        <f ca="1">IF(F12="是",'数据-取费表'!AO12,0)</f>
        <v>#REF!</v>
      </c>
      <c r="C12" s="2560" t="s">
        <v>2508</v>
      </c>
      <c r="D12" s="2563"/>
      <c r="E12" s="2571">
        <f>IF(OR(A12=0,F12="否"),0,'数据-取费表'!K12+'数据-取费表'!S12)</f>
        <v>0</v>
      </c>
      <c r="F12" s="2572" t="s">
        <v>2514</v>
      </c>
    </row>
    <row r="13" spans="1:6" ht="15" thickBot="1">
      <c r="A13" s="2573">
        <f>'数据-取费表'!AN13</f>
        <v>0</v>
      </c>
      <c r="B13" s="2569" t="e">
        <f ca="1">IF(F13="是",'数据-取费表'!AO13,0)</f>
        <v>#REF!</v>
      </c>
      <c r="C13" s="2574" t="s">
        <v>2508</v>
      </c>
      <c r="D13" s="2575"/>
      <c r="E13" s="2571">
        <f>IF(OR(A13=0,F13="否"),0,'数据-取费表'!K13+'数据-取费表'!S13)</f>
        <v>0</v>
      </c>
      <c r="F13" s="2572"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301" t="s">
        <v>1076</v>
      </c>
      <c r="B1" s="3302"/>
      <c r="C1" s="3303"/>
      <c r="D1" s="3304">
        <f>SUM(I10,I15,I20,I21,I23)</f>
        <v>0</v>
      </c>
      <c r="E1" s="3304"/>
      <c r="F1" s="3304"/>
      <c r="G1" s="3304"/>
      <c r="H1" s="3304"/>
      <c r="I1" s="3305"/>
    </row>
    <row r="2" spans="1:9">
      <c r="A2" s="3291" t="s">
        <v>1077</v>
      </c>
      <c r="B2" s="3292" t="s">
        <v>1078</v>
      </c>
      <c r="C2" s="3292"/>
      <c r="D2" s="1298" t="s">
        <v>1079</v>
      </c>
      <c r="E2" s="1298" t="s">
        <v>1080</v>
      </c>
      <c r="F2" s="1298" t="s">
        <v>1081</v>
      </c>
      <c r="G2" s="1298" t="s">
        <v>1082</v>
      </c>
      <c r="H2" s="1298" t="s">
        <v>1083</v>
      </c>
      <c r="I2" s="1299" t="s">
        <v>1084</v>
      </c>
    </row>
    <row r="3" spans="1:9">
      <c r="A3" s="3291"/>
      <c r="B3" s="3292" t="s">
        <v>1085</v>
      </c>
      <c r="C3" s="3292"/>
      <c r="D3" s="1300"/>
      <c r="E3" s="1298"/>
      <c r="F3" s="1301"/>
      <c r="G3" s="1301"/>
      <c r="H3" s="1302"/>
      <c r="I3" s="1303">
        <f>ROUND(D3*E3*F3*G3*H3/10000,0)</f>
        <v>0</v>
      </c>
    </row>
    <row r="4" spans="1:9">
      <c r="A4" s="3291"/>
      <c r="B4" s="3292" t="s">
        <v>1086</v>
      </c>
      <c r="C4" s="3292"/>
      <c r="D4" s="1300"/>
      <c r="E4" s="1298"/>
      <c r="F4" s="1301"/>
      <c r="G4" s="1301"/>
      <c r="H4" s="1302"/>
      <c r="I4" s="1303">
        <f t="shared" ref="I4:I9" si="0">ROUND(D4*E4*F4*G4*H4/10000,0)</f>
        <v>0</v>
      </c>
    </row>
    <row r="5" spans="1:9">
      <c r="A5" s="3291"/>
      <c r="B5" s="3292" t="s">
        <v>1087</v>
      </c>
      <c r="C5" s="3292"/>
      <c r="D5" s="1300"/>
      <c r="E5" s="1298"/>
      <c r="F5" s="1301"/>
      <c r="G5" s="1301"/>
      <c r="H5" s="1302"/>
      <c r="I5" s="1303">
        <f t="shared" si="0"/>
        <v>0</v>
      </c>
    </row>
    <row r="6" spans="1:9">
      <c r="A6" s="3291"/>
      <c r="B6" s="3292" t="s">
        <v>1088</v>
      </c>
      <c r="C6" s="3292"/>
      <c r="D6" s="1300"/>
      <c r="E6" s="1298"/>
      <c r="F6" s="1301"/>
      <c r="G6" s="1301"/>
      <c r="H6" s="1302"/>
      <c r="I6" s="1303">
        <f t="shared" si="0"/>
        <v>0</v>
      </c>
    </row>
    <row r="7" spans="1:9">
      <c r="A7" s="3291"/>
      <c r="B7" s="3292" t="s">
        <v>1089</v>
      </c>
      <c r="C7" s="3292"/>
      <c r="D7" s="1300"/>
      <c r="E7" s="1298"/>
      <c r="F7" s="1301"/>
      <c r="G7" s="1301"/>
      <c r="H7" s="1302"/>
      <c r="I7" s="1303">
        <f t="shared" si="0"/>
        <v>0</v>
      </c>
    </row>
    <row r="8" spans="1:9">
      <c r="A8" s="3291"/>
      <c r="B8" s="3292" t="s">
        <v>1090</v>
      </c>
      <c r="C8" s="3292"/>
      <c r="D8" s="1300"/>
      <c r="E8" s="1298"/>
      <c r="F8" s="1301"/>
      <c r="G8" s="1301"/>
      <c r="H8" s="1302"/>
      <c r="I8" s="1303">
        <f t="shared" si="0"/>
        <v>0</v>
      </c>
    </row>
    <row r="9" spans="1:9">
      <c r="A9" s="3291"/>
      <c r="B9" s="3292" t="s">
        <v>1091</v>
      </c>
      <c r="C9" s="3292"/>
      <c r="D9" s="1300"/>
      <c r="E9" s="1298"/>
      <c r="F9" s="1301"/>
      <c r="G9" s="1301"/>
      <c r="H9" s="1302"/>
      <c r="I9" s="1303">
        <f t="shared" si="0"/>
        <v>0</v>
      </c>
    </row>
    <row r="10" spans="1:9">
      <c r="A10" s="3291"/>
      <c r="B10" s="3293" t="s">
        <v>1092</v>
      </c>
      <c r="C10" s="3293"/>
      <c r="D10" s="1304"/>
      <c r="E10" s="1304" t="e">
        <f>ROUND(D1*10000/D10/H9,0)</f>
        <v>#DIV/0!</v>
      </c>
      <c r="F10" s="1305"/>
      <c r="G10" s="1305"/>
      <c r="H10" s="1306"/>
      <c r="I10" s="1307">
        <f>SUM(I3:I9)</f>
        <v>0</v>
      </c>
    </row>
    <row r="11" spans="1:9" ht="14.25">
      <c r="A11" s="3291" t="s">
        <v>1093</v>
      </c>
      <c r="B11" s="3292" t="s">
        <v>1094</v>
      </c>
      <c r="C11" s="3292"/>
      <c r="D11" s="1300" t="s">
        <v>1095</v>
      </c>
      <c r="E11" s="1300" t="s">
        <v>1096</v>
      </c>
      <c r="F11" s="1301" t="s">
        <v>1097</v>
      </c>
      <c r="G11" s="1301" t="s">
        <v>1083</v>
      </c>
      <c r="H11" s="1308" t="s">
        <v>1098</v>
      </c>
      <c r="I11" s="1299" t="s">
        <v>1084</v>
      </c>
    </row>
    <row r="12" spans="1:9">
      <c r="A12" s="3291"/>
      <c r="B12" s="3292" t="s">
        <v>1099</v>
      </c>
      <c r="C12" s="3292"/>
      <c r="D12" s="1300"/>
      <c r="E12" s="1300"/>
      <c r="F12" s="1301"/>
      <c r="G12" s="1302"/>
      <c r="H12" s="1309"/>
      <c r="I12" s="1299">
        <f>ROUND(D12*E12*F12*G12/10000,0)</f>
        <v>0</v>
      </c>
    </row>
    <row r="13" spans="1:9">
      <c r="A13" s="3291"/>
      <c r="B13" s="3292" t="s">
        <v>1100</v>
      </c>
      <c r="C13" s="3292"/>
      <c r="D13" s="1300"/>
      <c r="E13" s="1300"/>
      <c r="F13" s="1301"/>
      <c r="G13" s="1302"/>
      <c r="H13" s="1309"/>
      <c r="I13" s="1299">
        <f>ROUND(D13*E13*F13*G13/10000,0)</f>
        <v>0</v>
      </c>
    </row>
    <row r="14" spans="1:9">
      <c r="A14" s="3291"/>
      <c r="B14" s="3292" t="s">
        <v>1101</v>
      </c>
      <c r="C14" s="3292"/>
      <c r="D14" s="1300"/>
      <c r="E14" s="1300"/>
      <c r="F14" s="1301"/>
      <c r="G14" s="1302"/>
      <c r="H14" s="1309"/>
      <c r="I14" s="1299">
        <f>ROUND(D14*E14*F14*G14/10000,0)</f>
        <v>0</v>
      </c>
    </row>
    <row r="15" spans="1:9">
      <c r="A15" s="3291"/>
      <c r="B15" s="3293" t="s">
        <v>1092</v>
      </c>
      <c r="C15" s="3293"/>
      <c r="D15" s="1304"/>
      <c r="E15" s="1304">
        <f>SUM(E12:E14)</f>
        <v>0</v>
      </c>
      <c r="F15" s="1305"/>
      <c r="G15" s="1302"/>
      <c r="H15" s="1309"/>
      <c r="I15" s="1310">
        <f>SUM(I12:I14)</f>
        <v>0</v>
      </c>
    </row>
    <row r="16" spans="1:9" ht="24">
      <c r="A16" s="3291" t="s">
        <v>1102</v>
      </c>
      <c r="B16" s="3292" t="s">
        <v>1103</v>
      </c>
      <c r="C16" s="3292"/>
      <c r="D16" s="1300" t="s">
        <v>1079</v>
      </c>
      <c r="E16" s="1311" t="s">
        <v>1104</v>
      </c>
      <c r="F16" s="1301" t="s">
        <v>1105</v>
      </c>
      <c r="G16" s="1302" t="s">
        <v>1083</v>
      </c>
      <c r="H16" s="1308" t="s">
        <v>1098</v>
      </c>
      <c r="I16" s="1299" t="s">
        <v>1084</v>
      </c>
    </row>
    <row r="17" spans="1:9" ht="14.25">
      <c r="A17" s="3291"/>
      <c r="B17" s="3292" t="s">
        <v>1106</v>
      </c>
      <c r="C17" s="3292"/>
      <c r="D17" s="1300"/>
      <c r="E17" s="1300"/>
      <c r="F17" s="1301"/>
      <c r="G17" s="1302"/>
      <c r="H17" s="1312"/>
      <c r="I17" s="1313">
        <f>ROUND(D17*E17*F17*G17/10000,0)</f>
        <v>0</v>
      </c>
    </row>
    <row r="18" spans="1:9" ht="14.25">
      <c r="A18" s="3291"/>
      <c r="B18" s="3292" t="s">
        <v>1107</v>
      </c>
      <c r="C18" s="3292"/>
      <c r="D18" s="1300"/>
      <c r="E18" s="1300"/>
      <c r="F18" s="1301"/>
      <c r="G18" s="1302"/>
      <c r="H18" s="1312"/>
      <c r="I18" s="1313">
        <f>ROUND(D18*E18*F18*G18/10000,0)</f>
        <v>0</v>
      </c>
    </row>
    <row r="19" spans="1:9" ht="14.25">
      <c r="A19" s="3291"/>
      <c r="B19" s="3292" t="s">
        <v>1108</v>
      </c>
      <c r="C19" s="3292"/>
      <c r="D19" s="1300"/>
      <c r="E19" s="1300"/>
      <c r="F19" s="1301"/>
      <c r="G19" s="1302"/>
      <c r="H19" s="1312"/>
      <c r="I19" s="1313">
        <f>ROUND(D19*E19*F19*G19/10000,0)</f>
        <v>0</v>
      </c>
    </row>
    <row r="20" spans="1:9">
      <c r="A20" s="3291"/>
      <c r="B20" s="3293" t="s">
        <v>1092</v>
      </c>
      <c r="C20" s="3293"/>
      <c r="D20" s="1304">
        <f>SUM(D17:D19)</f>
        <v>0</v>
      </c>
      <c r="E20" s="1304"/>
      <c r="F20" s="1305"/>
      <c r="G20" s="1302"/>
      <c r="H20" s="1309"/>
      <c r="I20" s="1310">
        <f>SUM(I17:I19)</f>
        <v>0</v>
      </c>
    </row>
    <row r="21" spans="1:9">
      <c r="A21" s="3291" t="s">
        <v>1109</v>
      </c>
      <c r="B21" s="3294"/>
      <c r="C21" s="3294"/>
      <c r="D21" s="3294"/>
      <c r="E21" s="3294"/>
      <c r="F21" s="3294"/>
      <c r="G21" s="3294"/>
      <c r="H21" s="1761">
        <v>0.1</v>
      </c>
      <c r="I21" s="1307">
        <f>ROUND(I10*H21,0)</f>
        <v>0</v>
      </c>
    </row>
    <row r="22" spans="1:9" ht="14.25">
      <c r="A22" s="3295" t="s">
        <v>1110</v>
      </c>
      <c r="B22" s="3296"/>
      <c r="C22" s="3297"/>
      <c r="D22" s="1314" t="s">
        <v>1111</v>
      </c>
      <c r="E22" s="1314" t="s">
        <v>1112</v>
      </c>
      <c r="F22" s="1315" t="s">
        <v>1113</v>
      </c>
      <c r="G22" s="1315" t="s">
        <v>1114</v>
      </c>
      <c r="H22" s="1308" t="s">
        <v>1115</v>
      </c>
      <c r="I22" s="1299" t="s">
        <v>1116</v>
      </c>
    </row>
    <row r="23" spans="1:9" ht="14.25" thickBot="1">
      <c r="A23" s="3298"/>
      <c r="B23" s="3299"/>
      <c r="C23" s="3300"/>
      <c r="D23" s="1316"/>
      <c r="E23" s="1316"/>
      <c r="F23" s="1316"/>
      <c r="G23" s="1317"/>
      <c r="H23" s="1318"/>
      <c r="I23" s="1319">
        <f>ROUND(E23*D23*F23*(1-G23)/10000,0)</f>
        <v>0</v>
      </c>
    </row>
    <row r="26" spans="1:9">
      <c r="A26" s="1320" t="s">
        <v>1117</v>
      </c>
      <c r="B26" s="1320"/>
      <c r="C26" s="1320"/>
      <c r="D26" s="1320"/>
      <c r="E26" s="3288">
        <f>C27-C30-C31-C32</f>
        <v>0</v>
      </c>
      <c r="F26" s="3288"/>
      <c r="G26" s="3288"/>
      <c r="H26" s="1733" t="s">
        <v>1340</v>
      </c>
    </row>
    <row r="27" spans="1:9">
      <c r="A27" s="1321">
        <v>1</v>
      </c>
      <c r="B27" s="1322" t="s">
        <v>1118</v>
      </c>
      <c r="C27" s="1322">
        <f>C28+C29</f>
        <v>0</v>
      </c>
      <c r="D27" s="1322"/>
      <c r="E27" s="3289"/>
      <c r="F27" s="3289"/>
      <c r="G27" s="3289"/>
    </row>
    <row r="28" spans="1:9">
      <c r="A28" s="1323" t="s">
        <v>1119</v>
      </c>
      <c r="B28" s="1322" t="s">
        <v>1120</v>
      </c>
      <c r="C28" s="1322"/>
      <c r="D28" s="1322"/>
      <c r="E28" s="3289"/>
      <c r="F28" s="3289"/>
      <c r="G28" s="3289"/>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90"/>
      <c r="F32" s="3290"/>
      <c r="G32" s="3290"/>
    </row>
    <row r="33" spans="1:7" hidden="1">
      <c r="A33" s="3285" t="s">
        <v>1129</v>
      </c>
      <c r="B33" s="3286"/>
      <c r="C33" s="3286"/>
      <c r="D33" s="3287"/>
      <c r="E33" s="3288"/>
      <c r="F33" s="3288"/>
      <c r="G33" s="3288"/>
    </row>
    <row r="34" spans="1:7" hidden="1">
      <c r="A34" s="1325">
        <v>1</v>
      </c>
      <c r="B34" s="1322" t="s">
        <v>1130</v>
      </c>
      <c r="C34" s="1322"/>
      <c r="D34" s="1322"/>
      <c r="E34" s="3289"/>
      <c r="F34" s="3289"/>
      <c r="G34" s="3289"/>
    </row>
    <row r="35" spans="1:7" hidden="1">
      <c r="A35" s="1325">
        <v>2</v>
      </c>
      <c r="B35" s="1322" t="s">
        <v>1131</v>
      </c>
      <c r="C35" s="1322"/>
      <c r="D35" s="1322"/>
      <c r="E35" s="3289"/>
      <c r="F35" s="3289"/>
      <c r="G35" s="3289"/>
    </row>
    <row r="36" spans="1:7" hidden="1">
      <c r="A36" s="1325">
        <v>3</v>
      </c>
      <c r="B36" s="1322" t="s">
        <v>1132</v>
      </c>
      <c r="C36" s="1322"/>
      <c r="D36" s="1322"/>
      <c r="E36" s="3289"/>
      <c r="F36" s="3289"/>
      <c r="G36" s="3289"/>
    </row>
    <row r="37" spans="1:7" hidden="1">
      <c r="A37" s="1325">
        <v>4</v>
      </c>
      <c r="B37" s="1322" t="s">
        <v>1133</v>
      </c>
      <c r="C37" s="1322"/>
      <c r="D37" s="1322"/>
      <c r="E37" s="3289"/>
      <c r="F37" s="3289"/>
      <c r="G37" s="3289"/>
    </row>
    <row r="38" spans="1:7" hidden="1">
      <c r="A38" s="3285" t="s">
        <v>1134</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7" sqref="I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2"/>
      <c r="C1" s="1833" t="s">
        <v>3076</v>
      </c>
      <c r="D1" s="1816" t="s">
        <v>3080</v>
      </c>
      <c r="E1" s="1817" t="s">
        <v>1387</v>
      </c>
      <c r="F1" s="1280">
        <f ca="1">J53</f>
        <v>31.54</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1515</v>
      </c>
      <c r="B2" s="1840">
        <f ca="1">C40+J29+L46</f>
        <v>48628</v>
      </c>
      <c r="C2" s="1841" t="s">
        <v>1516</v>
      </c>
      <c r="D2" s="1841"/>
      <c r="E2" s="1842"/>
      <c r="F2" s="1843"/>
      <c r="G2" s="1844"/>
      <c r="H2" s="1836"/>
      <c r="I2" s="1836"/>
      <c r="J2" s="1836"/>
      <c r="K2" s="1837"/>
      <c r="L2" s="1836"/>
      <c r="M2" s="1836"/>
    </row>
    <row r="3" spans="1:37" ht="18" customHeight="1" thickBot="1">
      <c r="A3" s="1845" t="s">
        <v>1517</v>
      </c>
      <c r="B3" s="1846">
        <f ca="1">IF(ISERROR(B2*10000/F43),0,ROUND(B2*10000/F43,0))</f>
        <v>4214</v>
      </c>
      <c r="C3" s="1841" t="s">
        <v>1518</v>
      </c>
      <c r="D3" s="1841"/>
      <c r="E3" s="1842"/>
      <c r="F3" s="1843"/>
      <c r="G3" s="1844"/>
      <c r="H3" s="744"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9">
        <f ca="1">C6+C10+C12</f>
        <v>3790</v>
      </c>
      <c r="D5" s="1818" t="s">
        <v>1402</v>
      </c>
      <c r="E5" s="1290"/>
      <c r="F5" s="1291"/>
      <c r="G5" s="1847"/>
      <c r="H5" s="344">
        <v>1</v>
      </c>
      <c r="I5" s="345" t="s">
        <v>1401</v>
      </c>
      <c r="J5" s="1289">
        <f ca="1">J6+J10+J12</f>
        <v>0</v>
      </c>
      <c r="K5" s="1818" t="s">
        <v>1402</v>
      </c>
      <c r="L5" s="1290"/>
      <c r="M5" s="1291"/>
    </row>
    <row r="6" spans="1:37" ht="18" customHeight="1">
      <c r="A6" s="1288" t="s">
        <v>1035</v>
      </c>
      <c r="B6" s="3254" t="s">
        <v>1403</v>
      </c>
      <c r="C6" s="1293">
        <f ca="1">ROUND(F6*F8*F7*(1-F9)/10000,0)</f>
        <v>3790</v>
      </c>
      <c r="D6" s="164" t="s">
        <v>3021</v>
      </c>
      <c r="E6" s="347" t="s">
        <v>1405</v>
      </c>
      <c r="F6" s="348">
        <f ca="1">INDIRECT("'数据-取费表'!u"&amp;$G$1)</f>
        <v>1</v>
      </c>
      <c r="G6" s="1847"/>
      <c r="H6" s="1288" t="s">
        <v>1035</v>
      </c>
      <c r="I6" s="3254" t="s">
        <v>1403</v>
      </c>
      <c r="J6" s="346">
        <f ca="1">ROUND(M6*M8*M7*(1-M9)/10000,0)</f>
        <v>0</v>
      </c>
      <c r="K6" s="164" t="s">
        <v>3020</v>
      </c>
      <c r="L6" s="347" t="s">
        <v>1405</v>
      </c>
      <c r="M6" s="348">
        <f ca="1">INDIRECT("'数据-取费表'!z"&amp;$G$1)</f>
        <v>0</v>
      </c>
    </row>
    <row r="7" spans="1:37" ht="18" customHeight="1">
      <c r="A7" s="1292"/>
      <c r="B7" s="3255"/>
      <c r="C7" s="1294"/>
      <c r="D7" s="352"/>
      <c r="E7" s="2947" t="s">
        <v>1406</v>
      </c>
      <c r="F7" s="348">
        <f ca="1">IF(INDIRECT("'数据-取费表'!ah"&amp;$G$1)="",INDIRECT("'数据-取费表'!k"&amp;$G$1),INDIRECT("'数据-取费表'!ah"&amp;$G$1))</f>
        <v>115386.06</v>
      </c>
      <c r="G7" s="1847"/>
      <c r="H7" s="349"/>
      <c r="I7" s="3255"/>
      <c r="J7" s="351"/>
      <c r="K7" s="352"/>
      <c r="L7" s="347" t="s">
        <v>1406</v>
      </c>
      <c r="M7" s="348">
        <f ca="1">F7</f>
        <v>115386.06</v>
      </c>
    </row>
    <row r="8" spans="1:37" ht="18" customHeight="1">
      <c r="A8" s="349"/>
      <c r="B8" s="3255"/>
      <c r="C8" s="351"/>
      <c r="D8" s="352"/>
      <c r="E8" s="347" t="s">
        <v>1407</v>
      </c>
      <c r="F8" s="348">
        <f ca="1">INDIRECT("'数据-取费表'!ai"&amp;$G$1)</f>
        <v>365</v>
      </c>
      <c r="G8" s="1847"/>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47"/>
      <c r="H9" s="349"/>
      <c r="I9" s="3256"/>
      <c r="J9" s="351"/>
      <c r="K9" s="352"/>
      <c r="L9" s="358" t="s">
        <v>1408</v>
      </c>
      <c r="M9" s="359">
        <f ca="1">INDIRECT("'数据-取费表'!ab"&amp;$G$1)</f>
        <v>0</v>
      </c>
    </row>
    <row r="10" spans="1:37" ht="18" customHeight="1">
      <c r="A10" s="1288" t="s">
        <v>1039</v>
      </c>
      <c r="B10" s="1819" t="s">
        <v>1409</v>
      </c>
      <c r="C10" s="361">
        <f ca="1">ROUND(IF(F10="押一",C6/12*F11,IF(F10="押二",C6/12*2*F11,IF(F10="押三",C6/12*3*F11,C11*F11))),0)</f>
        <v>0</v>
      </c>
      <c r="D10" s="1820" t="s">
        <v>3029</v>
      </c>
      <c r="E10" s="358" t="s">
        <v>1410</v>
      </c>
      <c r="F10" s="1363"/>
      <c r="G10" s="1847"/>
      <c r="H10" s="1288" t="s">
        <v>1039</v>
      </c>
      <c r="I10" s="1819" t="s">
        <v>1409</v>
      </c>
      <c r="J10" s="346">
        <f ca="1">ROUND(IF(M10="押一",J6/12*M11,IF(M10="押二",J6/12*2*M11,IF(M10="押三",J6/12*3*M11,J11*M11))),0)</f>
        <v>0</v>
      </c>
      <c r="K10" s="1820" t="s">
        <v>3029</v>
      </c>
      <c r="L10" s="358" t="s">
        <v>1410</v>
      </c>
      <c r="M10" s="1363" t="s">
        <v>1411</v>
      </c>
    </row>
    <row r="11" spans="1:37" ht="18" customHeight="1">
      <c r="A11" s="353"/>
      <c r="B11" s="1821" t="s">
        <v>1388</v>
      </c>
      <c r="C11" s="1175"/>
      <c r="D11" s="1822"/>
      <c r="E11" s="358" t="s">
        <v>1412</v>
      </c>
      <c r="F11" s="359">
        <f ca="1">'数据-取费表'!B39</f>
        <v>1.4999999999999999E-2</v>
      </c>
      <c r="G11" s="1847"/>
      <c r="H11" s="1296"/>
      <c r="I11" s="1821" t="s">
        <v>1388</v>
      </c>
      <c r="J11" s="1175"/>
      <c r="K11" s="748"/>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68172</v>
      </c>
      <c r="D13" s="1328" t="s">
        <v>1415</v>
      </c>
      <c r="E13" s="1328" t="s">
        <v>1416</v>
      </c>
      <c r="F13" s="1329">
        <f ca="1">INDIRECT("'数据-取费表'!y"&amp;$G$1)</f>
        <v>1</v>
      </c>
      <c r="G13" s="1847"/>
      <c r="H13" s="1326">
        <v>2</v>
      </c>
      <c r="I13" s="1327" t="s">
        <v>1414</v>
      </c>
      <c r="J13" s="1287">
        <f ca="1">ROUND(J14*J15,0)</f>
        <v>0</v>
      </c>
      <c r="K13" s="1334" t="s">
        <v>1415</v>
      </c>
      <c r="L13" s="1848"/>
      <c r="M13" s="1849"/>
    </row>
    <row r="14" spans="1:37" ht="18" customHeight="1">
      <c r="A14" s="1198" t="s">
        <v>1034</v>
      </c>
      <c r="B14" s="347" t="s">
        <v>1417</v>
      </c>
      <c r="C14" s="363">
        <f ca="1">INDIRECT("'数据-取费表'!m"&amp;$G$1)+INDIRECT("'数据-取费表'!t"&amp;$G$1)</f>
        <v>47878</v>
      </c>
      <c r="D14" s="2940" t="s">
        <v>1418</v>
      </c>
      <c r="E14" s="2938"/>
      <c r="F14" s="364"/>
      <c r="G14" s="1847"/>
      <c r="H14" s="1198" t="s">
        <v>1035</v>
      </c>
      <c r="I14" s="347" t="s">
        <v>1419</v>
      </c>
      <c r="J14" s="24">
        <f ca="1">C29</f>
        <v>68172</v>
      </c>
      <c r="K14" s="2946"/>
      <c r="L14" s="976"/>
      <c r="M14" s="977"/>
    </row>
    <row r="15" spans="1:37" s="1854" customFormat="1" ht="18" customHeight="1" thickBot="1">
      <c r="A15" s="1198" t="s">
        <v>1036</v>
      </c>
      <c r="B15" s="347" t="s">
        <v>1420</v>
      </c>
      <c r="C15" s="24">
        <f ca="1">ROUND(C14*F15,0)</f>
        <v>1436</v>
      </c>
      <c r="D15" s="365" t="s">
        <v>1421</v>
      </c>
      <c r="E15" s="365" t="s">
        <v>1422</v>
      </c>
      <c r="F15" s="366">
        <f>'数据-取费表'!B33</f>
        <v>0.03</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7"/>
      <c r="H16" s="1326" t="s">
        <v>1030</v>
      </c>
      <c r="I16" s="1327" t="s">
        <v>1424</v>
      </c>
      <c r="J16" s="355">
        <f ca="1">ROUND(J17+J22+J23+J24,0)</f>
        <v>1270</v>
      </c>
      <c r="K16" s="1334" t="s">
        <v>1425</v>
      </c>
      <c r="L16" s="2941"/>
      <c r="M16" s="1291"/>
    </row>
    <row r="17" spans="1:37" s="1854" customFormat="1" ht="18" customHeight="1">
      <c r="A17" s="1198" t="s">
        <v>1390</v>
      </c>
      <c r="B17" s="347" t="s">
        <v>1426</v>
      </c>
      <c r="C17" s="24">
        <f ca="1">ROUND(F17*(F43+INDIRECT("'数据-取费表'!S"&amp;$G$1))/10000,0)</f>
        <v>2394</v>
      </c>
      <c r="D17" s="347" t="s">
        <v>1427</v>
      </c>
      <c r="E17" s="347" t="s">
        <v>1428</v>
      </c>
      <c r="F17" s="26">
        <f>'数据-取费表'!B35</f>
        <v>200</v>
      </c>
      <c r="G17" s="1850"/>
      <c r="H17" s="1198" t="s">
        <v>1035</v>
      </c>
      <c r="I17" s="347" t="s">
        <v>1429</v>
      </c>
      <c r="J17" s="24">
        <f ca="1">ROUND(IF(项目基本情况!B11="自然人",J5*M17,J18+J19+J20),1)</f>
        <v>588.5</v>
      </c>
      <c r="K17" s="2940" t="s">
        <v>1430</v>
      </c>
      <c r="L17" s="2939"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718</v>
      </c>
      <c r="D18" s="347" t="s">
        <v>1421</v>
      </c>
      <c r="E18" s="347" t="s">
        <v>1422</v>
      </c>
      <c r="F18" s="367">
        <f>'数据-取费表'!B36</f>
        <v>1.4999999999999999E-2</v>
      </c>
      <c r="G18" s="1850"/>
      <c r="H18" s="1198" t="s">
        <v>1034</v>
      </c>
      <c r="I18" s="347" t="s">
        <v>1433</v>
      </c>
      <c r="J18" s="24">
        <f ca="1">ROUND(J5*M18/(1+'数据-取费表'!C42),2)</f>
        <v>0</v>
      </c>
      <c r="K18" s="2939"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52426</v>
      </c>
      <c r="D19" s="140" t="s">
        <v>1436</v>
      </c>
      <c r="E19" s="2945"/>
      <c r="F19" s="26"/>
      <c r="G19" s="1847"/>
      <c r="H19" s="1198" t="s">
        <v>1036</v>
      </c>
      <c r="I19" s="347" t="s">
        <v>1437</v>
      </c>
      <c r="J19" s="24">
        <f ca="1">IF(K19="按租金收入计税",ROUND(J5*M19,2),ROUND(C29*M19*0.7,2))</f>
        <v>572.64</v>
      </c>
      <c r="K19" s="1824" t="s">
        <v>1438</v>
      </c>
      <c r="L19" s="347" t="s">
        <v>1422</v>
      </c>
      <c r="M19" s="367">
        <f>IF(K19="按租金收入计税",'数据-取费表'!B51,'数据-取费表'!B50)</f>
        <v>1.2E-2</v>
      </c>
    </row>
    <row r="20" spans="1:37" s="1854" customFormat="1" ht="18" customHeight="1">
      <c r="A20" s="1198" t="s">
        <v>1039</v>
      </c>
      <c r="B20" s="347" t="s">
        <v>1439</v>
      </c>
      <c r="C20" s="24">
        <f ca="1">ROUND(C19*F20,0)</f>
        <v>1049</v>
      </c>
      <c r="D20" s="369" t="s">
        <v>1440</v>
      </c>
      <c r="E20" s="347" t="s">
        <v>1422</v>
      </c>
      <c r="F20" s="367">
        <f>'数据-取费表'!B37</f>
        <v>0.02</v>
      </c>
      <c r="G20" s="1850"/>
      <c r="H20" s="1198" t="s">
        <v>1389</v>
      </c>
      <c r="I20" s="164" t="s">
        <v>1441</v>
      </c>
      <c r="J20" s="25">
        <f ca="1">ROUND(M20*M21/10000,2)</f>
        <v>15.9</v>
      </c>
      <c r="K20" s="370" t="s">
        <v>1442</v>
      </c>
      <c r="L20" s="347" t="s">
        <v>1443</v>
      </c>
      <c r="M20" s="371">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18</v>
      </c>
      <c r="D21" s="369" t="s">
        <v>1445</v>
      </c>
      <c r="E21" s="347" t="s">
        <v>1446</v>
      </c>
      <c r="F21" s="367">
        <f>'数据-取费表'!B38</f>
        <v>0.05</v>
      </c>
      <c r="G21" s="1850"/>
      <c r="H21" s="372"/>
      <c r="I21" s="356"/>
      <c r="J21" s="29"/>
      <c r="K21" s="373"/>
      <c r="L21" s="347" t="s">
        <v>1447</v>
      </c>
      <c r="M21" s="348">
        <f ca="1">INDIRECT("'数据-取费表'!r"&amp;$G$1)</f>
        <v>7952.4400000000005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5"/>
      <c r="F22" s="26"/>
      <c r="G22" s="1847"/>
      <c r="H22" s="1198" t="s">
        <v>1039</v>
      </c>
      <c r="I22" s="347" t="s">
        <v>1449</v>
      </c>
      <c r="J22" s="24">
        <f ca="1">ROUND(J14*M22,1)</f>
        <v>681.7</v>
      </c>
      <c r="K22" s="2939" t="s">
        <v>1450</v>
      </c>
      <c r="L22" s="347" t="s">
        <v>1422</v>
      </c>
      <c r="M22" s="374">
        <f ca="1">INDIRECT("'数据-取费表'!Ak"&amp;$G$1)</f>
        <v>0.01</v>
      </c>
    </row>
    <row r="23" spans="1:37" s="1854" customFormat="1" ht="18" customHeight="1">
      <c r="A23" s="1198" t="s">
        <v>1034</v>
      </c>
      <c r="B23" s="347" t="s">
        <v>1451</v>
      </c>
      <c r="C23" s="24">
        <f ca="1">IF('数据-取费表'!B22&lt;=1,ROUND(C19*F24*F23/2,0)+ROUND(C20*F24*F23/2,0),ROUND(C19*(POWER((1+F24),F23/2)-1),0)+ROUND(C20*(POWER((1+F24),F23/2)-1),0))</f>
        <v>4524</v>
      </c>
      <c r="D23" s="375" t="str">
        <f>IF(F23&lt;=1,"(建造成本+管理费用)×利率×(建设周期÷2)","(建造成本+管理费用)×((1+利率)^(建设周期÷2)-1)")</f>
        <v>(建造成本+管理费用)×((1+利率)^(建设周期÷2)-1)</v>
      </c>
      <c r="E23" s="347" t="s">
        <v>1452</v>
      </c>
      <c r="F23" s="371">
        <f>'数据-取费表'!B20</f>
        <v>3.5</v>
      </c>
      <c r="G23" s="1850"/>
      <c r="H23" s="1198" t="s">
        <v>1075</v>
      </c>
      <c r="I23" s="347" t="s">
        <v>1453</v>
      </c>
      <c r="J23" s="24">
        <f ca="1">ROUND(J13*M23,1)</f>
        <v>0</v>
      </c>
      <c r="K23" s="2939" t="s">
        <v>1454</v>
      </c>
      <c r="L23" s="347" t="s">
        <v>1422</v>
      </c>
      <c r="M23" s="376">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1036</v>
      </c>
      <c r="B24" s="347" t="s">
        <v>1457</v>
      </c>
      <c r="C24" s="24">
        <f ca="1">ROUND(IF('数据-取费表'!B22&lt;=1,F21*F24*F23/2,F21*(POWER((1+F24),F23/2)-1)),4)</f>
        <v>4.1999999999999997E-3</v>
      </c>
      <c r="D24" s="375" t="str">
        <f>IF(F23&lt;=1,"销售费用×利率×(建设周期÷2)","销售费用×((1+利率)^(建设周期÷2)-1)")</f>
        <v>销售费用×((1+利率)^(建设周期÷2)-1)</v>
      </c>
      <c r="E24" s="347" t="s">
        <v>1458</v>
      </c>
      <c r="F24" s="377">
        <f ca="1">'数据-取费表'!B40</f>
        <v>4.7500000000000001E-2</v>
      </c>
      <c r="G24" s="1850"/>
      <c r="H24" s="1336" t="s">
        <v>1392</v>
      </c>
      <c r="I24" s="1337" t="s">
        <v>1439</v>
      </c>
      <c r="J24" s="1338">
        <f ca="1">ROUND(J5*M24,1)</f>
        <v>0</v>
      </c>
      <c r="K24" s="1339" t="s">
        <v>1459</v>
      </c>
      <c r="L24" s="1337" t="s">
        <v>1422</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1460</v>
      </c>
      <c r="B25" s="347" t="s">
        <v>1461</v>
      </c>
      <c r="C25" s="24"/>
      <c r="D25" s="140" t="s">
        <v>1462</v>
      </c>
      <c r="E25" s="2945"/>
      <c r="F25" s="26"/>
      <c r="G25" s="1847"/>
      <c r="H25" s="1326" t="s">
        <v>1031</v>
      </c>
      <c r="I25" s="1341" t="s">
        <v>1463</v>
      </c>
      <c r="J25" s="355">
        <f ca="1">J5-J16</f>
        <v>-1270</v>
      </c>
      <c r="K25" s="1342" t="s">
        <v>1464</v>
      </c>
      <c r="L25" s="1343"/>
      <c r="M25" s="1344"/>
    </row>
    <row r="26" spans="1:37">
      <c r="A26" s="1198" t="s">
        <v>1034</v>
      </c>
      <c r="B26" s="347" t="s">
        <v>1465</v>
      </c>
      <c r="C26" s="24">
        <f ca="1">ROUND((C19+C20)*F26,0)</f>
        <v>2674</v>
      </c>
      <c r="D26" s="369" t="s">
        <v>1466</v>
      </c>
      <c r="E26" s="358" t="s">
        <v>1467</v>
      </c>
      <c r="F26" s="357">
        <f ca="1">INDIRECT("'数据-取费表'!q"&amp;$G$1)</f>
        <v>0.05</v>
      </c>
      <c r="G26" s="1847"/>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2.5000000000000001E-3</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68172</v>
      </c>
      <c r="D29" s="1339"/>
      <c r="E29" s="1337"/>
      <c r="F29" s="1340"/>
      <c r="G29" s="1850"/>
      <c r="H29" s="380" t="s">
        <v>1033</v>
      </c>
      <c r="I29" s="381" t="s">
        <v>1479</v>
      </c>
      <c r="J29" s="382">
        <f ca="1">ROUND(J26/(1+F40)^F41,0)</f>
        <v>0</v>
      </c>
      <c r="K29" s="383" t="s">
        <v>1480</v>
      </c>
      <c r="L29" s="384"/>
      <c r="M29" s="385">
        <f ca="1">INDIRECT("'数据-取费表'!k"&amp;$G$1)</f>
        <v>115386.06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1499</v>
      </c>
      <c r="D30" s="1334" t="s">
        <v>1425</v>
      </c>
      <c r="E30" s="2941"/>
      <c r="F30" s="1291"/>
      <c r="G30" s="1847"/>
      <c r="H30" s="745"/>
      <c r="I30" s="746"/>
      <c r="J30" s="747"/>
      <c r="K30" s="748"/>
      <c r="L30" s="749"/>
      <c r="M30" s="750"/>
    </row>
    <row r="31" spans="1:37" ht="18" customHeight="1">
      <c r="A31" s="1198" t="s">
        <v>1035</v>
      </c>
      <c r="B31" s="347" t="s">
        <v>1429</v>
      </c>
      <c r="C31" s="24">
        <f ca="1">ROUND(IF(项目基本情况!B11="自然人",C5*F31,C32+C33+C34),1)</f>
        <v>672.8</v>
      </c>
      <c r="D31" s="2940" t="s">
        <v>1430</v>
      </c>
      <c r="E31" s="2939" t="s">
        <v>1481</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1034</v>
      </c>
      <c r="B32" s="347" t="s">
        <v>1433</v>
      </c>
      <c r="C32" s="24">
        <f ca="1">IF(项目基本情况!B11="自然人","——",ROUND(C5*F32/(1+'数据-取费表'!C42),2))</f>
        <v>202.13</v>
      </c>
      <c r="D32" s="2939" t="s">
        <v>1434</v>
      </c>
      <c r="E32" s="347" t="s">
        <v>1422</v>
      </c>
      <c r="F32" s="377">
        <f>'数据-取费表'!B41</f>
        <v>5.6000000000000001E-2</v>
      </c>
      <c r="G32" s="1847"/>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454.8</v>
      </c>
      <c r="D33" s="1824" t="s">
        <v>3079</v>
      </c>
      <c r="E33" s="347" t="s">
        <v>1422</v>
      </c>
      <c r="F33" s="367">
        <f>IF(D33="按票据","——",IF(D33="按租金收入计税",'数据-取费表'!B51,'数据-取费表'!B50))</f>
        <v>0.12</v>
      </c>
      <c r="G33" s="1847"/>
      <c r="H33" s="1855"/>
      <c r="I33" s="1856"/>
      <c r="J33" s="1857"/>
      <c r="K33" s="1858"/>
      <c r="L33" s="1855"/>
      <c r="M33" s="1855"/>
    </row>
    <row r="34" spans="1:18" ht="18" customHeight="1">
      <c r="A34" s="1288" t="s">
        <v>1389</v>
      </c>
      <c r="B34" s="164" t="s">
        <v>1441</v>
      </c>
      <c r="C34" s="25">
        <f ca="1">IF(项目基本情况!B11="自然人","——",ROUND(F34*F35/10000,2))</f>
        <v>15.9</v>
      </c>
      <c r="D34" s="370" t="s">
        <v>1442</v>
      </c>
      <c r="E34" s="347" t="s">
        <v>1443</v>
      </c>
      <c r="F34" s="371">
        <f>'数据-取费表'!B52</f>
        <v>20</v>
      </c>
      <c r="G34" s="1847"/>
      <c r="H34" s="745"/>
      <c r="I34" s="1856"/>
      <c r="J34" s="1857"/>
      <c r="K34" s="1859"/>
      <c r="L34" s="1860"/>
      <c r="M34" s="1860"/>
    </row>
    <row r="35" spans="1:18" ht="18" customHeight="1">
      <c r="A35" s="1350"/>
      <c r="B35" s="1348"/>
      <c r="C35" s="29"/>
      <c r="D35" s="373"/>
      <c r="E35" s="347" t="s">
        <v>1447</v>
      </c>
      <c r="F35" s="348">
        <f ca="1">INDIRECT("'数据-取费表'!r"&amp;$G$1)</f>
        <v>7952.4400000000005</v>
      </c>
      <c r="G35" s="1847"/>
      <c r="H35" s="745"/>
      <c r="I35" s="1856"/>
      <c r="J35" s="1857"/>
      <c r="K35" s="1858"/>
      <c r="L35" s="1855"/>
      <c r="M35" s="1855"/>
    </row>
    <row r="36" spans="1:18" ht="18" customHeight="1">
      <c r="A36" s="1349" t="s">
        <v>1039</v>
      </c>
      <c r="B36" s="347" t="s">
        <v>1449</v>
      </c>
      <c r="C36" s="24">
        <f ca="1">ROUND(C29*F36,1)</f>
        <v>681.7</v>
      </c>
      <c r="D36" s="2939" t="s">
        <v>1482</v>
      </c>
      <c r="E36" s="347" t="s">
        <v>1422</v>
      </c>
      <c r="F36" s="374">
        <f ca="1">INDIRECT("'数据-取费表'!Ak"&amp;$G$1)</f>
        <v>0.01</v>
      </c>
      <c r="G36" s="1847"/>
      <c r="H36" s="1855"/>
      <c r="I36" s="1856"/>
      <c r="J36" s="1857"/>
      <c r="K36" s="751"/>
      <c r="L36" s="1855"/>
      <c r="M36" s="1855"/>
    </row>
    <row r="37" spans="1:18" ht="18" customHeight="1">
      <c r="A37" s="1198" t="s">
        <v>1075</v>
      </c>
      <c r="B37" s="347" t="s">
        <v>1453</v>
      </c>
      <c r="C37" s="24">
        <f ca="1">ROUND(C13*F37,1)</f>
        <v>68.2</v>
      </c>
      <c r="D37" s="2939" t="s">
        <v>1454</v>
      </c>
      <c r="E37" s="347" t="s">
        <v>1422</v>
      </c>
      <c r="F37" s="376">
        <f ca="1">INDIRECT("'数据-取费表'!Al"&amp;$G$1)</f>
        <v>1E-3</v>
      </c>
      <c r="G37" s="1847"/>
      <c r="H37" s="1855"/>
      <c r="I37" s="1856"/>
      <c r="J37" s="1857"/>
      <c r="K37" s="751"/>
      <c r="L37" s="1855"/>
      <c r="M37" s="1855"/>
    </row>
    <row r="38" spans="1:18" ht="18" customHeight="1" thickBot="1">
      <c r="A38" s="1336" t="s">
        <v>1392</v>
      </c>
      <c r="B38" s="1337" t="s">
        <v>1439</v>
      </c>
      <c r="C38" s="1338">
        <f ca="1">ROUND(C5*F38,1)</f>
        <v>75.8</v>
      </c>
      <c r="D38" s="1339" t="s">
        <v>1459</v>
      </c>
      <c r="E38" s="1337" t="s">
        <v>1422</v>
      </c>
      <c r="F38" s="1333">
        <f ca="1">INDIRECT("'数据-取费表'!Am"&amp;$G$1)</f>
        <v>0.02</v>
      </c>
      <c r="G38" s="1847"/>
      <c r="H38" s="1855"/>
      <c r="I38" s="1856"/>
      <c r="J38" s="1857"/>
      <c r="K38" s="1861"/>
      <c r="L38" s="1855"/>
      <c r="M38" s="1855"/>
    </row>
    <row r="39" spans="1:18" ht="24.6" customHeight="1" thickTop="1">
      <c r="A39" s="1326" t="s">
        <v>1031</v>
      </c>
      <c r="B39" s="1341" t="s">
        <v>1463</v>
      </c>
      <c r="C39" s="355">
        <f ca="1">C5-C30</f>
        <v>2291</v>
      </c>
      <c r="D39" s="1342" t="s">
        <v>1464</v>
      </c>
      <c r="E39" s="1343"/>
      <c r="F39" s="1344"/>
      <c r="G39" s="1847"/>
      <c r="H39" s="1855"/>
      <c r="I39" s="1856"/>
      <c r="J39" s="1857"/>
      <c r="K39" s="1861"/>
      <c r="L39" s="1855"/>
      <c r="M39" s="1855"/>
    </row>
    <row r="40" spans="1:18" ht="18" customHeight="1">
      <c r="A40" s="344" t="s">
        <v>1032</v>
      </c>
      <c r="B40" s="345" t="s">
        <v>1485</v>
      </c>
      <c r="C40" s="346">
        <f ca="1">ROUND(C39*(1-((1+F42)/(1+F40))^F41)/(F40-F42),0)</f>
        <v>48628</v>
      </c>
      <c r="D40" s="370" t="s">
        <v>1469</v>
      </c>
      <c r="E40" s="347" t="s">
        <v>1470</v>
      </c>
      <c r="F40" s="357">
        <f ca="1">INDIRECT("'数据-取费表'!I"&amp;$G$1)</f>
        <v>5.5E-2</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31.54</v>
      </c>
      <c r="G41" s="1847"/>
      <c r="H41" s="732"/>
      <c r="I41" s="1856"/>
      <c r="J41" s="1857"/>
      <c r="K41" s="751"/>
      <c r="L41" s="732"/>
      <c r="M41" s="732"/>
    </row>
    <row r="42" spans="1:18" ht="18" customHeight="1">
      <c r="A42" s="353"/>
      <c r="B42" s="354"/>
      <c r="C42" s="355"/>
      <c r="D42" s="373"/>
      <c r="E42" s="347" t="s">
        <v>1477</v>
      </c>
      <c r="F42" s="357">
        <f ca="1">INDIRECT("'数据-取费表'!v"&amp;$G$1)</f>
        <v>0.03</v>
      </c>
      <c r="G42" s="1847"/>
      <c r="H42" s="732"/>
      <c r="I42" s="1856"/>
      <c r="J42" s="1857"/>
      <c r="K42" s="751"/>
      <c r="L42" s="732"/>
      <c r="M42" s="732"/>
    </row>
    <row r="43" spans="1:18" ht="18" customHeight="1" thickBot="1">
      <c r="A43" s="380" t="s">
        <v>1033</v>
      </c>
      <c r="B43" s="381" t="s">
        <v>1487</v>
      </c>
      <c r="C43" s="382">
        <f ca="1">ROUND(C40*10000/F43,0)</f>
        <v>4214</v>
      </c>
      <c r="D43" s="383" t="s">
        <v>1488</v>
      </c>
      <c r="E43" s="384" t="s">
        <v>1489</v>
      </c>
      <c r="F43" s="385">
        <f ca="1">INDIRECT("'数据-取费表'!k"&amp;$G$1)</f>
        <v>115386.06</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1519</v>
      </c>
      <c r="P45" s="1835"/>
      <c r="Q45" s="1835"/>
      <c r="R45" s="1835"/>
    </row>
    <row r="46" spans="1:18" s="1838" customFormat="1" ht="13.5" thickBot="1">
      <c r="A46" s="1866" t="s">
        <v>1520</v>
      </c>
      <c r="C46" s="1867">
        <f ca="1">C68-C40</f>
        <v>-144855</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2" t="s">
        <v>1396</v>
      </c>
      <c r="B47" s="1194" t="s">
        <v>1397</v>
      </c>
      <c r="C47" s="1364" t="s">
        <v>1398</v>
      </c>
      <c r="D47" s="1194" t="s">
        <v>1399</v>
      </c>
      <c r="E47" s="1276" t="s">
        <v>1400</v>
      </c>
      <c r="F47" s="1277"/>
      <c r="G47" s="792"/>
      <c r="I47" s="1876" t="s">
        <v>1526</v>
      </c>
      <c r="J47" s="1877" t="s">
        <v>3077</v>
      </c>
      <c r="K47" s="1878" t="s">
        <v>1527</v>
      </c>
      <c r="L47" s="1879">
        <f ca="1">INDIRECT("'数据-取费表'!d"&amp;$G$1)</f>
        <v>40</v>
      </c>
      <c r="M47" s="1834" t="str">
        <f>IF(ISNUMBER(FIND("住宅",C1)),"住宅","非住宅")</f>
        <v>非住宅</v>
      </c>
      <c r="O47" s="1880" t="s">
        <v>1040</v>
      </c>
      <c r="P47" s="1881" t="s">
        <v>1528</v>
      </c>
      <c r="Q47" s="1882">
        <f ca="1">C40+J29</f>
        <v>48628</v>
      </c>
      <c r="R47" s="1882" t="s">
        <v>1529</v>
      </c>
    </row>
    <row r="48" spans="1:18" s="1838" customFormat="1" ht="28.5" thickBot="1">
      <c r="A48" s="1357" t="s">
        <v>1135</v>
      </c>
      <c r="B48" s="345" t="s">
        <v>1401</v>
      </c>
      <c r="C48" s="2944">
        <f ca="1">C49+C53+C55</f>
        <v>0</v>
      </c>
      <c r="D48" s="1359"/>
      <c r="E48" s="1360"/>
      <c r="F48" s="1178"/>
      <c r="G48" s="792"/>
      <c r="H48" s="793"/>
      <c r="I48" s="1883" t="s">
        <v>1530</v>
      </c>
      <c r="J48" s="1884" t="s">
        <v>3078</v>
      </c>
      <c r="K48" s="1885" t="s">
        <v>1531</v>
      </c>
      <c r="L48" s="1886">
        <f ca="1">INDIRECT("'数据-取费表'!f"&amp;$G$1)</f>
        <v>33.04</v>
      </c>
      <c r="O48" s="1880" t="s">
        <v>1041</v>
      </c>
      <c r="P48" s="1881" t="s">
        <v>1532</v>
      </c>
      <c r="Q48" s="1882" t="str">
        <f ca="1">J60</f>
        <v>0</v>
      </c>
      <c r="R48" s="1882" t="s">
        <v>1533</v>
      </c>
    </row>
    <row r="49" spans="1:18" s="1838" customFormat="1" ht="13.5" thickBot="1">
      <c r="A49" s="1191" t="s">
        <v>1136</v>
      </c>
      <c r="B49" s="1825" t="s">
        <v>1490</v>
      </c>
      <c r="C49" s="1361">
        <f ca="1">ROUND(F49*F51*F50*(1-F52)/10000,0)</f>
        <v>0</v>
      </c>
      <c r="D49" s="1273" t="s">
        <v>3020</v>
      </c>
      <c r="E49" s="1826" t="s">
        <v>1491</v>
      </c>
      <c r="F49" s="1278"/>
      <c r="G49" s="1887"/>
      <c r="H49" s="793"/>
      <c r="I49" s="1883" t="s">
        <v>1534</v>
      </c>
      <c r="J49" s="1888"/>
      <c r="K49" s="1885" t="s">
        <v>1535</v>
      </c>
      <c r="L49" s="1889"/>
      <c r="O49" s="1890" t="s">
        <v>1042</v>
      </c>
      <c r="P49" s="1881" t="s">
        <v>1536</v>
      </c>
      <c r="Q49" s="1882">
        <f ca="1">C29</f>
        <v>68172</v>
      </c>
      <c r="R49" s="1882" t="s">
        <v>1529</v>
      </c>
    </row>
    <row r="50" spans="1:18" s="1838" customFormat="1" ht="13.5" thickBot="1">
      <c r="A50" s="1192"/>
      <c r="B50" s="1195"/>
      <c r="C50" s="1365"/>
      <c r="D50" s="1169"/>
      <c r="E50" s="1274" t="s">
        <v>1406</v>
      </c>
      <c r="F50" s="1275">
        <f ca="1">F7</f>
        <v>115386.06</v>
      </c>
      <c r="H50" s="793"/>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3"/>
      <c r="B51" s="1195"/>
      <c r="C51" s="1196"/>
      <c r="D51" s="1169"/>
      <c r="E51" s="1197" t="s">
        <v>1407</v>
      </c>
      <c r="F51" s="348">
        <f ca="1">F8</f>
        <v>365</v>
      </c>
      <c r="I51" s="1894" t="s">
        <v>1540</v>
      </c>
      <c r="J51" s="1895">
        <f>IF(J49="",J50,J49+J50-YEAR('数据-取费表'!B2))</f>
        <v>60</v>
      </c>
      <c r="K51" s="1896" t="s">
        <v>1541</v>
      </c>
      <c r="L51" s="1897">
        <f ca="1">ROUND(-PV(INDIRECT("'数据-取费表'!h"&amp;$G$1),L48,(C39-C13*C76),0),0)</f>
        <v>-59674</v>
      </c>
      <c r="M51" s="1898"/>
      <c r="O51" s="1890" t="s">
        <v>1044</v>
      </c>
      <c r="P51" s="1881" t="s">
        <v>1542</v>
      </c>
      <c r="Q51" s="1893">
        <f>J52</f>
        <v>0</v>
      </c>
      <c r="R51" s="1882"/>
    </row>
    <row r="52" spans="1:18" s="1838" customFormat="1" ht="13.5" thickBot="1">
      <c r="A52" s="1193"/>
      <c r="B52" s="1195"/>
      <c r="C52" s="1196"/>
      <c r="D52" s="1169"/>
      <c r="E52" s="1197" t="s">
        <v>1408</v>
      </c>
      <c r="F52" s="1272"/>
      <c r="I52" s="1899" t="s">
        <v>1543</v>
      </c>
      <c r="J52" s="1900"/>
      <c r="K52" s="1899" t="s">
        <v>1544</v>
      </c>
      <c r="L52" s="1900"/>
      <c r="O52" s="1890" t="s">
        <v>1045</v>
      </c>
      <c r="P52" s="1881" t="s">
        <v>1545</v>
      </c>
      <c r="Q52" s="1882">
        <f ca="1">J53</f>
        <v>31.54</v>
      </c>
      <c r="R52" s="1882" t="s">
        <v>1546</v>
      </c>
    </row>
    <row r="53" spans="1:18" s="1838" customFormat="1" ht="24.75" thickBot="1">
      <c r="A53" s="1402" t="s">
        <v>1137</v>
      </c>
      <c r="B53" s="1827" t="s">
        <v>1409</v>
      </c>
      <c r="C53" s="361">
        <f ca="1">ROUND(IF(F53="押一",C49/12*F11,IF(F53="押二",C49/12*2*F11,IF(F53="押三",C49/12*3*F11,C54*F11))),0)</f>
        <v>0</v>
      </c>
      <c r="D53" s="1820" t="s">
        <v>3029</v>
      </c>
      <c r="E53" s="358" t="s">
        <v>1410</v>
      </c>
      <c r="F53" s="1363"/>
      <c r="I53" s="1901" t="s">
        <v>1547</v>
      </c>
      <c r="J53" s="1902">
        <f ca="1">IF(M47="住宅",IF(D1="——",MAX(J51,L48),IF(D1="在建（套用方法）",MAX(J51,L48-'数据-取费表'!B24),MAX(J51,L48-'数据-取费表'!B20))),IF(D1="——",MIN(J51,L48),IF(D1="在建（套用方法）",MIN(J51,L48-'数据-取费表'!B24),IF(D1="土地（套用方法）",MIN(J51,L48-'数据-取费表'!B20)))))</f>
        <v>31.54</v>
      </c>
      <c r="K53" s="3252" t="s">
        <v>1548</v>
      </c>
      <c r="L53" s="3253"/>
      <c r="O53" s="1880" t="s">
        <v>1046</v>
      </c>
      <c r="P53" s="1881" t="s">
        <v>1549</v>
      </c>
      <c r="Q53" s="1882">
        <f ca="1">Q47+Q48</f>
        <v>48628</v>
      </c>
      <c r="R53" s="1882" t="s">
        <v>1047</v>
      </c>
    </row>
    <row r="54" spans="1:18" s="1838" customFormat="1" ht="13.5" thickBot="1">
      <c r="A54" s="1403"/>
      <c r="B54" s="1821" t="s">
        <v>1388</v>
      </c>
      <c r="C54" s="1175"/>
      <c r="D54" s="1820"/>
      <c r="E54" s="294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2943"/>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3">
        <v>2</v>
      </c>
      <c r="B56" s="1174" t="s">
        <v>1414</v>
      </c>
      <c r="C56" s="276">
        <f ca="1">C13</f>
        <v>68172</v>
      </c>
      <c r="D56" s="1910"/>
      <c r="E56" s="1911"/>
      <c r="F56" s="1903"/>
      <c r="I56" s="1912" t="s">
        <v>1554</v>
      </c>
      <c r="J56" s="1913" t="s">
        <v>3044</v>
      </c>
      <c r="K56" s="1883" t="s">
        <v>1555</v>
      </c>
      <c r="L56" s="1886" t="str">
        <f ca="1">IF(L48&lt;J51,"——",L48-J53)</f>
        <v>——</v>
      </c>
      <c r="O56" s="1880" t="s">
        <v>1040</v>
      </c>
      <c r="P56" s="1881" t="s">
        <v>1528</v>
      </c>
      <c r="Q56" s="1882">
        <f ca="1">C40+J29</f>
        <v>48628</v>
      </c>
      <c r="R56" s="1882" t="s">
        <v>1529</v>
      </c>
    </row>
    <row r="57" spans="1:18" s="1838" customFormat="1" ht="24.75" thickBot="1">
      <c r="A57" s="1914"/>
      <c r="B57" s="1166" t="s">
        <v>1478</v>
      </c>
      <c r="C57" s="282">
        <f ca="1">C29</f>
        <v>68172</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4" t="s">
        <v>1424</v>
      </c>
      <c r="C58" s="361">
        <f ca="1">ROUND(C59+C64+C65+C66,0)</f>
        <v>6492</v>
      </c>
      <c r="D58" s="1176" t="s">
        <v>1425</v>
      </c>
      <c r="E58" s="1177"/>
      <c r="F58" s="1178"/>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ROUND(IF(项目基本情况!B11="自然人",C48*F59,C60+C61+C62),1)</f>
        <v>5742.4</v>
      </c>
      <c r="D59" s="1179" t="s">
        <v>1430</v>
      </c>
      <c r="E59" s="1180" t="s">
        <v>1431</v>
      </c>
      <c r="F59" s="368"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8" t="s">
        <v>1492</v>
      </c>
      <c r="B61" s="1166" t="s">
        <v>1437</v>
      </c>
      <c r="C61" s="24">
        <f ca="1">IF(项目基本情况!B11="自然人","——",IF(D61="按租金收入计税",ROUND(C48*F61,2),IF(D61="按房产原值计税",ROUND(C57*F61*0.7,2),INDIRECT("'数据-取费表'!Aj"&amp;$G$1))))</f>
        <v>5726.45</v>
      </c>
      <c r="D61" s="1824" t="s">
        <v>1438</v>
      </c>
      <c r="E61" s="1166" t="s">
        <v>1422</v>
      </c>
      <c r="F61" s="367">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8" t="s">
        <v>1495</v>
      </c>
      <c r="B62" s="1165" t="s">
        <v>1441</v>
      </c>
      <c r="C62" s="25">
        <f ca="1">IF(项目基本情况!B11="自然人","——",ROUND(F62*F63/10000,2))</f>
        <v>15.9</v>
      </c>
      <c r="D62" s="1181" t="s">
        <v>1442</v>
      </c>
      <c r="E62" s="1166" t="s">
        <v>1443</v>
      </c>
      <c r="F62" s="371">
        <f t="shared" si="0"/>
        <v>20</v>
      </c>
      <c r="I62" s="1925" t="s">
        <v>1570</v>
      </c>
      <c r="J62" s="1926" t="s">
        <v>1571</v>
      </c>
      <c r="K62" s="1926" t="s">
        <v>1572</v>
      </c>
      <c r="L62" s="1926" t="s">
        <v>1573</v>
      </c>
      <c r="M62" s="1927" t="s">
        <v>1574</v>
      </c>
      <c r="O62" s="1880" t="s">
        <v>1046</v>
      </c>
      <c r="P62" s="1881" t="s">
        <v>1549</v>
      </c>
      <c r="Q62" s="1882">
        <f ca="1">Q56+Q57</f>
        <v>48628</v>
      </c>
      <c r="R62" s="1882" t="s">
        <v>1047</v>
      </c>
    </row>
    <row r="63" spans="1:18" s="1838" customFormat="1" ht="13.5" thickBot="1">
      <c r="A63" s="372"/>
      <c r="B63" s="1172"/>
      <c r="C63" s="29"/>
      <c r="D63" s="1182"/>
      <c r="E63" s="1166" t="s">
        <v>1447</v>
      </c>
      <c r="F63" s="348">
        <f t="shared" ca="1" si="0"/>
        <v>7952.4400000000005</v>
      </c>
      <c r="I63" s="1925" t="s">
        <v>1576</v>
      </c>
      <c r="J63" s="1926">
        <v>70</v>
      </c>
      <c r="K63" s="1926">
        <v>50</v>
      </c>
      <c r="L63" s="1926">
        <v>80</v>
      </c>
      <c r="M63" s="1928">
        <v>0.02</v>
      </c>
      <c r="O63" s="1865" t="s">
        <v>1577</v>
      </c>
      <c r="P63" s="1835"/>
      <c r="Q63" s="1835"/>
      <c r="R63" s="1835"/>
    </row>
    <row r="64" spans="1:18" s="1838" customFormat="1" ht="13.5" thickBot="1">
      <c r="A64" s="1198" t="s">
        <v>1039</v>
      </c>
      <c r="B64" s="1166" t="s">
        <v>1449</v>
      </c>
      <c r="C64" s="24">
        <f ca="1">ROUND(C57*F64,1)</f>
        <v>681.7</v>
      </c>
      <c r="D64" s="1180" t="s">
        <v>1482</v>
      </c>
      <c r="E64" s="1166" t="s">
        <v>1422</v>
      </c>
      <c r="F64" s="374">
        <f t="shared" ca="1" si="0"/>
        <v>0.01</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ROUND(C56*F65,1)</f>
        <v>68.2</v>
      </c>
      <c r="D65" s="1180" t="s">
        <v>1454</v>
      </c>
      <c r="E65" s="1166" t="s">
        <v>1422</v>
      </c>
      <c r="F65" s="376">
        <f t="shared" ca="1" si="0"/>
        <v>1E-3</v>
      </c>
      <c r="I65" s="1925" t="s">
        <v>1579</v>
      </c>
      <c r="J65" s="1926">
        <v>40</v>
      </c>
      <c r="K65" s="1926">
        <v>30</v>
      </c>
      <c r="L65" s="1926">
        <v>50</v>
      </c>
      <c r="M65" s="1928">
        <v>0.02</v>
      </c>
      <c r="O65" s="1880" t="s">
        <v>1040</v>
      </c>
      <c r="P65" s="1881" t="s">
        <v>1528</v>
      </c>
      <c r="Q65" s="1882">
        <f ca="1">C40+J29</f>
        <v>48628</v>
      </c>
      <c r="R65" s="1882" t="s">
        <v>1529</v>
      </c>
    </row>
    <row r="66" spans="1:18" s="1838" customFormat="1" ht="16.5" thickBot="1">
      <c r="A66" s="1198" t="s">
        <v>1504</v>
      </c>
      <c r="B66" s="1166" t="s">
        <v>1439</v>
      </c>
      <c r="C66" s="24">
        <f ca="1">ROUND(C48*F66,1)</f>
        <v>0</v>
      </c>
      <c r="D66" s="1180" t="s">
        <v>1459</v>
      </c>
      <c r="E66" s="1166" t="s">
        <v>1422</v>
      </c>
      <c r="F66" s="357">
        <f t="shared" ca="1" si="0"/>
        <v>0.02</v>
      </c>
      <c r="O66" s="1880" t="s">
        <v>1041</v>
      </c>
      <c r="P66" s="1881" t="s">
        <v>1558</v>
      </c>
      <c r="Q66" s="1882">
        <f ca="1">L60</f>
        <v>0</v>
      </c>
      <c r="R66" s="1882" t="s">
        <v>1581</v>
      </c>
    </row>
    <row r="67" spans="1:18" s="1838" customFormat="1" ht="16.5" thickBot="1">
      <c r="A67" s="1173" t="s">
        <v>1031</v>
      </c>
      <c r="B67" s="1183" t="s">
        <v>1463</v>
      </c>
      <c r="C67" s="361">
        <f ca="1">C48-C58</f>
        <v>-6492</v>
      </c>
      <c r="D67" s="1179" t="s">
        <v>1464</v>
      </c>
      <c r="E67" s="1184"/>
      <c r="F67" s="1185"/>
      <c r="O67" s="1890" t="s">
        <v>1042</v>
      </c>
      <c r="P67" s="1881" t="s">
        <v>1562</v>
      </c>
      <c r="Q67" s="1929">
        <f ca="1">L51</f>
        <v>-59674</v>
      </c>
      <c r="R67" s="1882" t="s">
        <v>1582</v>
      </c>
    </row>
    <row r="68" spans="1:18" s="1838" customFormat="1" ht="16.5" thickBot="1">
      <c r="A68" s="1163" t="s">
        <v>1032</v>
      </c>
      <c r="B68" s="1164" t="s">
        <v>1485</v>
      </c>
      <c r="C68" s="346">
        <f ca="1">ROUND(C67*(1-((1+F70)/(1+F68))^F69)/(F68-F70),0)</f>
        <v>-96227</v>
      </c>
      <c r="D68" s="1181" t="s">
        <v>1469</v>
      </c>
      <c r="E68" s="1166" t="s">
        <v>1470</v>
      </c>
      <c r="F68" s="357">
        <f ca="1">F40</f>
        <v>5.5E-2</v>
      </c>
      <c r="O68" s="1890" t="s">
        <v>1043</v>
      </c>
      <c r="P68" s="1930" t="s">
        <v>1583</v>
      </c>
      <c r="Q68" s="1882">
        <f ca="1">ROUND(Q69-Q70*Q71,0)</f>
        <v>-3504</v>
      </c>
      <c r="R68" s="1882" t="s">
        <v>1051</v>
      </c>
    </row>
    <row r="69" spans="1:18" s="1838" customFormat="1" ht="13.5" thickBot="1">
      <c r="A69" s="1167"/>
      <c r="B69" s="1168"/>
      <c r="C69" s="351"/>
      <c r="D69" s="1186" t="s">
        <v>1473</v>
      </c>
      <c r="E69" s="1166" t="s">
        <v>1474</v>
      </c>
      <c r="F69" s="379">
        <f ca="1">F41</f>
        <v>31.54</v>
      </c>
      <c r="O69" s="1890" t="s">
        <v>1048</v>
      </c>
      <c r="P69" s="1930" t="s">
        <v>1584</v>
      </c>
      <c r="Q69" s="1882">
        <f ca="1">C39</f>
        <v>2291</v>
      </c>
      <c r="R69" s="1882" t="s">
        <v>1529</v>
      </c>
    </row>
    <row r="70" spans="1:18" s="1838" customFormat="1" ht="13.5" thickBot="1">
      <c r="A70" s="1170"/>
      <c r="B70" s="1171"/>
      <c r="C70" s="355"/>
      <c r="D70" s="1182"/>
      <c r="E70" s="1166" t="s">
        <v>1477</v>
      </c>
      <c r="F70" s="1272"/>
      <c r="O70" s="1890" t="s">
        <v>1049</v>
      </c>
      <c r="P70" s="1930" t="s">
        <v>1585</v>
      </c>
      <c r="Q70" s="1882">
        <f ca="1">C13</f>
        <v>68172</v>
      </c>
      <c r="R70" s="1882" t="s">
        <v>1529</v>
      </c>
    </row>
    <row r="71" spans="1:18" s="1838" customFormat="1" ht="13.5" thickBot="1">
      <c r="A71" s="1187" t="s">
        <v>1033</v>
      </c>
      <c r="B71" s="1188" t="s">
        <v>1487</v>
      </c>
      <c r="C71" s="382">
        <f ca="1">ROUND(C68*10000/F71,0)</f>
        <v>-8340</v>
      </c>
      <c r="D71" s="1189" t="s">
        <v>1488</v>
      </c>
      <c r="E71" s="1190" t="s">
        <v>1489</v>
      </c>
      <c r="F71" s="385">
        <f ca="1">F43</f>
        <v>115386.06</v>
      </c>
      <c r="O71" s="1890" t="s">
        <v>1050</v>
      </c>
      <c r="P71" s="1930" t="s">
        <v>1586</v>
      </c>
      <c r="Q71" s="1893">
        <f ca="1">C76</f>
        <v>8.5000000000000006E-2</v>
      </c>
      <c r="R71" s="1882"/>
    </row>
    <row r="72" spans="1:18" s="1838" customFormat="1" ht="13.5" thickBot="1">
      <c r="B72" s="796"/>
      <c r="C72" s="796"/>
      <c r="O72" s="1890" t="s">
        <v>1044</v>
      </c>
      <c r="P72" s="1881" t="s">
        <v>1564</v>
      </c>
      <c r="Q72" s="1893">
        <f>L52</f>
        <v>0</v>
      </c>
      <c r="R72" s="1882"/>
    </row>
    <row r="73" spans="1:18" ht="16.5" thickBot="1">
      <c r="A73" s="1838"/>
      <c r="B73" s="796"/>
      <c r="C73" s="796"/>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6" t="s">
        <v>1506</v>
      </c>
      <c r="C75" s="387">
        <f ca="1">ROUND(C13*C76,0)</f>
        <v>5795</v>
      </c>
      <c r="D75" s="1838"/>
      <c r="E75" s="1838"/>
      <c r="F75" s="1838"/>
      <c r="K75" s="1864"/>
      <c r="L75" s="1838"/>
      <c r="O75" s="1880" t="s">
        <v>1046</v>
      </c>
      <c r="P75" s="1881" t="s">
        <v>1549</v>
      </c>
      <c r="Q75" s="1882">
        <f ca="1">Q65+Q66</f>
        <v>48628</v>
      </c>
      <c r="R75" s="1882" t="s">
        <v>1047</v>
      </c>
    </row>
    <row r="76" spans="1:18">
      <c r="B76" s="388" t="s">
        <v>1507</v>
      </c>
      <c r="C76" s="389">
        <f ca="1">INDIRECT("'数据-取费表'!j"&amp;$G$1)</f>
        <v>8.5000000000000006E-2</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-1.5289999999999999</v>
      </c>
    </row>
    <row r="80" spans="1:18">
      <c r="B80" s="386" t="s">
        <v>1511</v>
      </c>
      <c r="C80" s="318">
        <f ca="1">ROUND(C75/C39,3)</f>
        <v>2.5289999999999999</v>
      </c>
    </row>
    <row r="81" spans="2:3">
      <c r="B81" s="314" t="s">
        <v>1512</v>
      </c>
      <c r="C81" s="282"/>
    </row>
    <row r="82" spans="2:3">
      <c r="B82" s="317" t="s">
        <v>1513</v>
      </c>
      <c r="C82" s="319">
        <f ca="1">1-C83</f>
        <v>-0.40199999999999991</v>
      </c>
    </row>
    <row r="83" spans="2:3">
      <c r="B83" s="317" t="s">
        <v>1514</v>
      </c>
      <c r="C83" s="318">
        <f ca="1">ROUND(C13/C40,3)</f>
        <v>1.4019999999999999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7"/>
      <c r="B4" s="3019" t="s">
        <v>1630</v>
      </c>
      <c r="C4" s="3019"/>
      <c r="D4" s="3019"/>
      <c r="E4" s="1957"/>
    </row>
    <row r="5" spans="1:5" ht="16.5" thickTop="1">
      <c r="A5" s="1955"/>
      <c r="B5" s="3017" t="s">
        <v>1622</v>
      </c>
      <c r="C5" s="1958" t="s">
        <v>1623</v>
      </c>
      <c r="D5" s="1037">
        <f ca="1">结果表!H101</f>
        <v>397033</v>
      </c>
      <c r="E5" s="1955"/>
    </row>
    <row r="6" spans="1:5" ht="15.75">
      <c r="A6" s="1955"/>
      <c r="B6" s="3017"/>
      <c r="C6" s="1958" t="s">
        <v>1624</v>
      </c>
      <c r="D6" s="1037" t="str">
        <f ca="1">NUMBERSTRING(INT(D5*10000),2)&amp;"元整"</f>
        <v>叁拾玖亿柒仟零叁拾叁万元整</v>
      </c>
      <c r="E6" s="1955"/>
    </row>
    <row r="7" spans="1:5" ht="15.75">
      <c r="A7" s="1955"/>
      <c r="B7" s="3022"/>
      <c r="C7" s="1959" t="s">
        <v>1625</v>
      </c>
      <c r="D7" s="1038">
        <f ca="1">结果表!H102</f>
        <v>10494</v>
      </c>
      <c r="E7" s="1955"/>
    </row>
    <row r="8" spans="1:5" ht="15.75">
      <c r="A8" s="1955"/>
      <c r="B8" s="3023" t="str">
        <f>结果表!E103</f>
        <v>2.估价师知悉的法定优先受偿款</v>
      </c>
      <c r="C8" s="1960" t="s">
        <v>1626</v>
      </c>
      <c r="D8" s="1038">
        <f>结果表!H103</f>
        <v>4478</v>
      </c>
      <c r="E8" s="1955"/>
    </row>
    <row r="9" spans="1:5" ht="15.75">
      <c r="A9" s="1955"/>
      <c r="B9" s="3025"/>
      <c r="C9" s="1958" t="s">
        <v>1624</v>
      </c>
      <c r="D9" s="1037" t="str">
        <f>NUMBERSTRING(INT(D8*10000),2)&amp;"元整"</f>
        <v>肆仟肆佰柒拾捌万元整</v>
      </c>
      <c r="E9" s="1955"/>
    </row>
    <row r="10" spans="1:5" ht="15">
      <c r="A10" s="1955"/>
      <c r="B10" s="1961" t="s">
        <v>1629</v>
      </c>
      <c r="C10" s="1962" t="s">
        <v>1627</v>
      </c>
      <c r="D10" s="1039">
        <f>结果表!H104</f>
        <v>0</v>
      </c>
      <c r="E10" s="1955"/>
    </row>
    <row r="11" spans="1:5" ht="15">
      <c r="A11" s="1955"/>
      <c r="B11" s="1961" t="s">
        <v>1631</v>
      </c>
      <c r="C11" s="1962" t="s">
        <v>1632</v>
      </c>
      <c r="D11" s="1039">
        <f>结果表!H105</f>
        <v>0</v>
      </c>
      <c r="E11" s="1955"/>
    </row>
    <row r="12" spans="1:5" ht="15">
      <c r="A12" s="1955"/>
      <c r="B12" s="1961" t="s">
        <v>1633</v>
      </c>
      <c r="C12" s="1962" t="s">
        <v>1632</v>
      </c>
      <c r="D12" s="1039">
        <f>结果表!H106</f>
        <v>4478</v>
      </c>
      <c r="E12" s="1955"/>
    </row>
    <row r="13" spans="1:5" ht="15.75">
      <c r="A13" s="1955"/>
      <c r="B13" s="3016" t="str">
        <f>结果表!E107</f>
        <v>3.房地产抵押价值</v>
      </c>
      <c r="C13" s="1963" t="s">
        <v>1623</v>
      </c>
      <c r="D13" s="1040">
        <f ca="1">结果表!H107</f>
        <v>392555</v>
      </c>
      <c r="E13" s="1955"/>
    </row>
    <row r="14" spans="1:5" ht="15.75">
      <c r="A14" s="1955"/>
      <c r="B14" s="3017"/>
      <c r="C14" s="1958" t="s">
        <v>1624</v>
      </c>
      <c r="D14" s="1037" t="str">
        <f ca="1">NUMBERSTRING(INT(D13*10000),2)&amp;"元整"</f>
        <v>叁拾玖亿贰仟伍佰伍拾伍万元整</v>
      </c>
      <c r="E14" s="1955"/>
    </row>
    <row r="15" spans="1:5" ht="15">
      <c r="A15" s="1955"/>
      <c r="B15" s="3022"/>
      <c r="C15" s="1959" t="s">
        <v>1634</v>
      </c>
      <c r="D15" s="1049">
        <f ca="1">结果表!H108</f>
        <v>10376</v>
      </c>
      <c r="E15" s="1955"/>
    </row>
    <row r="16" spans="1:5" ht="15">
      <c r="A16" s="1955"/>
      <c r="B16" s="3023" t="str">
        <f>结果表!E109</f>
        <v>——</v>
      </c>
      <c r="C16" s="1963" t="s">
        <v>1635</v>
      </c>
      <c r="D16" s="1964" t="str">
        <f>结果表!H109</f>
        <v>——</v>
      </c>
      <c r="E16" s="1955"/>
    </row>
    <row r="17" spans="1:5" ht="15.75">
      <c r="A17" s="1955"/>
      <c r="B17" s="3024"/>
      <c r="C17" s="1958" t="s">
        <v>1636</v>
      </c>
      <c r="D17" s="1037" t="e">
        <f>NUMBERSTRING(INT(D16*10000),2)&amp;"元整"</f>
        <v>#VALUE!</v>
      </c>
      <c r="E17" s="1955"/>
    </row>
    <row r="18" spans="1:5" ht="15">
      <c r="A18" s="1955"/>
      <c r="B18" s="3025"/>
      <c r="C18" s="1959" t="s">
        <v>1625</v>
      </c>
      <c r="D18" s="1049" t="str">
        <f>结果表!H110</f>
        <v>——</v>
      </c>
      <c r="E18" s="1955"/>
    </row>
    <row r="19" spans="1:5" ht="15.75">
      <c r="A19" s="1955"/>
      <c r="B19" s="3016" t="str">
        <f>结果表!E111</f>
        <v>——</v>
      </c>
      <c r="C19" s="1963" t="s">
        <v>1623</v>
      </c>
      <c r="D19" s="1038" t="str">
        <f>结果表!H111</f>
        <v>——</v>
      </c>
      <c r="E19" s="1955"/>
    </row>
    <row r="20" spans="1:5" ht="15.75">
      <c r="A20" s="1955"/>
      <c r="B20" s="3017"/>
      <c r="C20" s="1958" t="s">
        <v>1636</v>
      </c>
      <c r="D20" s="1037" t="e">
        <f>NUMBERSTRING(INT(D19*10000),2)&amp;"元整"</f>
        <v>#VALUE!</v>
      </c>
      <c r="E20" s="1955"/>
    </row>
    <row r="21" spans="1:5" ht="15.75" thickBot="1">
      <c r="A21" s="1955"/>
      <c r="B21" s="3018"/>
      <c r="C21" s="1965" t="s">
        <v>1634</v>
      </c>
      <c r="D21" s="1050"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2517</v>
      </c>
      <c r="B1" s="2576" t="s">
        <v>2631</v>
      </c>
      <c r="C1" s="1630" t="s">
        <v>2519</v>
      </c>
      <c r="D1" s="1617"/>
      <c r="E1" s="2651"/>
      <c r="F1" s="2578"/>
      <c r="G1" s="1627" t="s">
        <v>2632</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2319</v>
      </c>
      <c r="B2" s="1415" t="e">
        <f ca="1">IF(C2="——",ROUND(C49*D3/10000,0),ROUND(C49*D3/10000,0)-D2)</f>
        <v>#DIV/0!</v>
      </c>
      <c r="C2" s="2580"/>
      <c r="D2" s="1362" t="e">
        <f ca="1">SUMIF(INDIRECT("'"&amp;F2&amp;"'"&amp;"!A:A"),"承租人权益价值",INDIRECT("'"&amp;F2&amp;"'"&amp;"!c:c"))</f>
        <v>#REF!</v>
      </c>
      <c r="E2" s="2581" t="s">
        <v>2320</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8" customFormat="1" ht="28.5" customHeight="1" thickBot="1">
      <c r="A3" s="247" t="s">
        <v>2321</v>
      </c>
      <c r="B3" s="609" t="e">
        <f ca="1">IF(C2="——",C49,ROUND(B2*10000/D3,0))</f>
        <v>#DIV/0!</v>
      </c>
      <c r="C3" s="400" t="s">
        <v>2633</v>
      </c>
      <c r="D3" s="399">
        <f>IF(D1="",'数据-汇总表'!E3,SUMIF('数据-汇总表'!$C19:$C33,D1,'数据-汇总表'!$E19:$E33))</f>
        <v>378335.58999999997</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1" t="s">
        <v>2634</v>
      </c>
      <c r="B4" s="402"/>
      <c r="C4" s="3212" t="s">
        <v>2635</v>
      </c>
      <c r="D4" s="3225"/>
      <c r="E4" s="3226" t="s">
        <v>2636</v>
      </c>
      <c r="F4" s="3227"/>
      <c r="G4" s="3212" t="s">
        <v>2637</v>
      </c>
      <c r="H4" s="3225"/>
      <c r="I4" s="3212" t="s">
        <v>2638</v>
      </c>
      <c r="J4" s="3225"/>
      <c r="K4" s="610" t="s">
        <v>2639</v>
      </c>
      <c r="L4" s="1127"/>
      <c r="M4" s="1128"/>
      <c r="N4" s="1128"/>
      <c r="O4" s="1128"/>
      <c r="P4" s="3228" t="s">
        <v>2640</v>
      </c>
      <c r="Q4" s="3229"/>
      <c r="R4" s="3234" t="s">
        <v>2636</v>
      </c>
      <c r="S4" s="3235"/>
      <c r="T4" s="3234" t="s">
        <v>2637</v>
      </c>
      <c r="U4" s="3235"/>
      <c r="V4" s="3221" t="s">
        <v>2638</v>
      </c>
      <c r="W4" s="3221"/>
      <c r="X4" s="1809"/>
      <c r="Y4" s="3234" t="s">
        <v>2640</v>
      </c>
      <c r="Z4" s="3235"/>
      <c r="AA4" s="3222" t="s">
        <v>2636</v>
      </c>
      <c r="AB4" s="3221" t="s">
        <v>2637</v>
      </c>
      <c r="AC4" s="3222" t="s">
        <v>2638</v>
      </c>
    </row>
    <row r="5" spans="1:29" ht="15">
      <c r="A5" s="404"/>
      <c r="B5" s="405"/>
      <c r="C5" s="3242" t="s">
        <v>2531</v>
      </c>
      <c r="D5" s="3243"/>
      <c r="E5" s="3249" t="s">
        <v>2532</v>
      </c>
      <c r="F5" s="3250"/>
      <c r="G5" s="3242" t="s">
        <v>2533</v>
      </c>
      <c r="H5" s="3243"/>
      <c r="I5" s="3242" t="s">
        <v>2534</v>
      </c>
      <c r="J5" s="3243"/>
      <c r="K5" s="610"/>
      <c r="L5" s="1127"/>
      <c r="M5" s="1128"/>
      <c r="N5" s="1128"/>
      <c r="O5" s="1128"/>
      <c r="P5" s="3230"/>
      <c r="Q5" s="3231"/>
      <c r="R5" s="3236"/>
      <c r="S5" s="3237"/>
      <c r="T5" s="3236"/>
      <c r="U5" s="3237"/>
      <c r="V5" s="3221"/>
      <c r="W5" s="3221"/>
      <c r="X5" s="1809"/>
      <c r="Y5" s="3236"/>
      <c r="Z5" s="3237"/>
      <c r="AA5" s="3223"/>
      <c r="AB5" s="3221"/>
      <c r="AC5" s="3223"/>
    </row>
    <row r="6" spans="1:29" ht="15.75" thickBot="1">
      <c r="A6" s="406"/>
      <c r="B6" s="407"/>
      <c r="C6" s="3240" t="s">
        <v>2535</v>
      </c>
      <c r="D6" s="3241"/>
      <c r="E6" s="3247" t="s">
        <v>2535</v>
      </c>
      <c r="F6" s="3248"/>
      <c r="G6" s="3240" t="s">
        <v>2535</v>
      </c>
      <c r="H6" s="3241"/>
      <c r="I6" s="3240" t="s">
        <v>2535</v>
      </c>
      <c r="J6" s="3241"/>
      <c r="K6" s="610" t="s">
        <v>2536</v>
      </c>
      <c r="L6" s="1127"/>
      <c r="M6" s="1128"/>
      <c r="N6" s="1128"/>
      <c r="O6" s="1128"/>
      <c r="P6" s="3232"/>
      <c r="Q6" s="3233"/>
      <c r="R6" s="3236"/>
      <c r="S6" s="3237"/>
      <c r="T6" s="3238"/>
      <c r="U6" s="3239"/>
      <c r="V6" s="3221"/>
      <c r="W6" s="3221"/>
      <c r="X6" s="1809"/>
      <c r="Y6" s="3238"/>
      <c r="Z6" s="3239"/>
      <c r="AA6" s="3224"/>
      <c r="AB6" s="3221"/>
      <c r="AC6" s="3224"/>
    </row>
    <row r="7" spans="1:29" s="117" customFormat="1" ht="15.75" thickBot="1">
      <c r="A7" s="408" t="s">
        <v>2537</v>
      </c>
      <c r="B7" s="409"/>
      <c r="C7" s="410">
        <f>'数据-取费表'!B2</f>
        <v>43332</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4" t="s">
        <v>2538</v>
      </c>
      <c r="Q7" s="3246"/>
      <c r="R7" s="770" t="s">
        <v>17</v>
      </c>
      <c r="S7" s="771">
        <f t="shared" ref="S7:S15" si="0">F7</f>
        <v>0</v>
      </c>
      <c r="T7" s="770" t="s">
        <v>17</v>
      </c>
      <c r="U7" s="771">
        <f t="shared" ref="U7:U15" si="1">H7</f>
        <v>0</v>
      </c>
      <c r="V7" s="770" t="s">
        <v>17</v>
      </c>
      <c r="W7" s="771">
        <f t="shared" ref="W7:W15" si="2">J7</f>
        <v>0</v>
      </c>
      <c r="X7" s="772"/>
      <c r="Y7" s="3244" t="s">
        <v>2538</v>
      </c>
      <c r="Z7" s="3245"/>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4" t="s">
        <v>2541</v>
      </c>
      <c r="Q8" s="3245"/>
      <c r="R8" s="770" t="s">
        <v>17</v>
      </c>
      <c r="S8" s="771">
        <f t="shared" si="0"/>
        <v>0</v>
      </c>
      <c r="T8" s="770" t="s">
        <v>17</v>
      </c>
      <c r="U8" s="771">
        <f t="shared" si="1"/>
        <v>0</v>
      </c>
      <c r="V8" s="770" t="s">
        <v>17</v>
      </c>
      <c r="W8" s="771">
        <f t="shared" si="2"/>
        <v>0</v>
      </c>
      <c r="X8" s="772"/>
      <c r="Y8" s="3244" t="s">
        <v>2541</v>
      </c>
      <c r="Z8" s="3245"/>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14" t="s">
        <v>2544</v>
      </c>
      <c r="Q9" s="1791" t="str">
        <f t="shared" ref="Q9:Q15" si="6">B9</f>
        <v>用途</v>
      </c>
      <c r="R9" s="770" t="s">
        <v>17</v>
      </c>
      <c r="S9" s="771">
        <f t="shared" si="0"/>
        <v>100</v>
      </c>
      <c r="T9" s="770" t="s">
        <v>17</v>
      </c>
      <c r="U9" s="771">
        <f t="shared" si="1"/>
        <v>100</v>
      </c>
      <c r="V9" s="770" t="s">
        <v>17</v>
      </c>
      <c r="W9" s="771">
        <f t="shared" si="2"/>
        <v>100</v>
      </c>
      <c r="X9" s="772"/>
      <c r="Y9" s="3059"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14"/>
      <c r="Q10" s="1791"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14"/>
      <c r="Q11" s="1791"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14"/>
      <c r="Q12" s="1791">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14"/>
      <c r="Q13" s="1791">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14"/>
      <c r="Q14" s="1791">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28.5">
      <c r="A15" s="440" t="s">
        <v>2548</v>
      </c>
      <c r="B15" s="69" t="s">
        <v>2642</v>
      </c>
      <c r="C15" s="2597" t="str">
        <f>估价对象房地状况!C4</f>
        <v>XX商圈，周边商业氛围，人流量</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59" t="s">
        <v>2549</v>
      </c>
      <c r="Q15" s="1806" t="str">
        <f t="shared" si="6"/>
        <v>商业繁华度</v>
      </c>
      <c r="R15" s="774" t="s">
        <v>17</v>
      </c>
      <c r="S15" s="775">
        <f t="shared" si="0"/>
        <v>100</v>
      </c>
      <c r="T15" s="774" t="s">
        <v>17</v>
      </c>
      <c r="U15" s="775">
        <f t="shared" si="1"/>
        <v>100</v>
      </c>
      <c r="V15" s="774" t="s">
        <v>17</v>
      </c>
      <c r="W15" s="775">
        <f t="shared" si="2"/>
        <v>100</v>
      </c>
      <c r="X15" s="1809"/>
      <c r="Y15" s="3217" t="s">
        <v>2549</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260"/>
      <c r="Q16" s="1806"/>
      <c r="R16" s="774"/>
      <c r="S16" s="775"/>
      <c r="T16" s="774"/>
      <c r="U16" s="775"/>
      <c r="V16" s="774"/>
      <c r="W16" s="775"/>
      <c r="X16" s="1809"/>
      <c r="Y16" s="3218"/>
      <c r="Z16" s="1810"/>
      <c r="AA16" s="1807">
        <v>1</v>
      </c>
      <c r="AB16" s="1807">
        <v>1</v>
      </c>
      <c r="AC16" s="1807">
        <v>1</v>
      </c>
    </row>
    <row r="17" spans="1:29" ht="71.25">
      <c r="A17" s="428"/>
      <c r="B17" s="451" t="s">
        <v>2090</v>
      </c>
      <c r="C17" s="2601" t="str">
        <f>估价对象房地状况!C6</f>
        <v>周边道路状况、公共交通通达情况、停车便捷程度（地铁三号线观音桥</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60"/>
      <c r="Q17" s="1806" t="str">
        <f>B17</f>
        <v>交通便捷度</v>
      </c>
      <c r="R17" s="774" t="s">
        <v>17</v>
      </c>
      <c r="S17" s="775">
        <f>F17</f>
        <v>100</v>
      </c>
      <c r="T17" s="774" t="s">
        <v>17</v>
      </c>
      <c r="U17" s="775">
        <f>H17</f>
        <v>100</v>
      </c>
      <c r="V17" s="774" t="s">
        <v>17</v>
      </c>
      <c r="W17" s="775">
        <f>J17</f>
        <v>100</v>
      </c>
      <c r="X17" s="1809"/>
      <c r="Y17" s="3218"/>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7"/>
      <c r="M18" s="1128"/>
      <c r="N18" s="1128"/>
      <c r="O18" s="1128"/>
      <c r="P18" s="3260"/>
      <c r="Q18" s="1806"/>
      <c r="R18" s="774"/>
      <c r="S18" s="775"/>
      <c r="T18" s="774"/>
      <c r="U18" s="775"/>
      <c r="V18" s="774"/>
      <c r="W18" s="775"/>
      <c r="X18" s="1809"/>
      <c r="Y18" s="3218"/>
      <c r="Z18" s="1810"/>
      <c r="AA18" s="1807">
        <v>1</v>
      </c>
      <c r="AB18" s="1807">
        <v>1</v>
      </c>
      <c r="AC18" s="1807">
        <v>1</v>
      </c>
    </row>
    <row r="19" spans="1:29" ht="15">
      <c r="A19" s="428"/>
      <c r="B19" s="451" t="s">
        <v>2643</v>
      </c>
      <c r="C19" s="260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60"/>
      <c r="Q19" s="1806" t="str">
        <f>B19</f>
        <v>公共配套设施</v>
      </c>
      <c r="R19" s="774" t="s">
        <v>17</v>
      </c>
      <c r="S19" s="775">
        <f>F19</f>
        <v>100</v>
      </c>
      <c r="T19" s="774" t="s">
        <v>17</v>
      </c>
      <c r="U19" s="775">
        <f>H19</f>
        <v>100</v>
      </c>
      <c r="V19" s="774" t="s">
        <v>17</v>
      </c>
      <c r="W19" s="775">
        <f>J19</f>
        <v>100</v>
      </c>
      <c r="X19" s="1809"/>
      <c r="Y19" s="3218"/>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7"/>
      <c r="M20" s="1128"/>
      <c r="N20" s="1128"/>
      <c r="O20" s="1128"/>
      <c r="P20" s="3260"/>
      <c r="Q20" s="1806"/>
      <c r="R20" s="774"/>
      <c r="S20" s="775"/>
      <c r="T20" s="774"/>
      <c r="U20" s="775"/>
      <c r="V20" s="774"/>
      <c r="W20" s="775"/>
      <c r="X20" s="1809"/>
      <c r="Y20" s="3218"/>
      <c r="Z20" s="1810"/>
      <c r="AA20" s="1807">
        <v>1</v>
      </c>
      <c r="AB20" s="1807">
        <v>1</v>
      </c>
      <c r="AC20" s="1807">
        <v>1</v>
      </c>
    </row>
    <row r="21" spans="1:29" ht="15">
      <c r="A21" s="428"/>
      <c r="B21" s="1381" t="s">
        <v>2644</v>
      </c>
      <c r="C21" s="260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60"/>
      <c r="Q21" s="1806" t="str">
        <f>B21</f>
        <v>基础设施水平</v>
      </c>
      <c r="R21" s="774" t="s">
        <v>17</v>
      </c>
      <c r="S21" s="775">
        <f>F21</f>
        <v>100</v>
      </c>
      <c r="T21" s="774" t="s">
        <v>17</v>
      </c>
      <c r="U21" s="775">
        <f>H21</f>
        <v>100</v>
      </c>
      <c r="V21" s="774" t="s">
        <v>17</v>
      </c>
      <c r="W21" s="775">
        <f>J21</f>
        <v>100</v>
      </c>
      <c r="X21" s="1809"/>
      <c r="Y21" s="3218"/>
      <c r="Z21" s="1810" t="str">
        <f>Q21</f>
        <v>基础设施水平</v>
      </c>
      <c r="AA21" s="1807">
        <f t="shared" ref="AA21" si="8">D21/F21</f>
        <v>1</v>
      </c>
      <c r="AB21" s="1807">
        <f t="shared" ref="AB21" si="9">D21/H21</f>
        <v>1</v>
      </c>
      <c r="AC21" s="1807">
        <f t="shared" ref="AC21" si="10">D21/J21</f>
        <v>1</v>
      </c>
    </row>
    <row r="22" spans="1:29" ht="15">
      <c r="A22" s="428"/>
      <c r="B22" s="1381"/>
      <c r="C22" s="2602"/>
      <c r="D22" s="448"/>
      <c r="E22" s="447"/>
      <c r="F22" s="449"/>
      <c r="G22" s="447"/>
      <c r="H22" s="448"/>
      <c r="I22" s="447"/>
      <c r="J22" s="448"/>
      <c r="K22" s="1380"/>
      <c r="L22" s="1137"/>
      <c r="M22" s="1128"/>
      <c r="N22" s="1128"/>
      <c r="O22" s="1128"/>
      <c r="P22" s="3260"/>
      <c r="Q22" s="1806"/>
      <c r="R22" s="774"/>
      <c r="S22" s="775"/>
      <c r="T22" s="774"/>
      <c r="U22" s="775"/>
      <c r="V22" s="774"/>
      <c r="W22" s="775"/>
      <c r="X22" s="1809"/>
      <c r="Y22" s="3218"/>
      <c r="Z22" s="1810"/>
      <c r="AA22" s="1807">
        <v>1</v>
      </c>
      <c r="AB22" s="1807">
        <v>1</v>
      </c>
      <c r="AC22" s="1807">
        <v>1</v>
      </c>
    </row>
    <row r="23" spans="1:29" ht="15">
      <c r="A23" s="428"/>
      <c r="B23" s="451" t="s">
        <v>2093</v>
      </c>
      <c r="C23" s="265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60"/>
      <c r="Q23" s="1806" t="str">
        <f>B23</f>
        <v>自然及人文环境</v>
      </c>
      <c r="R23" s="774" t="s">
        <v>17</v>
      </c>
      <c r="S23" s="775">
        <f>F23</f>
        <v>100</v>
      </c>
      <c r="T23" s="774" t="s">
        <v>17</v>
      </c>
      <c r="U23" s="775">
        <f>H23</f>
        <v>100</v>
      </c>
      <c r="V23" s="774" t="s">
        <v>17</v>
      </c>
      <c r="W23" s="775">
        <f>J23</f>
        <v>100</v>
      </c>
      <c r="X23" s="1809"/>
      <c r="Y23" s="3218"/>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7"/>
      <c r="M24" s="1128"/>
      <c r="N24" s="1128"/>
      <c r="O24" s="1128"/>
      <c r="P24" s="3260"/>
      <c r="Q24" s="1806"/>
      <c r="R24" s="774"/>
      <c r="S24" s="775"/>
      <c r="T24" s="774"/>
      <c r="U24" s="775"/>
      <c r="V24" s="774"/>
      <c r="W24" s="775"/>
      <c r="X24" s="1809"/>
      <c r="Y24" s="3218"/>
      <c r="Z24" s="1810"/>
      <c r="AA24" s="1807">
        <v>1</v>
      </c>
      <c r="AB24" s="1807">
        <v>1</v>
      </c>
      <c r="AC24" s="1807">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60"/>
      <c r="Q25" s="1806" t="str">
        <f t="shared" ref="Q25:Q46" si="11">B25</f>
        <v>临街状况</v>
      </c>
      <c r="R25" s="774" t="s">
        <v>17</v>
      </c>
      <c r="S25" s="775">
        <f>F25</f>
        <v>100</v>
      </c>
      <c r="T25" s="774" t="s">
        <v>17</v>
      </c>
      <c r="U25" s="775">
        <f>H25</f>
        <v>100</v>
      </c>
      <c r="V25" s="774" t="s">
        <v>17</v>
      </c>
      <c r="W25" s="775">
        <f>J25</f>
        <v>100</v>
      </c>
      <c r="X25" s="1809"/>
      <c r="Y25" s="3218"/>
      <c r="Z25" s="1810" t="str">
        <f>Q25</f>
        <v>临街状况</v>
      </c>
      <c r="AA25" s="1807">
        <f t="shared" si="3"/>
        <v>1</v>
      </c>
      <c r="AB25" s="1807">
        <f t="shared" si="4"/>
        <v>1</v>
      </c>
      <c r="AC25" s="1807">
        <f t="shared" si="5"/>
        <v>1</v>
      </c>
    </row>
    <row r="26" spans="1:29" ht="15">
      <c r="A26" s="428"/>
      <c r="B26" s="1383" t="s">
        <v>2646</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60"/>
      <c r="Q26" s="1806" t="str">
        <f t="shared" si="11"/>
        <v>平面位置/可视性</v>
      </c>
      <c r="R26" s="774" t="s">
        <v>17</v>
      </c>
      <c r="S26" s="775">
        <f>F26</f>
        <v>100</v>
      </c>
      <c r="T26" s="774" t="s">
        <v>17</v>
      </c>
      <c r="U26" s="775">
        <f>H26</f>
        <v>100</v>
      </c>
      <c r="V26" s="774" t="s">
        <v>17</v>
      </c>
      <c r="W26" s="775">
        <f>J26</f>
        <v>100</v>
      </c>
      <c r="X26" s="1809"/>
      <c r="Y26" s="3218"/>
      <c r="Z26" s="1810" t="str">
        <f>Q26</f>
        <v>平面位置/可视性</v>
      </c>
      <c r="AA26" s="1807">
        <f t="shared" si="3"/>
        <v>1</v>
      </c>
      <c r="AB26" s="1807">
        <f t="shared" si="4"/>
        <v>1</v>
      </c>
      <c r="AC26" s="1807">
        <f t="shared" si="5"/>
        <v>1</v>
      </c>
    </row>
    <row r="27" spans="1:29" s="117" customFormat="1" ht="15">
      <c r="A27" s="431"/>
      <c r="B27" s="451" t="s">
        <v>2647</v>
      </c>
      <c r="C27" s="2659"/>
      <c r="D27" s="462">
        <v>100</v>
      </c>
      <c r="E27" s="2659"/>
      <c r="F27" s="464">
        <f>SUMIF(90:90,E27,91:91)-SUMIF(90:90,C27,91:91)+100</f>
        <v>100</v>
      </c>
      <c r="G27" s="2659"/>
      <c r="H27" s="462">
        <f>SUMIF(90:90,G27,91:91)-SUMIF(90:90,C27,91:91)+100</f>
        <v>100</v>
      </c>
      <c r="I27" s="2659"/>
      <c r="J27" s="462">
        <f>SUMIF(90:90,I27,91:91)-SUMIF(90:90,C27,91:91)+100</f>
        <v>100</v>
      </c>
      <c r="K27" s="612"/>
      <c r="L27" s="1129"/>
      <c r="M27" s="1130"/>
      <c r="N27" s="1130"/>
      <c r="O27" s="1130"/>
      <c r="P27" s="3260"/>
      <c r="Q27" s="1791" t="str">
        <f t="shared" si="11"/>
        <v>人流量</v>
      </c>
      <c r="R27" s="770" t="s">
        <v>17</v>
      </c>
      <c r="S27" s="771">
        <f>F27</f>
        <v>100</v>
      </c>
      <c r="T27" s="770" t="s">
        <v>17</v>
      </c>
      <c r="U27" s="771">
        <f>H27</f>
        <v>100</v>
      </c>
      <c r="V27" s="770" t="s">
        <v>17</v>
      </c>
      <c r="W27" s="771">
        <f>J27</f>
        <v>100</v>
      </c>
      <c r="X27" s="772"/>
      <c r="Y27" s="3218"/>
      <c r="Z27" s="55" t="str">
        <f>Q27</f>
        <v>人流量</v>
      </c>
      <c r="AA27" s="1807">
        <f>D27/F27</f>
        <v>1</v>
      </c>
      <c r="AB27" s="1807">
        <f>D27/H27</f>
        <v>1</v>
      </c>
      <c r="AC27" s="1807">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60"/>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18"/>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60"/>
      <c r="Q29" s="1806">
        <f t="shared" si="11"/>
        <v>111</v>
      </c>
      <c r="R29" s="774" t="s">
        <v>17</v>
      </c>
      <c r="S29" s="775">
        <f t="shared" si="12"/>
        <v>100</v>
      </c>
      <c r="T29" s="774" t="s">
        <v>17</v>
      </c>
      <c r="U29" s="775">
        <f t="shared" si="13"/>
        <v>100</v>
      </c>
      <c r="V29" s="774" t="s">
        <v>17</v>
      </c>
      <c r="W29" s="775">
        <f t="shared" si="14"/>
        <v>100</v>
      </c>
      <c r="X29" s="1809"/>
      <c r="Y29" s="3218"/>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60"/>
      <c r="Q30" s="1806">
        <f t="shared" si="11"/>
        <v>111</v>
      </c>
      <c r="R30" s="774" t="s">
        <v>17</v>
      </c>
      <c r="S30" s="775">
        <f t="shared" si="12"/>
        <v>100</v>
      </c>
      <c r="T30" s="774" t="s">
        <v>17</v>
      </c>
      <c r="U30" s="775">
        <f t="shared" si="13"/>
        <v>100</v>
      </c>
      <c r="V30" s="774" t="s">
        <v>17</v>
      </c>
      <c r="W30" s="775">
        <f t="shared" si="14"/>
        <v>100</v>
      </c>
      <c r="X30" s="1809"/>
      <c r="Y30" s="3218"/>
      <c r="Z30" s="1810">
        <f t="shared" si="15"/>
        <v>111</v>
      </c>
      <c r="AA30" s="1807">
        <f t="shared" si="3"/>
        <v>1</v>
      </c>
      <c r="AB30" s="1807">
        <f t="shared" si="4"/>
        <v>1</v>
      </c>
      <c r="AC30" s="1807">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60"/>
      <c r="Q31" s="1806">
        <f t="shared" si="11"/>
        <v>111</v>
      </c>
      <c r="R31" s="774" t="s">
        <v>17</v>
      </c>
      <c r="S31" s="775">
        <f t="shared" si="12"/>
        <v>100</v>
      </c>
      <c r="T31" s="774" t="s">
        <v>17</v>
      </c>
      <c r="U31" s="775">
        <f t="shared" si="13"/>
        <v>100</v>
      </c>
      <c r="V31" s="774" t="s">
        <v>17</v>
      </c>
      <c r="W31" s="775">
        <f t="shared" si="14"/>
        <v>100</v>
      </c>
      <c r="X31" s="1809"/>
      <c r="Y31" s="3218"/>
      <c r="Z31" s="1810">
        <f t="shared" si="15"/>
        <v>111</v>
      </c>
      <c r="AA31" s="1807">
        <f t="shared" si="3"/>
        <v>1</v>
      </c>
      <c r="AB31" s="1807">
        <f t="shared" si="4"/>
        <v>1</v>
      </c>
      <c r="AC31" s="1807">
        <f t="shared" si="5"/>
        <v>1</v>
      </c>
    </row>
    <row r="32" spans="1:29" ht="15">
      <c r="A32" s="440" t="s">
        <v>2552</v>
      </c>
      <c r="B32" s="71" t="s">
        <v>2649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7"/>
      <c r="M32" s="1128"/>
      <c r="N32" s="1128"/>
      <c r="O32" s="1128"/>
      <c r="P32" s="3261" t="s">
        <v>2554</v>
      </c>
      <c r="Q32" s="1806" t="str">
        <f t="shared" si="11"/>
        <v>商业类型</v>
      </c>
      <c r="R32" s="774" t="s">
        <v>17</v>
      </c>
      <c r="S32" s="775">
        <f t="shared" si="12"/>
        <v>100</v>
      </c>
      <c r="T32" s="774" t="s">
        <v>17</v>
      </c>
      <c r="U32" s="775">
        <f t="shared" si="13"/>
        <v>100</v>
      </c>
      <c r="V32" s="774" t="s">
        <v>17</v>
      </c>
      <c r="W32" s="775">
        <f t="shared" si="14"/>
        <v>100</v>
      </c>
      <c r="X32" s="1809"/>
      <c r="Y32" s="3220" t="s">
        <v>2554</v>
      </c>
      <c r="Z32" s="1810" t="str">
        <f t="shared" si="15"/>
        <v>商业类型</v>
      </c>
      <c r="AA32" s="1807">
        <f t="shared" si="3"/>
        <v>1</v>
      </c>
      <c r="AB32" s="1807">
        <f t="shared" si="4"/>
        <v>1</v>
      </c>
      <c r="AC32" s="1807">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62"/>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07" t="e">
        <f t="shared" si="3"/>
        <v>#N/A</v>
      </c>
      <c r="AB33" s="1807" t="e">
        <f t="shared" si="4"/>
        <v>#N/A</v>
      </c>
      <c r="AC33" s="1807" t="e">
        <f t="shared" si="5"/>
        <v>#N/A</v>
      </c>
    </row>
    <row r="34" spans="1:29" ht="15">
      <c r="A34" s="472"/>
      <c r="B34" s="422" t="s">
        <v>2556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7"/>
      <c r="M34" s="1128"/>
      <c r="N34" s="1128"/>
      <c r="O34" s="1128"/>
      <c r="P34" s="3262"/>
      <c r="Q34" s="1806" t="str">
        <f t="shared" si="11"/>
        <v>建筑结构</v>
      </c>
      <c r="R34" s="774" t="s">
        <v>17</v>
      </c>
      <c r="S34" s="775">
        <f t="shared" si="12"/>
        <v>100</v>
      </c>
      <c r="T34" s="774" t="s">
        <v>17</v>
      </c>
      <c r="U34" s="775">
        <f t="shared" si="13"/>
        <v>100</v>
      </c>
      <c r="V34" s="774" t="s">
        <v>17</v>
      </c>
      <c r="W34" s="775">
        <f t="shared" si="14"/>
        <v>100</v>
      </c>
      <c r="X34" s="1809"/>
      <c r="Y34" s="3220"/>
      <c r="Z34" s="1810" t="str">
        <f t="shared" si="15"/>
        <v>建筑结构</v>
      </c>
      <c r="AA34" s="1807">
        <f t="shared" si="3"/>
        <v>1</v>
      </c>
      <c r="AB34" s="1807">
        <f t="shared" si="4"/>
        <v>1</v>
      </c>
      <c r="AC34" s="1807">
        <f t="shared" si="5"/>
        <v>1</v>
      </c>
    </row>
    <row r="35" spans="1:29" ht="15">
      <c r="A35" s="472"/>
      <c r="B35" s="422" t="s">
        <v>2650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7"/>
      <c r="M35" s="1128"/>
      <c r="N35" s="1128"/>
      <c r="O35" s="1128"/>
      <c r="P35" s="3262"/>
      <c r="Q35" s="1806" t="str">
        <f t="shared" si="11"/>
        <v>公共部分装修</v>
      </c>
      <c r="R35" s="774" t="s">
        <v>17</v>
      </c>
      <c r="S35" s="775">
        <f t="shared" si="12"/>
        <v>100</v>
      </c>
      <c r="T35" s="774" t="s">
        <v>17</v>
      </c>
      <c r="U35" s="775">
        <f t="shared" si="13"/>
        <v>100</v>
      </c>
      <c r="V35" s="774" t="s">
        <v>17</v>
      </c>
      <c r="W35" s="775">
        <f t="shared" si="14"/>
        <v>100</v>
      </c>
      <c r="X35" s="1809"/>
      <c r="Y35" s="3220"/>
      <c r="Z35" s="1810" t="str">
        <f t="shared" si="15"/>
        <v>公共部分装修</v>
      </c>
      <c r="AA35" s="1807">
        <f t="shared" si="3"/>
        <v>1</v>
      </c>
      <c r="AB35" s="1807">
        <f t="shared" si="4"/>
        <v>1</v>
      </c>
      <c r="AC35" s="1807">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62"/>
      <c r="Q36" s="1806" t="str">
        <f t="shared" si="11"/>
        <v>成新度</v>
      </c>
      <c r="R36" s="774" t="s">
        <v>17</v>
      </c>
      <c r="S36" s="775" t="e">
        <f t="shared" si="12"/>
        <v>#N/A</v>
      </c>
      <c r="T36" s="774" t="s">
        <v>17</v>
      </c>
      <c r="U36" s="775" t="e">
        <f t="shared" si="13"/>
        <v>#N/A</v>
      </c>
      <c r="V36" s="774" t="s">
        <v>17</v>
      </c>
      <c r="W36" s="775" t="e">
        <f t="shared" si="14"/>
        <v>#N/A</v>
      </c>
      <c r="X36" s="1809"/>
      <c r="Y36" s="3220"/>
      <c r="Z36" s="1810" t="str">
        <f t="shared" si="15"/>
        <v>成新度</v>
      </c>
      <c r="AA36" s="1807" t="e">
        <f t="shared" si="3"/>
        <v>#N/A</v>
      </c>
      <c r="AB36" s="1807" t="e">
        <f t="shared" si="4"/>
        <v>#N/A</v>
      </c>
      <c r="AC36" s="1807" t="e">
        <f t="shared" si="5"/>
        <v>#N/A</v>
      </c>
    </row>
    <row r="37" spans="1:29" s="117" customFormat="1" ht="15">
      <c r="A37" s="473"/>
      <c r="B37" s="422" t="s">
        <v>2652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9"/>
      <c r="M37" s="1130"/>
      <c r="N37" s="1130"/>
      <c r="O37" s="1130"/>
      <c r="P37" s="3262"/>
      <c r="Q37" s="1791"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2653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7"/>
      <c r="M38" s="1128"/>
      <c r="N38" s="1128"/>
      <c r="O38" s="1128"/>
      <c r="P38" s="3262" t="s">
        <v>2554</v>
      </c>
      <c r="Q38" s="1806" t="str">
        <f t="shared" si="11"/>
        <v>业态</v>
      </c>
      <c r="R38" s="774" t="s">
        <v>17</v>
      </c>
      <c r="S38" s="775">
        <f t="shared" si="12"/>
        <v>100</v>
      </c>
      <c r="T38" s="774" t="s">
        <v>17</v>
      </c>
      <c r="U38" s="775">
        <f t="shared" si="13"/>
        <v>100</v>
      </c>
      <c r="V38" s="774" t="s">
        <v>17</v>
      </c>
      <c r="W38" s="775">
        <f t="shared" si="14"/>
        <v>100</v>
      </c>
      <c r="X38" s="1809"/>
      <c r="Y38" s="3220" t="s">
        <v>2554</v>
      </c>
      <c r="Z38" s="1810" t="str">
        <f t="shared" si="15"/>
        <v>业态</v>
      </c>
      <c r="AA38" s="1807">
        <f t="shared" si="3"/>
        <v>1</v>
      </c>
      <c r="AB38" s="1807">
        <f t="shared" si="4"/>
        <v>1</v>
      </c>
      <c r="AC38" s="1807">
        <f t="shared" si="5"/>
        <v>1</v>
      </c>
    </row>
    <row r="39" spans="1:29" ht="15">
      <c r="A39" s="472"/>
      <c r="B39" s="422" t="s">
        <v>2654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7"/>
      <c r="M39" s="1128"/>
      <c r="N39" s="1128"/>
      <c r="O39" s="1128"/>
      <c r="P39" s="3262"/>
      <c r="Q39" s="1806" t="str">
        <f t="shared" si="11"/>
        <v>层高</v>
      </c>
      <c r="R39" s="774" t="s">
        <v>17</v>
      </c>
      <c r="S39" s="775">
        <f t="shared" si="12"/>
        <v>100</v>
      </c>
      <c r="T39" s="774" t="s">
        <v>17</v>
      </c>
      <c r="U39" s="775">
        <f t="shared" si="13"/>
        <v>100</v>
      </c>
      <c r="V39" s="774" t="s">
        <v>17</v>
      </c>
      <c r="W39" s="775">
        <f t="shared" si="14"/>
        <v>100</v>
      </c>
      <c r="X39" s="1809"/>
      <c r="Y39" s="3220"/>
      <c r="Z39" s="1810" t="str">
        <f t="shared" si="15"/>
        <v>层高</v>
      </c>
      <c r="AA39" s="1807">
        <f t="shared" si="3"/>
        <v>1</v>
      </c>
      <c r="AB39" s="1807">
        <f t="shared" si="4"/>
        <v>1</v>
      </c>
      <c r="AC39" s="1807">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62"/>
      <c r="Q40" s="1806" t="str">
        <f t="shared" si="11"/>
        <v>单套建筑面积</v>
      </c>
      <c r="R40" s="774" t="s">
        <v>17</v>
      </c>
      <c r="S40" s="775">
        <f t="shared" si="12"/>
        <v>100</v>
      </c>
      <c r="T40" s="774" t="s">
        <v>17</v>
      </c>
      <c r="U40" s="775">
        <f t="shared" si="13"/>
        <v>100</v>
      </c>
      <c r="V40" s="774" t="s">
        <v>17</v>
      </c>
      <c r="W40" s="775">
        <f t="shared" si="14"/>
        <v>100</v>
      </c>
      <c r="X40" s="1809"/>
      <c r="Y40" s="3220"/>
      <c r="Z40" s="1810" t="str">
        <f t="shared" si="15"/>
        <v>单套建筑面积</v>
      </c>
      <c r="AA40" s="1807">
        <f t="shared" si="3"/>
        <v>1</v>
      </c>
      <c r="AB40" s="1807">
        <f t="shared" si="4"/>
        <v>1</v>
      </c>
      <c r="AC40" s="1807">
        <f t="shared" si="5"/>
        <v>1</v>
      </c>
    </row>
    <row r="41" spans="1:29" s="471" customFormat="1" ht="15">
      <c r="A41" s="468"/>
      <c r="B41" s="1808"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62"/>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07">
        <f t="shared" si="3"/>
        <v>1</v>
      </c>
      <c r="AB41" s="1807">
        <f t="shared" si="4"/>
        <v>1</v>
      </c>
      <c r="AC41" s="1807">
        <f t="shared" si="5"/>
        <v>1</v>
      </c>
    </row>
    <row r="42" spans="1:29" ht="15">
      <c r="A42" s="472"/>
      <c r="B42" s="422" t="s">
        <v>2657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7"/>
      <c r="M42" s="1128"/>
      <c r="N42" s="1128"/>
      <c r="O42" s="1128"/>
      <c r="P42" s="3262"/>
      <c r="Q42" s="1806" t="str">
        <f t="shared" si="11"/>
        <v>内部装修</v>
      </c>
      <c r="R42" s="774" t="s">
        <v>17</v>
      </c>
      <c r="S42" s="775">
        <f t="shared" si="12"/>
        <v>100</v>
      </c>
      <c r="T42" s="774" t="s">
        <v>17</v>
      </c>
      <c r="U42" s="775">
        <f t="shared" si="13"/>
        <v>100</v>
      </c>
      <c r="V42" s="774" t="s">
        <v>17</v>
      </c>
      <c r="W42" s="775">
        <f t="shared" si="14"/>
        <v>100</v>
      </c>
      <c r="X42" s="1809"/>
      <c r="Y42" s="3220"/>
      <c r="Z42" s="1810" t="str">
        <f t="shared" si="15"/>
        <v>内部装修</v>
      </c>
      <c r="AA42" s="1807">
        <f t="shared" si="3"/>
        <v>1</v>
      </c>
      <c r="AB42" s="1807">
        <f t="shared" si="4"/>
        <v>1</v>
      </c>
      <c r="AC42" s="1807">
        <f t="shared" si="5"/>
        <v>1</v>
      </c>
    </row>
    <row r="43" spans="1:29" ht="15">
      <c r="A43" s="472"/>
      <c r="B43" s="422" t="s">
        <v>2565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7"/>
      <c r="M43" s="1128"/>
      <c r="N43" s="1128"/>
      <c r="O43" s="1128"/>
      <c r="P43" s="3262"/>
      <c r="Q43" s="1806" t="str">
        <f t="shared" si="11"/>
        <v>内部装修维护情况</v>
      </c>
      <c r="R43" s="774" t="s">
        <v>17</v>
      </c>
      <c r="S43" s="775">
        <f t="shared" si="12"/>
        <v>100</v>
      </c>
      <c r="T43" s="774" t="s">
        <v>17</v>
      </c>
      <c r="U43" s="775">
        <f t="shared" si="13"/>
        <v>100</v>
      </c>
      <c r="V43" s="774" t="s">
        <v>17</v>
      </c>
      <c r="W43" s="775">
        <f t="shared" si="14"/>
        <v>100</v>
      </c>
      <c r="X43" s="1809"/>
      <c r="Y43" s="3220"/>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62"/>
      <c r="Q44" s="1791">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62"/>
      <c r="Q45" s="1806">
        <f t="shared" si="11"/>
        <v>111</v>
      </c>
      <c r="R45" s="774" t="s">
        <v>17</v>
      </c>
      <c r="S45" s="775">
        <f t="shared" si="12"/>
        <v>100</v>
      </c>
      <c r="T45" s="774" t="s">
        <v>17</v>
      </c>
      <c r="U45" s="775">
        <f t="shared" si="13"/>
        <v>100</v>
      </c>
      <c r="V45" s="774" t="s">
        <v>17</v>
      </c>
      <c r="W45" s="775">
        <f t="shared" si="14"/>
        <v>100</v>
      </c>
      <c r="X45" s="1809"/>
      <c r="Y45" s="3220"/>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63"/>
      <c r="Q46" s="1806">
        <f t="shared" si="11"/>
        <v>111</v>
      </c>
      <c r="R46" s="774" t="s">
        <v>17</v>
      </c>
      <c r="S46" s="775">
        <f t="shared" si="12"/>
        <v>100</v>
      </c>
      <c r="T46" s="774" t="s">
        <v>17</v>
      </c>
      <c r="U46" s="775">
        <f t="shared" si="13"/>
        <v>100</v>
      </c>
      <c r="V46" s="774" t="s">
        <v>17</v>
      </c>
      <c r="W46" s="775">
        <f t="shared" si="14"/>
        <v>100</v>
      </c>
      <c r="X46" s="1809"/>
      <c r="Y46" s="3264"/>
      <c r="Z46" s="1810">
        <f t="shared" si="15"/>
        <v>111</v>
      </c>
      <c r="AA46" s="1807">
        <f t="shared" si="3"/>
        <v>1</v>
      </c>
      <c r="AB46" s="1807">
        <f t="shared" si="4"/>
        <v>1</v>
      </c>
      <c r="AC46" s="1807">
        <f t="shared" si="5"/>
        <v>1</v>
      </c>
    </row>
    <row r="47" spans="1:29" ht="15">
      <c r="A47" s="479" t="s">
        <v>2566</v>
      </c>
      <c r="B47" s="480"/>
      <c r="C47" s="1404" t="s">
        <v>1</v>
      </c>
      <c r="D47" s="1405"/>
      <c r="E47" s="1406"/>
      <c r="F47" s="1407"/>
      <c r="G47" s="1408"/>
      <c r="H47" s="1409"/>
      <c r="I47" s="1406"/>
      <c r="J47" s="1409"/>
      <c r="K47" s="783"/>
      <c r="L47" s="1140"/>
      <c r="M47" s="1141"/>
      <c r="N47" s="1128"/>
      <c r="O47" s="1141"/>
      <c r="P47" s="3215" t="str">
        <f>A47</f>
        <v>成交单价（元/平方米）</v>
      </c>
      <c r="Q47" s="3215"/>
      <c r="R47" s="3221">
        <f>E47</f>
        <v>0</v>
      </c>
      <c r="S47" s="3221"/>
      <c r="T47" s="3221">
        <f>G47</f>
        <v>0</v>
      </c>
      <c r="U47" s="3221"/>
      <c r="V47" s="3221">
        <f>I47</f>
        <v>0</v>
      </c>
      <c r="W47" s="3221"/>
      <c r="X47" s="759"/>
      <c r="Y47" s="781"/>
      <c r="Z47" s="759"/>
      <c r="AA47" s="759"/>
      <c r="AB47" s="759"/>
      <c r="AC47" s="759"/>
    </row>
    <row r="48" spans="1:29" ht="15.75" thickBot="1">
      <c r="A48" s="486" t="s">
        <v>2658</v>
      </c>
      <c r="B48" s="487"/>
      <c r="C48" s="1410" t="e">
        <f>R49</f>
        <v>#DIV/0!</v>
      </c>
      <c r="D48" s="1411"/>
      <c r="E48" s="1412" t="e">
        <f>R48</f>
        <v>#DIV/0!</v>
      </c>
      <c r="F48" s="1412"/>
      <c r="G48" s="1410" t="e">
        <f>T48</f>
        <v>#DIV/0!</v>
      </c>
      <c r="H48" s="1411"/>
      <c r="I48" s="1412" t="e">
        <f>V48</f>
        <v>#DIV/0!</v>
      </c>
      <c r="J48" s="1411"/>
      <c r="K48" s="784"/>
      <c r="L48" s="1140"/>
      <c r="M48" s="1141"/>
      <c r="N48" s="1128"/>
      <c r="O48" s="1141"/>
      <c r="P48" s="3215" t="str">
        <f>A48</f>
        <v>比较价值（元/平方米）</v>
      </c>
      <c r="Q48" s="3215"/>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2659</v>
      </c>
      <c r="B49" s="493"/>
      <c r="C49" s="1414" t="e">
        <f>R49</f>
        <v>#DIV/0!</v>
      </c>
      <c r="D49" s="1414"/>
      <c r="E49" s="1414"/>
      <c r="F49" s="1414"/>
      <c r="G49" s="1414"/>
      <c r="H49" s="1414"/>
      <c r="I49" s="1414"/>
      <c r="J49" s="1414"/>
      <c r="K49" s="785"/>
      <c r="L49" s="1140"/>
      <c r="M49" s="1141"/>
      <c r="N49" s="1128"/>
      <c r="O49" s="1141"/>
      <c r="P49" s="3209" t="str">
        <f>A49</f>
        <v>估价对象XX用房的比较价值（楼面单价，元/平方米）</v>
      </c>
      <c r="Q49" s="3210"/>
      <c r="R49" s="3258" t="e">
        <f>IF(F1="售价",ROUND(AVERAGE(R48:V48),0),ROUND(AVERAGE(R48:V48),1))</f>
        <v>#DIV/0!</v>
      </c>
      <c r="S49" s="3258"/>
      <c r="T49" s="3258"/>
      <c r="U49" s="3258"/>
      <c r="V49" s="3258"/>
      <c r="W49" s="325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0"/>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0"/>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58"/>
      <c r="M57" s="1156"/>
      <c r="N57" s="1156"/>
      <c r="O57" s="1156"/>
      <c r="P57" s="2661"/>
      <c r="Q57" s="2662"/>
      <c r="R57" s="759"/>
      <c r="S57" s="759"/>
      <c r="T57" s="759"/>
      <c r="U57" s="759"/>
      <c r="V57" s="759"/>
      <c r="W57" s="759"/>
      <c r="X57" s="759"/>
      <c r="Y57" s="759"/>
      <c r="Z57" s="759"/>
      <c r="AA57" s="759"/>
      <c r="AB57" s="759"/>
      <c r="AC57" s="759"/>
    </row>
    <row r="58" spans="1:29" s="508" customFormat="1" ht="15">
      <c r="A58" s="505" t="s">
        <v>2537</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2574</v>
      </c>
      <c r="B60" s="516"/>
      <c r="C60" s="517"/>
      <c r="D60" s="518"/>
      <c r="E60" s="518"/>
      <c r="F60" s="518"/>
      <c r="G60" s="518"/>
      <c r="H60" s="518"/>
      <c r="I60" s="518"/>
      <c r="J60" s="518"/>
      <c r="K60" s="518"/>
      <c r="L60" s="518"/>
      <c r="M60" s="519"/>
      <c r="N60" s="518"/>
      <c r="O60" s="519"/>
      <c r="P60" s="2622"/>
      <c r="Q60" s="504"/>
    </row>
    <row r="61" spans="1:29" s="117" customFormat="1" ht="15">
      <c r="A61" s="521" t="s">
        <v>2539</v>
      </c>
      <c r="B61" s="510"/>
      <c r="C61" s="522" t="s">
        <v>2641</v>
      </c>
      <c r="D61" s="523"/>
      <c r="E61" s="523"/>
      <c r="F61" s="523"/>
      <c r="G61" s="523"/>
      <c r="H61" s="523"/>
      <c r="I61" s="523"/>
      <c r="J61" s="523"/>
      <c r="K61" s="523"/>
      <c r="L61" s="524"/>
      <c r="M61" s="525"/>
      <c r="N61" s="1148"/>
      <c r="O61" s="1148"/>
      <c r="P61" s="2623"/>
      <c r="Q61" s="504"/>
    </row>
    <row r="62" spans="1:29" s="117" customFormat="1" ht="15.75" thickBot="1">
      <c r="A62" s="521"/>
      <c r="B62" s="510"/>
      <c r="C62" s="511">
        <v>100</v>
      </c>
      <c r="D62" s="512"/>
      <c r="E62" s="512"/>
      <c r="F62" s="512"/>
      <c r="G62" s="512"/>
      <c r="H62" s="512"/>
      <c r="I62" s="512"/>
      <c r="J62" s="512"/>
      <c r="K62" s="512"/>
      <c r="L62" s="512"/>
      <c r="M62" s="514"/>
      <c r="N62" s="1148"/>
      <c r="O62" s="1148"/>
      <c r="P62" s="2622"/>
      <c r="Q62" s="504"/>
    </row>
    <row r="63" spans="1:29">
      <c r="A63" s="527" t="s">
        <v>2577</v>
      </c>
      <c r="B63" s="528" t="s">
        <v>2543</v>
      </c>
      <c r="C63" s="529">
        <f>C9</f>
        <v>0</v>
      </c>
      <c r="D63" s="530"/>
      <c r="E63" s="530"/>
      <c r="F63" s="530"/>
      <c r="G63" s="530"/>
      <c r="H63" s="530"/>
      <c r="I63" s="530"/>
      <c r="J63" s="530"/>
      <c r="K63" s="531"/>
      <c r="L63" s="532"/>
      <c r="M63" s="533"/>
      <c r="N63" s="1149"/>
      <c r="O63" s="1149"/>
      <c r="P63" s="2624"/>
      <c r="Q63" s="504"/>
    </row>
    <row r="64" spans="1:29" ht="15.75" thickBot="1">
      <c r="A64" s="534"/>
      <c r="B64" s="535"/>
      <c r="C64" s="536">
        <v>100</v>
      </c>
      <c r="D64" s="536"/>
      <c r="E64" s="536"/>
      <c r="F64" s="536"/>
      <c r="G64" s="536"/>
      <c r="H64" s="536"/>
      <c r="I64" s="536"/>
      <c r="J64" s="536"/>
      <c r="K64" s="536"/>
      <c r="L64" s="536"/>
      <c r="M64" s="537"/>
      <c r="N64" s="1150"/>
      <c r="O64" s="1150"/>
      <c r="P64" s="262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49"/>
      <c r="O65" s="1149"/>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4"/>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4"/>
      <c r="Q67" s="504"/>
    </row>
    <row r="68" spans="1:17" ht="15">
      <c r="A68" s="534"/>
      <c r="B68" s="548"/>
      <c r="C68" s="549"/>
      <c r="D68" s="549"/>
      <c r="E68" s="549"/>
      <c r="F68" s="549"/>
      <c r="G68" s="549"/>
      <c r="H68" s="549"/>
      <c r="I68" s="549"/>
      <c r="J68" s="549"/>
      <c r="K68" s="550"/>
      <c r="L68" s="551"/>
      <c r="M68" s="552"/>
      <c r="N68" s="1149"/>
      <c r="O68" s="1149"/>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4"/>
      <c r="Q69" s="504"/>
    </row>
    <row r="70" spans="1:17" s="471" customFormat="1" ht="15.75" thickTop="1">
      <c r="A70" s="553"/>
      <c r="B70" s="538">
        <f>B12</f>
        <v>111</v>
      </c>
      <c r="C70" s="554"/>
      <c r="D70" s="554"/>
      <c r="E70" s="554"/>
      <c r="F70" s="554"/>
      <c r="G70" s="554"/>
      <c r="H70" s="555"/>
      <c r="I70" s="555"/>
      <c r="J70" s="555"/>
      <c r="K70" s="555"/>
      <c r="L70" s="556"/>
      <c r="M70" s="557"/>
      <c r="N70" s="1151"/>
      <c r="O70" s="1151"/>
      <c r="P70" s="2625"/>
      <c r="Q70" s="559"/>
    </row>
    <row r="71" spans="1:17" s="471" customFormat="1" ht="15.75" thickBot="1">
      <c r="A71" s="553"/>
      <c r="B71" s="543"/>
      <c r="C71" s="560"/>
      <c r="D71" s="536"/>
      <c r="E71" s="536"/>
      <c r="F71" s="536"/>
      <c r="G71" s="536"/>
      <c r="H71" s="536"/>
      <c r="I71" s="536"/>
      <c r="J71" s="536"/>
      <c r="K71" s="536"/>
      <c r="L71" s="536"/>
      <c r="M71" s="537"/>
      <c r="N71" s="1150"/>
      <c r="O71" s="1150"/>
      <c r="P71" s="2625"/>
      <c r="Q71" s="559"/>
    </row>
    <row r="72" spans="1:17" s="471" customFormat="1" ht="15.75" thickTop="1">
      <c r="A72" s="553"/>
      <c r="B72" s="538">
        <f>B13</f>
        <v>111</v>
      </c>
      <c r="C72" s="554"/>
      <c r="D72" s="554"/>
      <c r="E72" s="554"/>
      <c r="F72" s="554"/>
      <c r="G72" s="554"/>
      <c r="H72" s="555"/>
      <c r="I72" s="555"/>
      <c r="J72" s="555"/>
      <c r="K72" s="555"/>
      <c r="L72" s="556"/>
      <c r="M72" s="557"/>
      <c r="N72" s="1151"/>
      <c r="O72" s="1151"/>
      <c r="P72" s="2626"/>
      <c r="Q72" s="561"/>
    </row>
    <row r="73" spans="1:17" s="471" customFormat="1" ht="15.75" thickBot="1">
      <c r="A73" s="553"/>
      <c r="B73" s="543"/>
      <c r="C73" s="560"/>
      <c r="D73" s="536"/>
      <c r="E73" s="536"/>
      <c r="F73" s="536"/>
      <c r="G73" s="560"/>
      <c r="H73" s="562"/>
      <c r="I73" s="562"/>
      <c r="J73" s="562"/>
      <c r="K73" s="562"/>
      <c r="L73" s="562"/>
      <c r="M73" s="563"/>
      <c r="N73" s="1151"/>
      <c r="O73" s="1151"/>
      <c r="P73" s="2625"/>
      <c r="Q73" s="559"/>
    </row>
    <row r="74" spans="1:17" s="471" customFormat="1" ht="15.75" thickTop="1">
      <c r="A74" s="553"/>
      <c r="B74" s="546">
        <f>B14</f>
        <v>111</v>
      </c>
      <c r="C74" s="554"/>
      <c r="D74" s="554"/>
      <c r="E74" s="554"/>
      <c r="F74" s="554"/>
      <c r="G74" s="523"/>
      <c r="H74" s="564"/>
      <c r="I74" s="564"/>
      <c r="J74" s="564"/>
      <c r="K74" s="564"/>
      <c r="L74" s="565"/>
      <c r="M74" s="566"/>
      <c r="N74" s="1151"/>
      <c r="O74" s="1151"/>
      <c r="P74" s="2627"/>
      <c r="Q74" s="559"/>
    </row>
    <row r="75" spans="1:17" s="471" customFormat="1" ht="15.75" thickBot="1">
      <c r="A75" s="568"/>
      <c r="B75" s="569"/>
      <c r="C75" s="570"/>
      <c r="D75" s="570"/>
      <c r="E75" s="570"/>
      <c r="F75" s="570"/>
      <c r="G75" s="570"/>
      <c r="H75" s="571"/>
      <c r="I75" s="571"/>
      <c r="J75" s="571"/>
      <c r="K75" s="571"/>
      <c r="L75" s="571"/>
      <c r="M75" s="572"/>
      <c r="N75" s="1151"/>
      <c r="O75" s="1151"/>
      <c r="P75" s="262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49"/>
      <c r="O76" s="1149"/>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49"/>
      <c r="O78" s="1149"/>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49"/>
      <c r="O80" s="1149"/>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4"/>
      <c r="Q81" s="504"/>
    </row>
    <row r="82" spans="1:17" ht="15.75" thickTop="1">
      <c r="A82" s="534"/>
      <c r="B82" s="546" t="s">
        <v>2644</v>
      </c>
      <c r="C82" s="660" t="s">
        <v>2664</v>
      </c>
      <c r="D82" s="660" t="s">
        <v>2665</v>
      </c>
      <c r="E82" s="660" t="s">
        <v>2666</v>
      </c>
      <c r="F82" s="660" t="s">
        <v>2667</v>
      </c>
      <c r="G82" s="660" t="s">
        <v>2668</v>
      </c>
      <c r="H82" s="539"/>
      <c r="I82" s="539"/>
      <c r="J82" s="539"/>
      <c r="K82" s="539"/>
      <c r="L82" s="539"/>
      <c r="M82" s="1379"/>
      <c r="N82" s="1150"/>
      <c r="O82" s="1150"/>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49"/>
      <c r="O84" s="1149"/>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4"/>
      <c r="Q85" s="504"/>
    </row>
    <row r="86" spans="1:17" s="117" customFormat="1" ht="15.75" thickTop="1">
      <c r="A86" s="579"/>
      <c r="B86" s="538" t="s">
        <v>2669</v>
      </c>
      <c r="C86" s="554"/>
      <c r="D86" s="554"/>
      <c r="E86" s="554"/>
      <c r="F86" s="554"/>
      <c r="G86" s="554"/>
      <c r="H86" s="554"/>
      <c r="I86" s="554"/>
      <c r="J86" s="554"/>
      <c r="K86" s="554"/>
      <c r="L86" s="580"/>
      <c r="M86" s="581"/>
      <c r="N86" s="1148"/>
      <c r="O86" s="1148"/>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8"/>
      <c r="O88" s="1148"/>
      <c r="P88" s="2624"/>
      <c r="Q88" s="504"/>
    </row>
    <row r="89" spans="1:17" s="117" customFormat="1" ht="15.75" thickBot="1">
      <c r="A89" s="579"/>
      <c r="B89" s="543"/>
      <c r="C89" s="560"/>
      <c r="D89" s="536"/>
      <c r="E89" s="536"/>
      <c r="F89" s="536"/>
      <c r="G89" s="536"/>
      <c r="H89" s="536"/>
      <c r="I89" s="536"/>
      <c r="J89" s="536"/>
      <c r="K89" s="536"/>
      <c r="L89" s="536"/>
      <c r="M89" s="536"/>
      <c r="N89" s="1150"/>
      <c r="O89" s="1150"/>
      <c r="P89" s="2624"/>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5"/>
      <c r="Q91" s="559"/>
    </row>
    <row r="92" spans="1:17" ht="15.75" thickTop="1">
      <c r="A92" s="534"/>
      <c r="B92" s="538" t="str">
        <f>B28</f>
        <v>楼层</v>
      </c>
      <c r="C92" s="554"/>
      <c r="D92" s="554"/>
      <c r="E92" s="554"/>
      <c r="F92" s="554"/>
      <c r="G92" s="554"/>
      <c r="H92" s="554"/>
      <c r="I92" s="554"/>
      <c r="J92" s="554"/>
      <c r="K92" s="554"/>
      <c r="L92" s="580"/>
      <c r="M92" s="581"/>
      <c r="N92" s="1149"/>
      <c r="O92" s="1149"/>
      <c r="P92" s="2624"/>
      <c r="Q92" s="504"/>
    </row>
    <row r="93" spans="1:17" ht="15.75" thickBot="1">
      <c r="A93" s="534"/>
      <c r="B93" s="543"/>
      <c r="C93" s="536"/>
      <c r="D93" s="536"/>
      <c r="E93" s="536"/>
      <c r="F93" s="536"/>
      <c r="G93" s="536"/>
      <c r="H93" s="536"/>
      <c r="I93" s="536"/>
      <c r="J93" s="536"/>
      <c r="K93" s="536"/>
      <c r="L93" s="536"/>
      <c r="M93" s="537"/>
      <c r="N93" s="1150"/>
      <c r="O93" s="1150"/>
      <c r="P93" s="2624"/>
      <c r="Q93" s="504"/>
    </row>
    <row r="94" spans="1:17" ht="15.75" thickTop="1">
      <c r="A94" s="534"/>
      <c r="B94" s="538">
        <f>B29</f>
        <v>111</v>
      </c>
      <c r="C94" s="554"/>
      <c r="D94" s="554"/>
      <c r="E94" s="554"/>
      <c r="F94" s="554"/>
      <c r="G94" s="583"/>
      <c r="H94" s="583"/>
      <c r="I94" s="583"/>
      <c r="J94" s="583"/>
      <c r="K94" s="584"/>
      <c r="L94" s="585"/>
      <c r="M94" s="586"/>
      <c r="N94" s="1149"/>
      <c r="O94" s="1149"/>
      <c r="P94" s="2624"/>
      <c r="Q94" s="504"/>
    </row>
    <row r="95" spans="1:17" ht="15.75" thickBot="1">
      <c r="A95" s="534"/>
      <c r="B95" s="543"/>
      <c r="C95" s="560"/>
      <c r="D95" s="536"/>
      <c r="E95" s="536"/>
      <c r="F95" s="536"/>
      <c r="G95" s="536"/>
      <c r="H95" s="536"/>
      <c r="I95" s="536"/>
      <c r="J95" s="536"/>
      <c r="K95" s="536"/>
      <c r="L95" s="536"/>
      <c r="M95" s="537"/>
      <c r="N95" s="1150"/>
      <c r="O95" s="1150"/>
      <c r="P95" s="2624"/>
      <c r="Q95" s="504"/>
    </row>
    <row r="96" spans="1:17" ht="15.75" thickTop="1">
      <c r="A96" s="534"/>
      <c r="B96" s="538">
        <f>B30</f>
        <v>111</v>
      </c>
      <c r="C96" s="554"/>
      <c r="D96" s="554"/>
      <c r="E96" s="554"/>
      <c r="F96" s="554"/>
      <c r="G96" s="583"/>
      <c r="H96" s="583"/>
      <c r="I96" s="583"/>
      <c r="J96" s="583"/>
      <c r="K96" s="584"/>
      <c r="L96" s="585"/>
      <c r="M96" s="586"/>
      <c r="N96" s="1149"/>
      <c r="O96" s="1149"/>
      <c r="P96" s="2624"/>
      <c r="Q96" s="504"/>
    </row>
    <row r="97" spans="1:17" ht="15.75" thickBot="1">
      <c r="A97" s="534"/>
      <c r="B97" s="543"/>
      <c r="C97" s="560"/>
      <c r="D97" s="536"/>
      <c r="E97" s="536"/>
      <c r="F97" s="536"/>
      <c r="G97" s="536"/>
      <c r="H97" s="536"/>
      <c r="I97" s="536"/>
      <c r="J97" s="536"/>
      <c r="K97" s="536"/>
      <c r="L97" s="536"/>
      <c r="M97" s="537"/>
      <c r="N97" s="1150"/>
      <c r="O97" s="1150"/>
      <c r="P97" s="2624"/>
      <c r="Q97" s="504"/>
    </row>
    <row r="98" spans="1:17" ht="15.75" thickTop="1">
      <c r="A98" s="534"/>
      <c r="B98" s="546">
        <f>B31</f>
        <v>111</v>
      </c>
      <c r="C98" s="554"/>
      <c r="D98" s="554"/>
      <c r="E98" s="554"/>
      <c r="F98" s="554"/>
      <c r="G98" s="587"/>
      <c r="H98" s="587"/>
      <c r="I98" s="587"/>
      <c r="J98" s="587"/>
      <c r="K98" s="588"/>
      <c r="L98" s="589"/>
      <c r="M98" s="590"/>
      <c r="N98" s="1149"/>
      <c r="O98" s="1149"/>
      <c r="P98" s="2624"/>
      <c r="Q98" s="504"/>
    </row>
    <row r="99" spans="1:17" ht="15.75" thickBot="1">
      <c r="A99" s="2630"/>
      <c r="B99" s="569"/>
      <c r="C99" s="570"/>
      <c r="D99" s="570"/>
      <c r="E99" s="570"/>
      <c r="F99" s="570"/>
      <c r="G99" s="591"/>
      <c r="H99" s="591"/>
      <c r="I99" s="591"/>
      <c r="J99" s="591"/>
      <c r="K99" s="591"/>
      <c r="L99" s="591"/>
      <c r="M99" s="592"/>
      <c r="N99" s="1150"/>
      <c r="O99" s="1150"/>
      <c r="P99" s="2624"/>
      <c r="Q99" s="504"/>
    </row>
    <row r="100" spans="1:17">
      <c r="A100" s="527" t="s">
        <v>2552</v>
      </c>
      <c r="B100" s="528" t="s">
        <v>2670</v>
      </c>
      <c r="C100" s="530"/>
      <c r="D100" s="530"/>
      <c r="E100" s="530"/>
      <c r="F100" s="530"/>
      <c r="G100" s="530"/>
      <c r="H100" s="530"/>
      <c r="I100" s="530"/>
      <c r="J100" s="530"/>
      <c r="K100" s="531"/>
      <c r="L100" s="532"/>
      <c r="M100" s="533"/>
      <c r="N100" s="1149"/>
      <c r="O100" s="1149"/>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4"/>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4"/>
      <c r="Q102" s="504"/>
    </row>
    <row r="103" spans="1:17" s="471" customFormat="1">
      <c r="A103" s="593"/>
      <c r="B103" s="594"/>
      <c r="C103" s="595"/>
      <c r="D103" s="595"/>
      <c r="E103" s="595"/>
      <c r="F103" s="595"/>
      <c r="G103" s="595"/>
      <c r="H103" s="595"/>
      <c r="I103" s="595"/>
      <c r="J103" s="596"/>
      <c r="K103" s="596"/>
      <c r="L103" s="597"/>
      <c r="M103" s="598"/>
      <c r="N103" s="1151"/>
      <c r="O103" s="1151"/>
      <c r="P103" s="2625"/>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5"/>
      <c r="Q104" s="559"/>
    </row>
    <row r="105" spans="1:17" ht="15" thickTop="1">
      <c r="A105" s="599"/>
      <c r="B105" s="538" t="s">
        <v>2603</v>
      </c>
      <c r="C105" s="554"/>
      <c r="D105" s="554"/>
      <c r="E105" s="583"/>
      <c r="F105" s="583"/>
      <c r="G105" s="583"/>
      <c r="H105" s="583"/>
      <c r="I105" s="583"/>
      <c r="J105" s="583"/>
      <c r="K105" s="584"/>
      <c r="L105" s="585"/>
      <c r="M105" s="586"/>
      <c r="N105" s="1149"/>
      <c r="O105" s="1149"/>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4"/>
      <c r="Q106" s="504"/>
    </row>
    <row r="107" spans="1:17" ht="15" thickTop="1">
      <c r="A107" s="599"/>
      <c r="B107" s="538" t="s">
        <v>2605</v>
      </c>
      <c r="C107" s="554"/>
      <c r="D107" s="554"/>
      <c r="E107" s="554"/>
      <c r="F107" s="583"/>
      <c r="G107" s="583"/>
      <c r="H107" s="583"/>
      <c r="I107" s="583"/>
      <c r="J107" s="583"/>
      <c r="K107" s="584"/>
      <c r="L107" s="585"/>
      <c r="M107" s="586"/>
      <c r="N107" s="1149"/>
      <c r="O107" s="1149"/>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4"/>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4"/>
      <c r="Q111" s="504"/>
    </row>
    <row r="112" spans="1:17" s="471" customFormat="1" ht="15" thickTop="1">
      <c r="A112" s="593"/>
      <c r="B112" s="538" t="s">
        <v>2607</v>
      </c>
      <c r="C112" s="554"/>
      <c r="D112" s="554"/>
      <c r="E112" s="554"/>
      <c r="F112" s="554"/>
      <c r="G112" s="554"/>
      <c r="H112" s="583"/>
      <c r="I112" s="583"/>
      <c r="J112" s="583"/>
      <c r="K112" s="584"/>
      <c r="L112" s="585"/>
      <c r="M112" s="586"/>
      <c r="N112" s="1151"/>
      <c r="O112" s="1151"/>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5"/>
      <c r="Q113" s="559"/>
    </row>
    <row r="114" spans="1:17" ht="15" thickTop="1">
      <c r="A114" s="599"/>
      <c r="B114" s="538" t="s">
        <v>2671</v>
      </c>
      <c r="C114" s="554"/>
      <c r="D114" s="554"/>
      <c r="E114" s="583"/>
      <c r="F114" s="583"/>
      <c r="G114" s="583"/>
      <c r="H114" s="583"/>
      <c r="I114" s="583"/>
      <c r="J114" s="583"/>
      <c r="K114" s="584"/>
      <c r="L114" s="585"/>
      <c r="M114" s="586"/>
      <c r="N114" s="1149"/>
      <c r="O114" s="1149"/>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4"/>
      <c r="Q115" s="504"/>
    </row>
    <row r="116" spans="1:17" ht="15" thickTop="1">
      <c r="A116" s="599"/>
      <c r="B116" s="538" t="s">
        <v>2672</v>
      </c>
      <c r="C116" s="554"/>
      <c r="D116" s="554"/>
      <c r="E116" s="554"/>
      <c r="F116" s="554"/>
      <c r="G116" s="554"/>
      <c r="H116" s="583"/>
      <c r="I116" s="583"/>
      <c r="J116" s="583"/>
      <c r="K116" s="584"/>
      <c r="L116" s="585"/>
      <c r="M116" s="586"/>
      <c r="N116" s="1149"/>
      <c r="O116" s="1149"/>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4"/>
      <c r="Q117" s="504"/>
    </row>
    <row r="118" spans="1:17" ht="15" thickTop="1">
      <c r="A118" s="599"/>
      <c r="B118" s="538" t="s">
        <v>2673</v>
      </c>
      <c r="C118" s="627"/>
      <c r="D118" s="627"/>
      <c r="E118" s="627"/>
      <c r="F118" s="627"/>
      <c r="G118" s="627"/>
      <c r="H118" s="555"/>
      <c r="I118" s="555"/>
      <c r="J118" s="555"/>
      <c r="K118" s="555"/>
      <c r="L118" s="556"/>
      <c r="M118" s="557"/>
      <c r="N118" s="1149"/>
      <c r="O118" s="1149"/>
      <c r="P118" s="2624"/>
      <c r="Q118" s="504"/>
    </row>
    <row r="119" spans="1:17" ht="15.75" thickBot="1">
      <c r="A119" s="534"/>
      <c r="B119" s="543"/>
      <c r="C119" s="560"/>
      <c r="D119" s="536"/>
      <c r="E119" s="536"/>
      <c r="F119" s="536"/>
      <c r="G119" s="536"/>
      <c r="H119" s="536"/>
      <c r="I119" s="536"/>
      <c r="J119" s="536"/>
      <c r="K119" s="536"/>
      <c r="L119" s="536"/>
      <c r="M119" s="537"/>
      <c r="N119" s="1150"/>
      <c r="O119" s="1150"/>
      <c r="P119" s="2624"/>
      <c r="Q119" s="504"/>
    </row>
    <row r="120" spans="1:17" s="471" customFormat="1" ht="15" thickTop="1">
      <c r="A120" s="593"/>
      <c r="B120" s="538" t="s">
        <v>2674</v>
      </c>
      <c r="C120" s="583"/>
      <c r="D120" s="583"/>
      <c r="E120" s="583"/>
      <c r="F120" s="583"/>
      <c r="G120" s="555"/>
      <c r="H120" s="555"/>
      <c r="I120" s="555"/>
      <c r="J120" s="555"/>
      <c r="K120" s="555"/>
      <c r="L120" s="556"/>
      <c r="M120" s="557"/>
      <c r="N120" s="1151"/>
      <c r="O120" s="1151"/>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5"/>
      <c r="Q121" s="559"/>
    </row>
    <row r="122" spans="1:17" ht="15" thickTop="1">
      <c r="A122" s="599"/>
      <c r="B122" s="538" t="s">
        <v>2609</v>
      </c>
      <c r="C122" s="554"/>
      <c r="D122" s="554"/>
      <c r="E122" s="554"/>
      <c r="F122" s="583"/>
      <c r="G122" s="583"/>
      <c r="H122" s="583"/>
      <c r="I122" s="583"/>
      <c r="J122" s="583"/>
      <c r="K122" s="584"/>
      <c r="L122" s="585"/>
      <c r="M122" s="586"/>
      <c r="N122" s="1149"/>
      <c r="O122" s="1149"/>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49"/>
      <c r="O124" s="1149"/>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4"/>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5"/>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5"/>
      <c r="Q127" s="559"/>
    </row>
    <row r="128" spans="1:17" ht="15" thickTop="1">
      <c r="A128" s="599"/>
      <c r="B128" s="538">
        <f>B45</f>
        <v>111</v>
      </c>
      <c r="C128" s="554"/>
      <c r="D128" s="554"/>
      <c r="E128" s="554"/>
      <c r="F128" s="554"/>
      <c r="G128" s="583"/>
      <c r="H128" s="583"/>
      <c r="I128" s="583"/>
      <c r="J128" s="583"/>
      <c r="K128" s="584"/>
      <c r="L128" s="585"/>
      <c r="M128" s="586"/>
      <c r="N128" s="1149"/>
      <c r="O128" s="1149"/>
      <c r="P128" s="2624"/>
      <c r="Q128" s="504"/>
    </row>
    <row r="129" spans="1:17" ht="15.75" thickBot="1">
      <c r="A129" s="534"/>
      <c r="B129" s="543"/>
      <c r="C129" s="560"/>
      <c r="D129" s="536"/>
      <c r="E129" s="536"/>
      <c r="F129" s="536"/>
      <c r="G129" s="536"/>
      <c r="H129" s="536"/>
      <c r="I129" s="536"/>
      <c r="J129" s="536"/>
      <c r="K129" s="536"/>
      <c r="L129" s="536"/>
      <c r="M129" s="537"/>
      <c r="N129" s="1150"/>
      <c r="O129" s="1150"/>
      <c r="P129" s="2624"/>
      <c r="Q129" s="504"/>
    </row>
    <row r="130" spans="1:17" ht="15" thickTop="1">
      <c r="A130" s="599"/>
      <c r="B130" s="546">
        <f>B46</f>
        <v>111</v>
      </c>
      <c r="C130" s="554"/>
      <c r="D130" s="554"/>
      <c r="E130" s="554"/>
      <c r="F130" s="554"/>
      <c r="G130" s="587"/>
      <c r="H130" s="587"/>
      <c r="I130" s="587"/>
      <c r="J130" s="587"/>
      <c r="K130" s="523"/>
      <c r="L130" s="524"/>
      <c r="M130" s="590"/>
      <c r="N130" s="1149"/>
      <c r="O130" s="1149"/>
      <c r="P130" s="2624"/>
      <c r="Q130" s="504"/>
    </row>
    <row r="131" spans="1:17" ht="15.75" thickBot="1">
      <c r="A131" s="2630"/>
      <c r="B131" s="569"/>
      <c r="C131" s="570"/>
      <c r="D131" s="570"/>
      <c r="E131" s="570"/>
      <c r="F131" s="570"/>
      <c r="G131" s="591"/>
      <c r="H131" s="591"/>
      <c r="I131" s="591"/>
      <c r="J131" s="591"/>
      <c r="K131" s="591"/>
      <c r="L131" s="591"/>
      <c r="M131" s="592"/>
      <c r="N131" s="1150"/>
      <c r="O131" s="1150"/>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2517</v>
      </c>
      <c r="B1" s="2663" t="s">
        <v>2691</v>
      </c>
      <c r="C1" s="1616" t="s">
        <v>2519</v>
      </c>
      <c r="D1" s="1617"/>
      <c r="E1" s="1626"/>
      <c r="F1" s="2578"/>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2319</v>
      </c>
      <c r="B2" s="1415" t="e">
        <f ca="1">IF(C2="——",ROUND(C43*D3/10000,0),ROUND(C43*D3/10000,0)-D2)</f>
        <v>#DIV/0!</v>
      </c>
      <c r="C2" s="2580"/>
      <c r="D2" s="1121" t="e">
        <f ca="1">SUMIF(INDIRECT("'"&amp;F2&amp;"'"&amp;"!A:A"),"承租人权益价值",INDIRECT("'"&amp;F2&amp;"'"&amp;"!c:c"))</f>
        <v>#REF!</v>
      </c>
      <c r="E2" s="2581" t="s">
        <v>2320</v>
      </c>
      <c r="F2" s="2582"/>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378335.58999999997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2634</v>
      </c>
      <c r="B4" s="402"/>
      <c r="C4" s="3212" t="s">
        <v>2635</v>
      </c>
      <c r="D4" s="3225"/>
      <c r="E4" s="3226" t="s">
        <v>2636</v>
      </c>
      <c r="F4" s="3227"/>
      <c r="G4" s="3212" t="s">
        <v>2637</v>
      </c>
      <c r="H4" s="3225"/>
      <c r="I4" s="3212" t="s">
        <v>2638</v>
      </c>
      <c r="J4" s="3225"/>
      <c r="K4" s="610" t="s">
        <v>2639</v>
      </c>
      <c r="L4" s="1127"/>
      <c r="M4" s="1128"/>
      <c r="N4" s="1128"/>
      <c r="O4" s="1128"/>
      <c r="P4" s="3228" t="s">
        <v>2640</v>
      </c>
      <c r="Q4" s="3229"/>
      <c r="R4" s="3234" t="s">
        <v>2636</v>
      </c>
      <c r="S4" s="3235"/>
      <c r="T4" s="3234" t="s">
        <v>2637</v>
      </c>
      <c r="U4" s="3235"/>
      <c r="V4" s="3221" t="s">
        <v>2638</v>
      </c>
      <c r="W4" s="3221"/>
      <c r="X4" s="1809"/>
      <c r="Y4" s="3234" t="s">
        <v>2640</v>
      </c>
      <c r="Z4" s="3235"/>
      <c r="AA4" s="3222" t="s">
        <v>2636</v>
      </c>
      <c r="AB4" s="3223" t="s">
        <v>2637</v>
      </c>
      <c r="AC4" s="3222" t="s">
        <v>2638</v>
      </c>
    </row>
    <row r="5" spans="1:29" ht="15">
      <c r="A5" s="404"/>
      <c r="B5" s="405"/>
      <c r="C5" s="3242" t="s">
        <v>2531</v>
      </c>
      <c r="D5" s="3243"/>
      <c r="E5" s="3249" t="s">
        <v>2532</v>
      </c>
      <c r="F5" s="3250"/>
      <c r="G5" s="3242" t="s">
        <v>2533</v>
      </c>
      <c r="H5" s="3243"/>
      <c r="I5" s="3242" t="s">
        <v>2534</v>
      </c>
      <c r="J5" s="3243"/>
      <c r="K5" s="610"/>
      <c r="L5" s="1127"/>
      <c r="M5" s="1128"/>
      <c r="N5" s="1128"/>
      <c r="O5" s="1128"/>
      <c r="P5" s="3230"/>
      <c r="Q5" s="3231"/>
      <c r="R5" s="3236"/>
      <c r="S5" s="3237"/>
      <c r="T5" s="3236"/>
      <c r="U5" s="3237"/>
      <c r="V5" s="3221"/>
      <c r="W5" s="3221"/>
      <c r="X5" s="1809"/>
      <c r="Y5" s="3236"/>
      <c r="Z5" s="3237"/>
      <c r="AA5" s="3223"/>
      <c r="AB5" s="3223"/>
      <c r="AC5" s="3223"/>
    </row>
    <row r="6" spans="1:29" ht="15.75" thickBot="1">
      <c r="A6" s="406"/>
      <c r="B6" s="407"/>
      <c r="C6" s="3240" t="s">
        <v>2535</v>
      </c>
      <c r="D6" s="3241"/>
      <c r="E6" s="3247" t="s">
        <v>2535</v>
      </c>
      <c r="F6" s="3248"/>
      <c r="G6" s="3240" t="s">
        <v>2535</v>
      </c>
      <c r="H6" s="3241"/>
      <c r="I6" s="3240" t="s">
        <v>2535</v>
      </c>
      <c r="J6" s="3241"/>
      <c r="K6" s="610" t="s">
        <v>2536</v>
      </c>
      <c r="L6" s="1127"/>
      <c r="M6" s="1128"/>
      <c r="N6" s="1128"/>
      <c r="O6" s="1128"/>
      <c r="P6" s="3232"/>
      <c r="Q6" s="3233"/>
      <c r="R6" s="3236"/>
      <c r="S6" s="3237"/>
      <c r="T6" s="3238"/>
      <c r="U6" s="3239"/>
      <c r="V6" s="3221"/>
      <c r="W6" s="3221"/>
      <c r="X6" s="1809"/>
      <c r="Y6" s="3238"/>
      <c r="Z6" s="3239"/>
      <c r="AA6" s="3224"/>
      <c r="AB6" s="3224"/>
      <c r="AC6" s="3224"/>
    </row>
    <row r="7" spans="1:29" s="117" customFormat="1" ht="15.75" thickBot="1">
      <c r="A7" s="408" t="s">
        <v>2537</v>
      </c>
      <c r="B7" s="409"/>
      <c r="C7" s="410">
        <f>'数据-取费表'!B2</f>
        <v>43332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4" t="s">
        <v>2538</v>
      </c>
      <c r="Q7" s="3246"/>
      <c r="R7" s="770" t="s">
        <v>17</v>
      </c>
      <c r="S7" s="771">
        <f t="shared" ref="S7:S15" si="0">F7</f>
        <v>0</v>
      </c>
      <c r="T7" s="770" t="s">
        <v>17</v>
      </c>
      <c r="U7" s="771">
        <f t="shared" ref="U7:U15" si="1">H7</f>
        <v>0</v>
      </c>
      <c r="V7" s="770" t="s">
        <v>17</v>
      </c>
      <c r="W7" s="771">
        <f t="shared" ref="W7:W15" si="2">J7</f>
        <v>0</v>
      </c>
      <c r="X7" s="772"/>
      <c r="Y7" s="3244" t="s">
        <v>2538</v>
      </c>
      <c r="Z7" s="3245"/>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4" t="s">
        <v>2541</v>
      </c>
      <c r="Q8" s="3245"/>
      <c r="R8" s="770" t="s">
        <v>17</v>
      </c>
      <c r="S8" s="771">
        <f t="shared" si="0"/>
        <v>0</v>
      </c>
      <c r="T8" s="770" t="s">
        <v>17</v>
      </c>
      <c r="U8" s="771">
        <f t="shared" si="1"/>
        <v>0</v>
      </c>
      <c r="V8" s="770" t="s">
        <v>17</v>
      </c>
      <c r="W8" s="771">
        <f t="shared" si="2"/>
        <v>0</v>
      </c>
      <c r="X8" s="772"/>
      <c r="Y8" s="3244" t="s">
        <v>2541</v>
      </c>
      <c r="Z8" s="3245"/>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15" t="s">
        <v>2544</v>
      </c>
      <c r="Q9" s="1791" t="str">
        <f t="shared" ref="Q9:Q15" si="6">B9</f>
        <v>用途</v>
      </c>
      <c r="R9" s="770" t="s">
        <v>17</v>
      </c>
      <c r="S9" s="771">
        <f t="shared" si="0"/>
        <v>100</v>
      </c>
      <c r="T9" s="770" t="s">
        <v>17</v>
      </c>
      <c r="U9" s="771">
        <f t="shared" si="1"/>
        <v>100</v>
      </c>
      <c r="V9" s="770" t="s">
        <v>17</v>
      </c>
      <c r="W9" s="771">
        <f t="shared" si="2"/>
        <v>100</v>
      </c>
      <c r="X9" s="772"/>
      <c r="Y9" s="3059"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15"/>
      <c r="Q10" s="1791"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15"/>
      <c r="Q11" s="1791"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9"/>
      <c r="M12" s="1130"/>
      <c r="N12" s="1130"/>
      <c r="O12" s="1131"/>
      <c r="P12" s="3215"/>
      <c r="Q12" s="1791">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7"/>
      <c r="M13" s="1128"/>
      <c r="N13" s="1128"/>
      <c r="O13" s="1136"/>
      <c r="P13" s="3215"/>
      <c r="Q13" s="1791">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7"/>
      <c r="M14" s="1128"/>
      <c r="N14" s="1128"/>
      <c r="O14" s="1136"/>
      <c r="P14" s="3215"/>
      <c r="Q14" s="1791">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15">
      <c r="A15" s="440" t="s">
        <v>2548</v>
      </c>
      <c r="B15" s="69" t="s">
        <v>2692</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7" t="s">
        <v>2549</v>
      </c>
      <c r="Q15" s="1806" t="str">
        <f t="shared" si="6"/>
        <v>产业集聚程度</v>
      </c>
      <c r="R15" s="774" t="s">
        <v>17</v>
      </c>
      <c r="S15" s="775">
        <f t="shared" si="0"/>
        <v>100</v>
      </c>
      <c r="T15" s="774" t="s">
        <v>17</v>
      </c>
      <c r="U15" s="775">
        <f t="shared" si="1"/>
        <v>100</v>
      </c>
      <c r="V15" s="774" t="s">
        <v>17</v>
      </c>
      <c r="W15" s="775">
        <f t="shared" si="2"/>
        <v>100</v>
      </c>
      <c r="X15" s="1809"/>
      <c r="Y15" s="3217" t="s">
        <v>2549</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218"/>
      <c r="Q16" s="1806"/>
      <c r="R16" s="774"/>
      <c r="S16" s="775"/>
      <c r="T16" s="774"/>
      <c r="U16" s="775"/>
      <c r="V16" s="774"/>
      <c r="W16" s="775"/>
      <c r="X16" s="1809"/>
      <c r="Y16" s="3218"/>
      <c r="Z16" s="1810"/>
      <c r="AA16" s="1807">
        <v>1</v>
      </c>
      <c r="AB16" s="1807">
        <v>1</v>
      </c>
      <c r="AC16" s="1807">
        <v>1</v>
      </c>
    </row>
    <row r="17" spans="1:29" ht="15">
      <c r="A17" s="428"/>
      <c r="B17" s="451" t="s">
        <v>2090</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8"/>
      <c r="Q17" s="1806" t="str">
        <f>B17</f>
        <v>交通便捷度</v>
      </c>
      <c r="R17" s="774" t="s">
        <v>17</v>
      </c>
      <c r="S17" s="775">
        <f>F17</f>
        <v>100</v>
      </c>
      <c r="T17" s="774" t="s">
        <v>17</v>
      </c>
      <c r="U17" s="775">
        <f>H17</f>
        <v>100</v>
      </c>
      <c r="V17" s="774" t="s">
        <v>17</v>
      </c>
      <c r="W17" s="775">
        <f>J17</f>
        <v>100</v>
      </c>
      <c r="X17" s="1809"/>
      <c r="Y17" s="3218"/>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7"/>
      <c r="M18" s="1128"/>
      <c r="N18" s="1128"/>
      <c r="O18" s="1136"/>
      <c r="P18" s="3218"/>
      <c r="Q18" s="1806"/>
      <c r="R18" s="774"/>
      <c r="S18" s="775"/>
      <c r="T18" s="774"/>
      <c r="U18" s="775"/>
      <c r="V18" s="774"/>
      <c r="W18" s="775"/>
      <c r="X18" s="1809"/>
      <c r="Y18" s="3218"/>
      <c r="Z18" s="1810"/>
      <c r="AA18" s="1807">
        <v>1</v>
      </c>
      <c r="AB18" s="1807">
        <v>1</v>
      </c>
      <c r="AC18" s="1807">
        <v>1</v>
      </c>
    </row>
    <row r="19" spans="1:29" ht="15">
      <c r="A19" s="428"/>
      <c r="B19" s="451" t="s">
        <v>2677</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8"/>
      <c r="Q19" s="1806" t="str">
        <f>B19</f>
        <v>公共配套设施</v>
      </c>
      <c r="R19" s="774" t="s">
        <v>17</v>
      </c>
      <c r="S19" s="775">
        <f>F19</f>
        <v>100</v>
      </c>
      <c r="T19" s="774" t="s">
        <v>17</v>
      </c>
      <c r="U19" s="775">
        <f>H19</f>
        <v>100</v>
      </c>
      <c r="V19" s="774" t="s">
        <v>17</v>
      </c>
      <c r="W19" s="775">
        <f>J19</f>
        <v>100</v>
      </c>
      <c r="X19" s="1809"/>
      <c r="Y19" s="3218"/>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7"/>
      <c r="M20" s="1128"/>
      <c r="N20" s="1128"/>
      <c r="O20" s="1136"/>
      <c r="P20" s="3218"/>
      <c r="Q20" s="1806"/>
      <c r="R20" s="774"/>
      <c r="S20" s="775"/>
      <c r="T20" s="774"/>
      <c r="U20" s="775"/>
      <c r="V20" s="774"/>
      <c r="W20" s="775"/>
      <c r="X20" s="1809"/>
      <c r="Y20" s="3218"/>
      <c r="Z20" s="1810"/>
      <c r="AA20" s="1807">
        <v>1</v>
      </c>
      <c r="AB20" s="1807">
        <v>1</v>
      </c>
      <c r="AC20" s="1807">
        <v>1</v>
      </c>
    </row>
    <row r="21" spans="1:29" ht="15">
      <c r="A21" s="428"/>
      <c r="B21" s="1381" t="s">
        <v>2678</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8"/>
      <c r="Q21" s="1806" t="str">
        <f>B21</f>
        <v>基础设施水平</v>
      </c>
      <c r="R21" s="774" t="s">
        <v>17</v>
      </c>
      <c r="S21" s="775">
        <f>F21</f>
        <v>100</v>
      </c>
      <c r="T21" s="774" t="s">
        <v>17</v>
      </c>
      <c r="U21" s="775">
        <f>H21</f>
        <v>100</v>
      </c>
      <c r="V21" s="774" t="s">
        <v>17</v>
      </c>
      <c r="W21" s="775">
        <f>J21</f>
        <v>100</v>
      </c>
      <c r="X21" s="1809"/>
      <c r="Y21" s="3218"/>
      <c r="Z21" s="1810" t="str">
        <f>Q21</f>
        <v>基础设施水平</v>
      </c>
      <c r="AA21" s="1807">
        <f t="shared" ref="AA21" si="8">D21/F21</f>
        <v>1</v>
      </c>
      <c r="AB21" s="1807">
        <f t="shared" ref="AB21" si="9">D21/H21</f>
        <v>1</v>
      </c>
      <c r="AC21" s="1807">
        <f t="shared" ref="AC21" si="10">D21/J21</f>
        <v>1</v>
      </c>
    </row>
    <row r="22" spans="1:29" ht="15">
      <c r="A22" s="428"/>
      <c r="B22" s="1381"/>
      <c r="C22" s="2602"/>
      <c r="D22" s="448"/>
      <c r="E22" s="447"/>
      <c r="F22" s="449"/>
      <c r="G22" s="447"/>
      <c r="H22" s="448"/>
      <c r="I22" s="447"/>
      <c r="J22" s="448"/>
      <c r="K22" s="1380"/>
      <c r="L22" s="1137"/>
      <c r="M22" s="1128"/>
      <c r="N22" s="1128"/>
      <c r="O22" s="1136"/>
      <c r="P22" s="3218"/>
      <c r="Q22" s="1806"/>
      <c r="R22" s="774"/>
      <c r="S22" s="775"/>
      <c r="T22" s="774"/>
      <c r="U22" s="775"/>
      <c r="V22" s="774"/>
      <c r="W22" s="775"/>
      <c r="X22" s="1809"/>
      <c r="Y22" s="3218"/>
      <c r="Z22" s="1810"/>
      <c r="AA22" s="1807">
        <v>1</v>
      </c>
      <c r="AB22" s="1807">
        <v>1</v>
      </c>
      <c r="AC22" s="1807">
        <v>1</v>
      </c>
    </row>
    <row r="23" spans="1:29" ht="15">
      <c r="A23" s="428"/>
      <c r="B23" s="451" t="s">
        <v>2679</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8"/>
      <c r="Q23" s="1806" t="str">
        <f>B23</f>
        <v>环境质量</v>
      </c>
      <c r="R23" s="774" t="s">
        <v>17</v>
      </c>
      <c r="S23" s="775">
        <f>F23</f>
        <v>100</v>
      </c>
      <c r="T23" s="774" t="s">
        <v>17</v>
      </c>
      <c r="U23" s="775">
        <f>H23</f>
        <v>100</v>
      </c>
      <c r="V23" s="774" t="s">
        <v>17</v>
      </c>
      <c r="W23" s="775">
        <f>J23</f>
        <v>100</v>
      </c>
      <c r="X23" s="1809"/>
      <c r="Y23" s="3218"/>
      <c r="Z23" s="1810" t="str">
        <f>Q23</f>
        <v>环境质量</v>
      </c>
      <c r="AA23" s="1807">
        <f t="shared" si="3"/>
        <v>1</v>
      </c>
      <c r="AB23" s="1807">
        <f t="shared" si="4"/>
        <v>1</v>
      </c>
      <c r="AC23" s="1807">
        <f t="shared" si="5"/>
        <v>1</v>
      </c>
    </row>
    <row r="24" spans="1:29" ht="15">
      <c r="A24" s="428"/>
      <c r="B24" s="1381"/>
      <c r="C24" s="447"/>
      <c r="D24" s="448"/>
      <c r="E24" s="2599"/>
      <c r="F24" s="449"/>
      <c r="G24" s="2598"/>
      <c r="H24" s="448"/>
      <c r="I24" s="2599"/>
      <c r="J24" s="448"/>
      <c r="K24" s="615"/>
      <c r="L24" s="1137"/>
      <c r="M24" s="1128"/>
      <c r="N24" s="1128"/>
      <c r="O24" s="1136"/>
      <c r="P24" s="3218"/>
      <c r="Q24" s="1806"/>
      <c r="R24" s="774"/>
      <c r="S24" s="775"/>
      <c r="T24" s="774"/>
      <c r="U24" s="775"/>
      <c r="V24" s="774"/>
      <c r="W24" s="775"/>
      <c r="X24" s="1809"/>
      <c r="Y24" s="3218"/>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8"/>
      <c r="Q25" s="1806">
        <f>B25</f>
        <v>111</v>
      </c>
      <c r="R25" s="774" t="s">
        <v>17</v>
      </c>
      <c r="S25" s="775">
        <f>F25</f>
        <v>100</v>
      </c>
      <c r="T25" s="774" t="s">
        <v>17</v>
      </c>
      <c r="U25" s="775">
        <f>H25</f>
        <v>100</v>
      </c>
      <c r="V25" s="774" t="s">
        <v>17</v>
      </c>
      <c r="W25" s="775">
        <f>J25</f>
        <v>100</v>
      </c>
      <c r="X25" s="1809"/>
      <c r="Y25" s="3218"/>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8"/>
      <c r="Q26" s="1806">
        <f t="shared" ref="Q26:Q40" si="11">B26</f>
        <v>111</v>
      </c>
      <c r="R26" s="774" t="s">
        <v>17</v>
      </c>
      <c r="S26" s="775">
        <f>F26</f>
        <v>100</v>
      </c>
      <c r="T26" s="774" t="s">
        <v>17</v>
      </c>
      <c r="U26" s="775">
        <f>H26</f>
        <v>100</v>
      </c>
      <c r="V26" s="774" t="s">
        <v>17</v>
      </c>
      <c r="W26" s="775">
        <f>J26</f>
        <v>100</v>
      </c>
      <c r="X26" s="1809"/>
      <c r="Y26" s="3218"/>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8"/>
      <c r="Q27" s="1791">
        <f t="shared" si="11"/>
        <v>111</v>
      </c>
      <c r="R27" s="770" t="s">
        <v>17</v>
      </c>
      <c r="S27" s="771">
        <f>F27</f>
        <v>100</v>
      </c>
      <c r="T27" s="770" t="s">
        <v>17</v>
      </c>
      <c r="U27" s="771">
        <f>H27</f>
        <v>100</v>
      </c>
      <c r="V27" s="770" t="s">
        <v>17</v>
      </c>
      <c r="W27" s="771">
        <f>J27</f>
        <v>100</v>
      </c>
      <c r="X27" s="772"/>
      <c r="Y27" s="3218"/>
      <c r="Z27" s="55">
        <f>Q27</f>
        <v>111</v>
      </c>
      <c r="AA27" s="1807">
        <f>D27/F27</f>
        <v>1</v>
      </c>
      <c r="AB27" s="1807">
        <f>D27/H27</f>
        <v>1</v>
      </c>
      <c r="AC27" s="1807">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8"/>
      <c r="Q28" s="1806">
        <f t="shared" si="11"/>
        <v>111</v>
      </c>
      <c r="R28" s="774" t="s">
        <v>17</v>
      </c>
      <c r="S28" s="775">
        <f t="shared" ref="S28:S40" si="12">F28</f>
        <v>100</v>
      </c>
      <c r="T28" s="774" t="s">
        <v>17</v>
      </c>
      <c r="U28" s="775">
        <f t="shared" ref="U28:U40" si="13">H28</f>
        <v>100</v>
      </c>
      <c r="V28" s="774" t="s">
        <v>17</v>
      </c>
      <c r="W28" s="775">
        <f t="shared" ref="W28:W40" si="14">J28</f>
        <v>100</v>
      </c>
      <c r="X28" s="1809"/>
      <c r="Y28" s="3218"/>
      <c r="Z28" s="1810">
        <f t="shared" ref="Z28:Z40" si="15">Q28</f>
        <v>111</v>
      </c>
      <c r="AA28" s="1807">
        <f t="shared" si="3"/>
        <v>1</v>
      </c>
      <c r="AB28" s="1807">
        <f t="shared" si="4"/>
        <v>1</v>
      </c>
      <c r="AC28" s="1807">
        <f t="shared" si="5"/>
        <v>1</v>
      </c>
    </row>
    <row r="29" spans="1:29" ht="15">
      <c r="A29" s="466" t="s">
        <v>2552</v>
      </c>
      <c r="B29" s="71" t="s">
        <v>2682</v>
      </c>
      <c r="C29" s="2673"/>
      <c r="D29" s="467">
        <v>100</v>
      </c>
      <c r="E29" s="2673"/>
      <c r="F29" s="461">
        <f>SUMIF(88:88,E29,89:89)-SUMIF(88:88,C29,89:89)+100</f>
        <v>100</v>
      </c>
      <c r="G29" s="2673"/>
      <c r="H29" s="435">
        <f>SUMIF(88:88,G29,89:89)-SUMIF(88:88,C29,89:89)+100</f>
        <v>100</v>
      </c>
      <c r="I29" s="2673"/>
      <c r="J29" s="467">
        <f>SUMIF(88:88,I29,89:89)-SUMIF(88:88,C29,89:89)+100</f>
        <v>100</v>
      </c>
      <c r="K29" s="612"/>
      <c r="L29" s="1137"/>
      <c r="M29" s="1128"/>
      <c r="N29" s="1128"/>
      <c r="O29" s="1136"/>
      <c r="P29" s="3219" t="s">
        <v>2554</v>
      </c>
      <c r="Q29" s="1806" t="str">
        <f t="shared" si="11"/>
        <v>建筑类型</v>
      </c>
      <c r="R29" s="774" t="s">
        <v>17</v>
      </c>
      <c r="S29" s="775">
        <f t="shared" si="12"/>
        <v>100</v>
      </c>
      <c r="T29" s="774" t="s">
        <v>17</v>
      </c>
      <c r="U29" s="775">
        <f t="shared" si="13"/>
        <v>100</v>
      </c>
      <c r="V29" s="774" t="s">
        <v>17</v>
      </c>
      <c r="W29" s="775">
        <f t="shared" si="14"/>
        <v>100</v>
      </c>
      <c r="X29" s="1809"/>
      <c r="Y29" s="3220" t="s">
        <v>2554</v>
      </c>
      <c r="Z29" s="1810" t="str">
        <f t="shared" si="15"/>
        <v>建筑类型</v>
      </c>
      <c r="AA29" s="1807">
        <f t="shared" si="3"/>
        <v>1</v>
      </c>
      <c r="AB29" s="1807">
        <f t="shared" si="4"/>
        <v>1</v>
      </c>
      <c r="AC29" s="1807">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07" t="e">
        <f t="shared" si="3"/>
        <v>#N/A</v>
      </c>
      <c r="AB30" s="1807" t="e">
        <f t="shared" si="4"/>
        <v>#N/A</v>
      </c>
      <c r="AC30" s="1807"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20"/>
      <c r="Q31" s="1806" t="str">
        <f t="shared" si="11"/>
        <v>建筑结构</v>
      </c>
      <c r="R31" s="774" t="s">
        <v>17</v>
      </c>
      <c r="S31" s="775">
        <f t="shared" si="12"/>
        <v>100</v>
      </c>
      <c r="T31" s="774" t="s">
        <v>17</v>
      </c>
      <c r="U31" s="775">
        <f t="shared" si="13"/>
        <v>100</v>
      </c>
      <c r="V31" s="774" t="s">
        <v>17</v>
      </c>
      <c r="W31" s="775">
        <f t="shared" si="14"/>
        <v>100</v>
      </c>
      <c r="X31" s="1809"/>
      <c r="Y31" s="3220"/>
      <c r="Z31" s="1810" t="str">
        <f t="shared" si="15"/>
        <v>建筑结构</v>
      </c>
      <c r="AA31" s="1807">
        <f t="shared" si="3"/>
        <v>1</v>
      </c>
      <c r="AB31" s="1807">
        <f t="shared" si="4"/>
        <v>1</v>
      </c>
      <c r="AC31" s="1807">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20"/>
      <c r="Q32" s="1806" t="str">
        <f t="shared" si="11"/>
        <v>公共部分装修</v>
      </c>
      <c r="R32" s="774" t="s">
        <v>17</v>
      </c>
      <c r="S32" s="775">
        <f t="shared" si="12"/>
        <v>100</v>
      </c>
      <c r="T32" s="774" t="s">
        <v>17</v>
      </c>
      <c r="U32" s="775">
        <f t="shared" si="13"/>
        <v>100</v>
      </c>
      <c r="V32" s="774" t="s">
        <v>17</v>
      </c>
      <c r="W32" s="775">
        <f t="shared" si="14"/>
        <v>100</v>
      </c>
      <c r="X32" s="1809"/>
      <c r="Y32" s="3220"/>
      <c r="Z32" s="1810" t="str">
        <f t="shared" si="15"/>
        <v>公共部分装修</v>
      </c>
      <c r="AA32" s="1807">
        <f t="shared" si="3"/>
        <v>1</v>
      </c>
      <c r="AB32" s="1807">
        <f t="shared" si="4"/>
        <v>1</v>
      </c>
      <c r="AC32" s="1807">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20"/>
      <c r="Q33" s="1806" t="str">
        <f t="shared" si="11"/>
        <v>成新度</v>
      </c>
      <c r="R33" s="774" t="s">
        <v>17</v>
      </c>
      <c r="S33" s="775" t="e">
        <f t="shared" si="12"/>
        <v>#N/A</v>
      </c>
      <c r="T33" s="774" t="s">
        <v>17</v>
      </c>
      <c r="U33" s="775" t="e">
        <f t="shared" si="13"/>
        <v>#N/A</v>
      </c>
      <c r="V33" s="774" t="s">
        <v>17</v>
      </c>
      <c r="W33" s="775" t="e">
        <f t="shared" si="14"/>
        <v>#N/A</v>
      </c>
      <c r="X33" s="1809"/>
      <c r="Y33" s="3220"/>
      <c r="Z33" s="1810" t="str">
        <f t="shared" si="15"/>
        <v>成新度</v>
      </c>
      <c r="AA33" s="1807" t="e">
        <f t="shared" si="3"/>
        <v>#N/A</v>
      </c>
      <c r="AB33" s="1807" t="e">
        <f t="shared" si="4"/>
        <v>#N/A</v>
      </c>
      <c r="AC33" s="1807"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20"/>
      <c r="Q34" s="1791"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20" t="s">
        <v>2554</v>
      </c>
      <c r="Q35" s="1806" t="str">
        <f t="shared" si="11"/>
        <v>市政基础设施</v>
      </c>
      <c r="R35" s="774" t="s">
        <v>17</v>
      </c>
      <c r="S35" s="775">
        <f t="shared" si="12"/>
        <v>100</v>
      </c>
      <c r="T35" s="774" t="s">
        <v>17</v>
      </c>
      <c r="U35" s="775">
        <f t="shared" si="13"/>
        <v>100</v>
      </c>
      <c r="V35" s="774" t="s">
        <v>17</v>
      </c>
      <c r="W35" s="775">
        <f t="shared" si="14"/>
        <v>100</v>
      </c>
      <c r="X35" s="1809"/>
      <c r="Y35" s="3220" t="s">
        <v>2554</v>
      </c>
      <c r="Z35" s="1810" t="str">
        <f t="shared" si="15"/>
        <v>市政基础设施</v>
      </c>
      <c r="AA35" s="1807">
        <f t="shared" si="3"/>
        <v>1</v>
      </c>
      <c r="AB35" s="1807">
        <f t="shared" si="4"/>
        <v>1</v>
      </c>
      <c r="AC35" s="1807">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20"/>
      <c r="Q36" s="1806" t="str">
        <f t="shared" si="11"/>
        <v>内部装修</v>
      </c>
      <c r="R36" s="774" t="s">
        <v>17</v>
      </c>
      <c r="S36" s="775">
        <f t="shared" si="12"/>
        <v>100</v>
      </c>
      <c r="T36" s="774" t="s">
        <v>17</v>
      </c>
      <c r="U36" s="775">
        <f t="shared" si="13"/>
        <v>100</v>
      </c>
      <c r="V36" s="774" t="s">
        <v>17</v>
      </c>
      <c r="W36" s="775">
        <f t="shared" si="14"/>
        <v>100</v>
      </c>
      <c r="X36" s="1809"/>
      <c r="Y36" s="3220"/>
      <c r="Z36" s="1810" t="str">
        <f t="shared" si="15"/>
        <v>内部装修</v>
      </c>
      <c r="AA36" s="1807">
        <f t="shared" si="3"/>
        <v>1</v>
      </c>
      <c r="AB36" s="1807">
        <f t="shared" si="4"/>
        <v>1</v>
      </c>
      <c r="AC36" s="1807">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20"/>
      <c r="Q37" s="1806" t="str">
        <f t="shared" si="11"/>
        <v>内部装修状况</v>
      </c>
      <c r="R37" s="774" t="s">
        <v>17</v>
      </c>
      <c r="S37" s="775">
        <f t="shared" si="12"/>
        <v>100</v>
      </c>
      <c r="T37" s="774" t="s">
        <v>17</v>
      </c>
      <c r="U37" s="775">
        <f t="shared" si="13"/>
        <v>100</v>
      </c>
      <c r="V37" s="774" t="s">
        <v>17</v>
      </c>
      <c r="W37" s="775">
        <f t="shared" si="14"/>
        <v>100</v>
      </c>
      <c r="X37" s="1809"/>
      <c r="Y37" s="3220"/>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20"/>
      <c r="Q39" s="1806">
        <f t="shared" si="11"/>
        <v>111</v>
      </c>
      <c r="R39" s="774" t="s">
        <v>17</v>
      </c>
      <c r="S39" s="775">
        <f t="shared" si="12"/>
        <v>100</v>
      </c>
      <c r="T39" s="774" t="s">
        <v>17</v>
      </c>
      <c r="U39" s="775">
        <f t="shared" si="13"/>
        <v>100</v>
      </c>
      <c r="V39" s="774" t="s">
        <v>17</v>
      </c>
      <c r="W39" s="775">
        <f t="shared" si="14"/>
        <v>100</v>
      </c>
      <c r="X39" s="1809"/>
      <c r="Y39" s="3220"/>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64"/>
      <c r="Q40" s="1806">
        <f t="shared" si="11"/>
        <v>111</v>
      </c>
      <c r="R40" s="774" t="s">
        <v>17</v>
      </c>
      <c r="S40" s="775">
        <f t="shared" si="12"/>
        <v>100</v>
      </c>
      <c r="T40" s="774" t="s">
        <v>17</v>
      </c>
      <c r="U40" s="775">
        <f t="shared" si="13"/>
        <v>100</v>
      </c>
      <c r="V40" s="774" t="s">
        <v>17</v>
      </c>
      <c r="W40" s="775">
        <f t="shared" si="14"/>
        <v>100</v>
      </c>
      <c r="X40" s="1809"/>
      <c r="Y40" s="3264"/>
      <c r="Z40" s="1810">
        <f t="shared" si="15"/>
        <v>111</v>
      </c>
      <c r="AA40" s="1807">
        <f t="shared" si="3"/>
        <v>1</v>
      </c>
      <c r="AB40" s="1807">
        <f t="shared" si="4"/>
        <v>1</v>
      </c>
      <c r="AC40" s="1807">
        <f t="shared" si="5"/>
        <v>1</v>
      </c>
    </row>
    <row r="41" spans="1:29" ht="15">
      <c r="A41" s="479" t="s">
        <v>2566</v>
      </c>
      <c r="B41" s="480"/>
      <c r="C41" s="1404" t="s">
        <v>1</v>
      </c>
      <c r="D41" s="1405"/>
      <c r="E41" s="1406"/>
      <c r="F41" s="1407"/>
      <c r="G41" s="1408"/>
      <c r="H41" s="1409"/>
      <c r="I41" s="1406"/>
      <c r="J41" s="1409"/>
      <c r="K41" s="783"/>
      <c r="L41" s="1140"/>
      <c r="M41" s="1141"/>
      <c r="N41" s="1128"/>
      <c r="O41" s="1141"/>
      <c r="P41" s="3215" t="str">
        <f>A41</f>
        <v>成交单价（元/平方米）</v>
      </c>
      <c r="Q41" s="3215"/>
      <c r="R41" s="3257">
        <f>E41</f>
        <v>0</v>
      </c>
      <c r="S41" s="3257"/>
      <c r="T41" s="3257">
        <f>G41</f>
        <v>0</v>
      </c>
      <c r="U41" s="3257"/>
      <c r="V41" s="3257">
        <f>I41</f>
        <v>0</v>
      </c>
      <c r="W41" s="3257"/>
      <c r="X41" s="759"/>
      <c r="Y41" s="781"/>
      <c r="Z41" s="759"/>
      <c r="AA41" s="759"/>
      <c r="AB41" s="759"/>
      <c r="AC41" s="759"/>
    </row>
    <row r="42" spans="1:29" ht="15.75" thickBot="1">
      <c r="A42" s="486" t="s">
        <v>2658</v>
      </c>
      <c r="B42" s="487"/>
      <c r="C42" s="1410" t="e">
        <f>R43</f>
        <v>#DIV/0!</v>
      </c>
      <c r="D42" s="1411"/>
      <c r="E42" s="1412" t="e">
        <f>R42</f>
        <v>#DIV/0!</v>
      </c>
      <c r="F42" s="1412"/>
      <c r="G42" s="1410" t="e">
        <f>T42</f>
        <v>#DIV/0!</v>
      </c>
      <c r="H42" s="1411"/>
      <c r="I42" s="1412" t="e">
        <f>V42</f>
        <v>#DIV/0!</v>
      </c>
      <c r="J42" s="1411"/>
      <c r="K42" s="784"/>
      <c r="L42" s="1140"/>
      <c r="M42" s="1141"/>
      <c r="N42" s="1128"/>
      <c r="O42" s="1141"/>
      <c r="P42" s="3215" t="str">
        <f>A42</f>
        <v>比较价值（元/平方米）</v>
      </c>
      <c r="Q42" s="3215"/>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2659</v>
      </c>
      <c r="B43" s="493"/>
      <c r="C43" s="1414" t="e">
        <f>R43</f>
        <v>#DIV/0!</v>
      </c>
      <c r="D43" s="1414"/>
      <c r="E43" s="1414"/>
      <c r="F43" s="1414"/>
      <c r="G43" s="1414"/>
      <c r="H43" s="1414"/>
      <c r="I43" s="1414"/>
      <c r="J43" s="1414"/>
      <c r="K43" s="785"/>
      <c r="L43" s="1140"/>
      <c r="M43" s="1141"/>
      <c r="N43" s="1141"/>
      <c r="O43" s="1141"/>
      <c r="P43" s="3209" t="str">
        <f>A43</f>
        <v>估价对象XX用房的比较价值（楼面单价，元/平方米）</v>
      </c>
      <c r="Q43" s="3210"/>
      <c r="R43" s="3258" t="e">
        <f>IF(F1="售价",ROUND(AVERAGE(R42:V42),0),ROUND(AVERAGE(R42:V42),1))</f>
        <v>#DIV/0!</v>
      </c>
      <c r="S43" s="3258"/>
      <c r="T43" s="3258"/>
      <c r="U43" s="3258"/>
      <c r="V43" s="3258"/>
      <c r="W43" s="3258"/>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2663</v>
      </c>
      <c r="B51" s="759"/>
      <c r="C51" s="764"/>
      <c r="D51" s="764"/>
      <c r="E51" s="764"/>
      <c r="F51" s="765"/>
      <c r="G51" s="765"/>
      <c r="H51" s="764"/>
      <c r="I51" s="764"/>
      <c r="J51" s="764"/>
      <c r="K51" s="1157"/>
      <c r="L51" s="1158"/>
      <c r="M51" s="1156"/>
      <c r="N51" s="1156"/>
      <c r="O51" s="1156"/>
      <c r="P51" s="503"/>
      <c r="Q51" s="504"/>
    </row>
    <row r="52" spans="1:17" s="508" customFormat="1" ht="15">
      <c r="A52" s="505" t="s">
        <v>2537</v>
      </c>
      <c r="B52" s="506"/>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2577</v>
      </c>
      <c r="B57" s="528" t="s">
        <v>2543</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0"/>
      <c r="B87" s="569"/>
      <c r="C87" s="570"/>
      <c r="D87" s="570"/>
      <c r="E87" s="570"/>
      <c r="F87" s="570"/>
      <c r="G87" s="591"/>
      <c r="H87" s="591"/>
      <c r="I87" s="591"/>
      <c r="J87" s="591"/>
      <c r="K87" s="591"/>
      <c r="L87" s="591"/>
      <c r="M87" s="592"/>
      <c r="N87" s="1150"/>
      <c r="O87" s="1150"/>
      <c r="P87" s="45"/>
      <c r="Q87" s="504"/>
    </row>
    <row r="88" spans="1:17">
      <c r="A88" s="527" t="s">
        <v>2552</v>
      </c>
      <c r="B88" s="528" t="s">
        <v>2601</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2603</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2605</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2606</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2607</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2609</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0"/>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2696</v>
      </c>
      <c r="B1" s="1615"/>
      <c r="C1" s="1616" t="s">
        <v>2519</v>
      </c>
      <c r="D1" s="1617"/>
      <c r="E1" s="1618"/>
      <c r="F1" s="2578"/>
      <c r="G1" s="1619" t="s">
        <v>2632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2319</v>
      </c>
      <c r="B2" s="1415" t="e">
        <f ca="1">IF(C2="——",IF(B37="元/平方米",ROUND(C39*D3/10000,0),ROUND(F3*C39/10000,0)),IF(B37="元/平方米",ROUND(C39*D3/10000,0),ROUND(F3*C39/10000,0))-D2)</f>
        <v>#DIV/0!</v>
      </c>
      <c r="C2" s="2580"/>
      <c r="D2" s="1121" t="e">
        <f ca="1">SUMIF(INDIRECT("'"&amp;F2&amp;"'"&amp;"!A:A"),"承租人权益价值",INDIRECT("'"&amp;F2&amp;"'"&amp;"!c:c"))</f>
        <v>#REF!</v>
      </c>
      <c r="E2" s="2581" t="s">
        <v>2320</v>
      </c>
      <c r="F2" s="2582"/>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2634</v>
      </c>
      <c r="B4" s="402"/>
      <c r="C4" s="3212" t="s">
        <v>2635</v>
      </c>
      <c r="D4" s="3225"/>
      <c r="E4" s="3226" t="s">
        <v>2636</v>
      </c>
      <c r="F4" s="3227"/>
      <c r="G4" s="3212" t="s">
        <v>2637</v>
      </c>
      <c r="H4" s="3225"/>
      <c r="I4" s="3212" t="s">
        <v>2638</v>
      </c>
      <c r="J4" s="3225"/>
      <c r="K4" s="610" t="s">
        <v>2639</v>
      </c>
      <c r="L4" s="1127"/>
      <c r="M4" s="1128"/>
      <c r="N4" s="1128"/>
      <c r="O4" s="1128"/>
      <c r="P4" s="3228" t="s">
        <v>2640</v>
      </c>
      <c r="Q4" s="3229"/>
      <c r="R4" s="3234" t="s">
        <v>2636</v>
      </c>
      <c r="S4" s="3235"/>
      <c r="T4" s="3234" t="s">
        <v>2637</v>
      </c>
      <c r="U4" s="3235"/>
      <c r="V4" s="3221" t="s">
        <v>2638</v>
      </c>
      <c r="W4" s="3221"/>
      <c r="X4" s="1809"/>
      <c r="Y4" s="3234" t="s">
        <v>2640</v>
      </c>
      <c r="Z4" s="3235"/>
      <c r="AA4" s="3222" t="s">
        <v>2636</v>
      </c>
      <c r="AB4" s="3223" t="s">
        <v>2637</v>
      </c>
      <c r="AC4" s="3222" t="s">
        <v>2638</v>
      </c>
    </row>
    <row r="5" spans="1:29" ht="15">
      <c r="A5" s="404"/>
      <c r="B5" s="405"/>
      <c r="C5" s="3242" t="s">
        <v>2531</v>
      </c>
      <c r="D5" s="3243"/>
      <c r="E5" s="3249" t="s">
        <v>2532</v>
      </c>
      <c r="F5" s="3250"/>
      <c r="G5" s="3242" t="s">
        <v>2533</v>
      </c>
      <c r="H5" s="3243"/>
      <c r="I5" s="3242" t="s">
        <v>2534</v>
      </c>
      <c r="J5" s="3243"/>
      <c r="K5" s="610"/>
      <c r="L5" s="1127"/>
      <c r="M5" s="1128"/>
      <c r="N5" s="1128"/>
      <c r="O5" s="1128"/>
      <c r="P5" s="3230"/>
      <c r="Q5" s="3231"/>
      <c r="R5" s="3236"/>
      <c r="S5" s="3237"/>
      <c r="T5" s="3236"/>
      <c r="U5" s="3237"/>
      <c r="V5" s="3221"/>
      <c r="W5" s="3221"/>
      <c r="X5" s="1809"/>
      <c r="Y5" s="3236"/>
      <c r="Z5" s="3237"/>
      <c r="AA5" s="3223"/>
      <c r="AB5" s="3223"/>
      <c r="AC5" s="3223"/>
    </row>
    <row r="6" spans="1:29" ht="15.75" thickBot="1">
      <c r="A6" s="406"/>
      <c r="B6" s="407"/>
      <c r="C6" s="3240" t="s">
        <v>2535</v>
      </c>
      <c r="D6" s="3241"/>
      <c r="E6" s="3247" t="s">
        <v>2535</v>
      </c>
      <c r="F6" s="3248"/>
      <c r="G6" s="3240" t="s">
        <v>2535</v>
      </c>
      <c r="H6" s="3241"/>
      <c r="I6" s="3240" t="s">
        <v>2535</v>
      </c>
      <c r="J6" s="3241"/>
      <c r="K6" s="610" t="s">
        <v>2536</v>
      </c>
      <c r="L6" s="1127"/>
      <c r="M6" s="1128"/>
      <c r="N6" s="1128"/>
      <c r="O6" s="1128"/>
      <c r="P6" s="3232"/>
      <c r="Q6" s="3233"/>
      <c r="R6" s="3236"/>
      <c r="S6" s="3237"/>
      <c r="T6" s="3238"/>
      <c r="U6" s="3239"/>
      <c r="V6" s="3221"/>
      <c r="W6" s="3221"/>
      <c r="X6" s="1809"/>
      <c r="Y6" s="3238"/>
      <c r="Z6" s="3239"/>
      <c r="AA6" s="3224"/>
      <c r="AB6" s="3224"/>
      <c r="AC6" s="3224"/>
    </row>
    <row r="7" spans="1:29" s="117" customFormat="1" ht="15.75" thickBot="1">
      <c r="A7" s="408" t="s">
        <v>2537</v>
      </c>
      <c r="B7" s="409"/>
      <c r="C7" s="410">
        <f>'数据-取费表'!B2</f>
        <v>43332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4" t="s">
        <v>2538</v>
      </c>
      <c r="Q7" s="3246"/>
      <c r="R7" s="770" t="s">
        <v>17</v>
      </c>
      <c r="S7" s="771">
        <f t="shared" ref="S7:S14" si="0">F7</f>
        <v>0</v>
      </c>
      <c r="T7" s="770" t="s">
        <v>17</v>
      </c>
      <c r="U7" s="771">
        <f t="shared" ref="U7:U14" si="1">H7</f>
        <v>0</v>
      </c>
      <c r="V7" s="770" t="s">
        <v>17</v>
      </c>
      <c r="W7" s="771">
        <f t="shared" ref="W7:W14" si="2">J7</f>
        <v>0</v>
      </c>
      <c r="X7" s="772"/>
      <c r="Y7" s="3244" t="s">
        <v>2538</v>
      </c>
      <c r="Z7" s="3245"/>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4" t="s">
        <v>2541</v>
      </c>
      <c r="Q8" s="3245"/>
      <c r="R8" s="770" t="s">
        <v>17</v>
      </c>
      <c r="S8" s="771">
        <f t="shared" si="0"/>
        <v>0</v>
      </c>
      <c r="T8" s="770" t="s">
        <v>17</v>
      </c>
      <c r="U8" s="771">
        <f t="shared" si="1"/>
        <v>0</v>
      </c>
      <c r="V8" s="770" t="s">
        <v>17</v>
      </c>
      <c r="W8" s="771">
        <f t="shared" si="2"/>
        <v>0</v>
      </c>
      <c r="X8" s="772"/>
      <c r="Y8" s="3244" t="s">
        <v>2541</v>
      </c>
      <c r="Z8" s="3245"/>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15" t="s">
        <v>2544</v>
      </c>
      <c r="Q9" s="1791" t="str">
        <f t="shared" ref="Q9:Q14" si="6">B9</f>
        <v>用途</v>
      </c>
      <c r="R9" s="770" t="s">
        <v>17</v>
      </c>
      <c r="S9" s="771">
        <f t="shared" si="0"/>
        <v>100</v>
      </c>
      <c r="T9" s="770" t="s">
        <v>17</v>
      </c>
      <c r="U9" s="771">
        <f t="shared" si="1"/>
        <v>100</v>
      </c>
      <c r="V9" s="770" t="s">
        <v>17</v>
      </c>
      <c r="W9" s="771">
        <f t="shared" si="2"/>
        <v>100</v>
      </c>
      <c r="X9" s="772"/>
      <c r="Y9" s="3059"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15"/>
      <c r="Q10" s="1791"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15"/>
      <c r="Q11" s="1791">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15"/>
      <c r="Q12" s="1791">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15"/>
      <c r="Q13" s="1791">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71.25">
      <c r="A14" s="401" t="s">
        <v>2548</v>
      </c>
      <c r="B14" s="629" t="s">
        <v>2698</v>
      </c>
      <c r="C14" s="2687" t="str">
        <f>IF(B1="工业",估价对象房地状况!G4,估价对象房地状况!C6)</f>
        <v>周边道路状况、公共交通通达情况、停车便捷程度（地铁三号线观音桥</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7" t="s">
        <v>2549</v>
      </c>
      <c r="Q14" s="1806" t="str">
        <f t="shared" si="6"/>
        <v>交通便捷度</v>
      </c>
      <c r="R14" s="774" t="s">
        <v>17</v>
      </c>
      <c r="S14" s="775">
        <f t="shared" si="0"/>
        <v>100</v>
      </c>
      <c r="T14" s="774" t="s">
        <v>17</v>
      </c>
      <c r="U14" s="775">
        <f t="shared" si="1"/>
        <v>100</v>
      </c>
      <c r="V14" s="774" t="s">
        <v>17</v>
      </c>
      <c r="W14" s="775">
        <f t="shared" si="2"/>
        <v>100</v>
      </c>
      <c r="X14" s="1809"/>
      <c r="Y14" s="3217" t="s">
        <v>2549</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218"/>
      <c r="Q15" s="1806"/>
      <c r="R15" s="774"/>
      <c r="S15" s="775"/>
      <c r="T15" s="774"/>
      <c r="U15" s="775"/>
      <c r="V15" s="774"/>
      <c r="W15" s="775"/>
      <c r="X15" s="1809"/>
      <c r="Y15" s="3218"/>
      <c r="Z15" s="1810"/>
      <c r="AA15" s="1807">
        <v>1</v>
      </c>
      <c r="AB15" s="1807">
        <v>1</v>
      </c>
      <c r="AC15" s="1807">
        <v>1</v>
      </c>
    </row>
    <row r="16" spans="1:29" ht="15">
      <c r="A16" s="404"/>
      <c r="B16" s="631" t="s">
        <v>2677</v>
      </c>
      <c r="C16" s="260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8"/>
      <c r="Q16" s="1806" t="str">
        <f>B16</f>
        <v>公共配套设施</v>
      </c>
      <c r="R16" s="774" t="s">
        <v>17</v>
      </c>
      <c r="S16" s="775">
        <f>F16</f>
        <v>100</v>
      </c>
      <c r="T16" s="774" t="s">
        <v>17</v>
      </c>
      <c r="U16" s="775">
        <f>H16</f>
        <v>100</v>
      </c>
      <c r="V16" s="774" t="s">
        <v>17</v>
      </c>
      <c r="W16" s="775">
        <f>J16</f>
        <v>100</v>
      </c>
      <c r="X16" s="1809"/>
      <c r="Y16" s="3218"/>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7"/>
      <c r="M17" s="1128"/>
      <c r="N17" s="1128"/>
      <c r="O17" s="1128"/>
      <c r="P17" s="3218"/>
      <c r="Q17" s="1806"/>
      <c r="R17" s="774"/>
      <c r="S17" s="775"/>
      <c r="T17" s="774"/>
      <c r="U17" s="775"/>
      <c r="V17" s="774"/>
      <c r="W17" s="775"/>
      <c r="X17" s="1809"/>
      <c r="Y17" s="3218"/>
      <c r="Z17" s="1810"/>
      <c r="AA17" s="1807">
        <v>1</v>
      </c>
      <c r="AB17" s="1807">
        <v>1</v>
      </c>
      <c r="AC17" s="1807">
        <v>1</v>
      </c>
    </row>
    <row r="18" spans="1:29" ht="15">
      <c r="A18" s="404"/>
      <c r="B18" s="633" t="s">
        <v>2678</v>
      </c>
      <c r="C18" s="260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8"/>
      <c r="Q18" s="1806" t="str">
        <f>B18</f>
        <v>基础设施水平</v>
      </c>
      <c r="R18" s="774" t="s">
        <v>17</v>
      </c>
      <c r="S18" s="775">
        <f>F18</f>
        <v>100</v>
      </c>
      <c r="T18" s="774" t="s">
        <v>17</v>
      </c>
      <c r="U18" s="775">
        <f>H18</f>
        <v>100</v>
      </c>
      <c r="V18" s="774" t="s">
        <v>17</v>
      </c>
      <c r="W18" s="775">
        <f>J18</f>
        <v>100</v>
      </c>
      <c r="X18" s="1809"/>
      <c r="Y18" s="3218"/>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80"/>
      <c r="L19" s="1137"/>
      <c r="M19" s="1128"/>
      <c r="N19" s="1128"/>
      <c r="O19" s="1128"/>
      <c r="P19" s="3218"/>
      <c r="Q19" s="1806"/>
      <c r="R19" s="774"/>
      <c r="S19" s="775"/>
      <c r="T19" s="774"/>
      <c r="U19" s="775"/>
      <c r="V19" s="774"/>
      <c r="W19" s="775"/>
      <c r="X19" s="1809"/>
      <c r="Y19" s="3218"/>
      <c r="Z19" s="1810"/>
      <c r="AA19" s="1807">
        <v>1</v>
      </c>
      <c r="AB19" s="1807">
        <v>1</v>
      </c>
      <c r="AC19" s="1807">
        <v>1</v>
      </c>
    </row>
    <row r="20" spans="1:29" ht="15">
      <c r="A20" s="404"/>
      <c r="B20" s="631" t="s">
        <v>2699</v>
      </c>
      <c r="C20" s="260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8"/>
      <c r="Q20" s="1806" t="str">
        <f>B20</f>
        <v>自然及人文环境</v>
      </c>
      <c r="R20" s="774" t="s">
        <v>17</v>
      </c>
      <c r="S20" s="775">
        <f>F20</f>
        <v>100</v>
      </c>
      <c r="T20" s="774" t="s">
        <v>17</v>
      </c>
      <c r="U20" s="775">
        <f>H20</f>
        <v>100</v>
      </c>
      <c r="V20" s="774" t="s">
        <v>17</v>
      </c>
      <c r="W20" s="775">
        <f>J20</f>
        <v>100</v>
      </c>
      <c r="X20" s="1809"/>
      <c r="Y20" s="3218"/>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218"/>
      <c r="Q21" s="1806"/>
      <c r="R21" s="774"/>
      <c r="S21" s="775"/>
      <c r="T21" s="774"/>
      <c r="U21" s="775"/>
      <c r="V21" s="774"/>
      <c r="W21" s="775"/>
      <c r="X21" s="1809"/>
      <c r="Y21" s="3218"/>
      <c r="Z21" s="1810"/>
      <c r="AA21" s="1807">
        <v>1</v>
      </c>
      <c r="AB21" s="1807">
        <v>1</v>
      </c>
      <c r="AC21" s="1807">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8"/>
      <c r="Q22" s="1806" t="str">
        <f>B22</f>
        <v>楼层</v>
      </c>
      <c r="R22" s="774" t="s">
        <v>17</v>
      </c>
      <c r="S22" s="775">
        <f>F22</f>
        <v>100</v>
      </c>
      <c r="T22" s="774" t="s">
        <v>17</v>
      </c>
      <c r="U22" s="775">
        <f>H22</f>
        <v>100</v>
      </c>
      <c r="V22" s="774" t="s">
        <v>17</v>
      </c>
      <c r="W22" s="775">
        <f>J22</f>
        <v>100</v>
      </c>
      <c r="X22" s="1809"/>
      <c r="Y22" s="3218"/>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8"/>
      <c r="Q23" s="1806">
        <f>B23</f>
        <v>111</v>
      </c>
      <c r="R23" s="774" t="s">
        <v>17</v>
      </c>
      <c r="S23" s="775">
        <f>F23</f>
        <v>100</v>
      </c>
      <c r="T23" s="774" t="s">
        <v>17</v>
      </c>
      <c r="U23" s="775">
        <f>H23</f>
        <v>100</v>
      </c>
      <c r="V23" s="774" t="s">
        <v>17</v>
      </c>
      <c r="W23" s="775">
        <f>J23</f>
        <v>100</v>
      </c>
      <c r="X23" s="1809"/>
      <c r="Y23" s="3218"/>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8"/>
      <c r="Q24" s="1806">
        <f t="shared" ref="Q24:Q36" si="11">B24</f>
        <v>111</v>
      </c>
      <c r="R24" s="774" t="s">
        <v>17</v>
      </c>
      <c r="S24" s="775">
        <f>F24</f>
        <v>100</v>
      </c>
      <c r="T24" s="774" t="s">
        <v>17</v>
      </c>
      <c r="U24" s="775">
        <f>H24</f>
        <v>100</v>
      </c>
      <c r="V24" s="774" t="s">
        <v>17</v>
      </c>
      <c r="W24" s="775">
        <f>J24</f>
        <v>100</v>
      </c>
      <c r="X24" s="1809"/>
      <c r="Y24" s="3218"/>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8"/>
      <c r="Q25" s="1791">
        <f t="shared" si="11"/>
        <v>111</v>
      </c>
      <c r="R25" s="770" t="s">
        <v>17</v>
      </c>
      <c r="S25" s="771">
        <f>F25</f>
        <v>100</v>
      </c>
      <c r="T25" s="770" t="s">
        <v>17</v>
      </c>
      <c r="U25" s="771">
        <f>H25</f>
        <v>100</v>
      </c>
      <c r="V25" s="770" t="s">
        <v>17</v>
      </c>
      <c r="W25" s="771">
        <f>J25</f>
        <v>100</v>
      </c>
      <c r="X25" s="772"/>
      <c r="Y25" s="3218"/>
      <c r="Z25" s="55">
        <f>Q25</f>
        <v>111</v>
      </c>
      <c r="AA25" s="1807">
        <f>D25/F25</f>
        <v>1</v>
      </c>
      <c r="AB25" s="1807">
        <f>D25/H25</f>
        <v>1</v>
      </c>
      <c r="AC25" s="1807">
        <f>D25/J25</f>
        <v>1</v>
      </c>
    </row>
    <row r="26" spans="1:29" ht="15">
      <c r="A26" s="652" t="s">
        <v>2552</v>
      </c>
      <c r="B26" s="70" t="s">
        <v>2701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19" t="s">
        <v>2554</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20" t="s">
        <v>2554</v>
      </c>
      <c r="Z26" s="1810" t="str">
        <f t="shared" ref="Z26:Z36" si="15">Q26</f>
        <v>配套类型</v>
      </c>
      <c r="AA26" s="1807">
        <f t="shared" si="3"/>
        <v>1</v>
      </c>
      <c r="AB26" s="1807">
        <f t="shared" si="4"/>
        <v>1</v>
      </c>
      <c r="AC26" s="1807">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07">
        <f t="shared" si="3"/>
        <v>1</v>
      </c>
      <c r="AB27" s="1807">
        <f t="shared" si="4"/>
        <v>1</v>
      </c>
      <c r="AC27" s="1807">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20"/>
      <c r="Q28" s="1806" t="str">
        <f t="shared" si="11"/>
        <v>公共部分装修</v>
      </c>
      <c r="R28" s="774" t="s">
        <v>17</v>
      </c>
      <c r="S28" s="775">
        <f t="shared" si="12"/>
        <v>100</v>
      </c>
      <c r="T28" s="774" t="s">
        <v>17</v>
      </c>
      <c r="U28" s="775">
        <f t="shared" si="13"/>
        <v>100</v>
      </c>
      <c r="V28" s="774" t="s">
        <v>17</v>
      </c>
      <c r="W28" s="775">
        <f t="shared" si="14"/>
        <v>100</v>
      </c>
      <c r="X28" s="1809"/>
      <c r="Y28" s="3220"/>
      <c r="Z28" s="1810" t="str">
        <f t="shared" si="15"/>
        <v>公共部分装修</v>
      </c>
      <c r="AA28" s="1807">
        <f t="shared" si="3"/>
        <v>1</v>
      </c>
      <c r="AB28" s="1807">
        <f t="shared" si="4"/>
        <v>1</v>
      </c>
      <c r="AC28" s="1807">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20"/>
      <c r="Q29" s="1806" t="str">
        <f t="shared" si="11"/>
        <v>成新率</v>
      </c>
      <c r="R29" s="774" t="s">
        <v>17</v>
      </c>
      <c r="S29" s="775" t="e">
        <f t="shared" si="12"/>
        <v>#N/A</v>
      </c>
      <c r="T29" s="774" t="s">
        <v>17</v>
      </c>
      <c r="U29" s="775" t="e">
        <f t="shared" si="13"/>
        <v>#N/A</v>
      </c>
      <c r="V29" s="774" t="s">
        <v>17</v>
      </c>
      <c r="W29" s="775" t="e">
        <f t="shared" si="14"/>
        <v>#N/A</v>
      </c>
      <c r="X29" s="1809"/>
      <c r="Y29" s="3220"/>
      <c r="Z29" s="1810" t="str">
        <f t="shared" si="15"/>
        <v>成新率</v>
      </c>
      <c r="AA29" s="1807" t="e">
        <f t="shared" si="3"/>
        <v>#N/A</v>
      </c>
      <c r="AB29" s="1807" t="e">
        <f t="shared" si="4"/>
        <v>#N/A</v>
      </c>
      <c r="AC29" s="1807"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20"/>
      <c r="Q30" s="1806" t="str">
        <f t="shared" si="11"/>
        <v>物业等级</v>
      </c>
      <c r="R30" s="774" t="s">
        <v>17</v>
      </c>
      <c r="S30" s="775">
        <f t="shared" si="12"/>
        <v>100</v>
      </c>
      <c r="T30" s="774" t="s">
        <v>17</v>
      </c>
      <c r="U30" s="775">
        <f t="shared" si="13"/>
        <v>100</v>
      </c>
      <c r="V30" s="774" t="s">
        <v>17</v>
      </c>
      <c r="W30" s="775">
        <f t="shared" si="14"/>
        <v>100</v>
      </c>
      <c r="X30" s="1809"/>
      <c r="Y30" s="3220"/>
      <c r="Z30" s="1810" t="str">
        <f t="shared" si="15"/>
        <v>物业等级</v>
      </c>
      <c r="AA30" s="1807">
        <f t="shared" si="3"/>
        <v>1</v>
      </c>
      <c r="AB30" s="1807">
        <f t="shared" si="4"/>
        <v>1</v>
      </c>
      <c r="AC30" s="1807">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20"/>
      <c r="Q31" s="1791"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20" t="s">
        <v>2554</v>
      </c>
      <c r="Q32" s="1806" t="str">
        <f t="shared" si="11"/>
        <v>车位类型</v>
      </c>
      <c r="R32" s="774" t="s">
        <v>17</v>
      </c>
      <c r="S32" s="775">
        <f t="shared" si="12"/>
        <v>100</v>
      </c>
      <c r="T32" s="774" t="s">
        <v>17</v>
      </c>
      <c r="U32" s="775">
        <f t="shared" si="13"/>
        <v>100</v>
      </c>
      <c r="V32" s="774" t="s">
        <v>17</v>
      </c>
      <c r="W32" s="775">
        <f t="shared" si="14"/>
        <v>100</v>
      </c>
      <c r="X32" s="1809"/>
      <c r="Y32" s="3220" t="s">
        <v>2554</v>
      </c>
      <c r="Z32" s="1810" t="str">
        <f t="shared" si="15"/>
        <v>车位类型</v>
      </c>
      <c r="AA32" s="1807">
        <f t="shared" si="3"/>
        <v>1</v>
      </c>
      <c r="AB32" s="1807">
        <f t="shared" si="4"/>
        <v>1</v>
      </c>
      <c r="AC32" s="1807">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20"/>
      <c r="Q33" s="1806" t="str">
        <f t="shared" si="11"/>
        <v>是否直接入户</v>
      </c>
      <c r="R33" s="774" t="s">
        <v>17</v>
      </c>
      <c r="S33" s="775">
        <f t="shared" si="12"/>
        <v>100</v>
      </c>
      <c r="T33" s="774" t="s">
        <v>17</v>
      </c>
      <c r="U33" s="775">
        <f t="shared" si="13"/>
        <v>100</v>
      </c>
      <c r="V33" s="774" t="s">
        <v>17</v>
      </c>
      <c r="W33" s="775">
        <f t="shared" si="14"/>
        <v>100</v>
      </c>
      <c r="X33" s="1809"/>
      <c r="Y33" s="3220"/>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20"/>
      <c r="Q34" s="1806">
        <f t="shared" si="11"/>
        <v>111</v>
      </c>
      <c r="R34" s="774" t="s">
        <v>17</v>
      </c>
      <c r="S34" s="775">
        <f t="shared" si="12"/>
        <v>100</v>
      </c>
      <c r="T34" s="774" t="s">
        <v>17</v>
      </c>
      <c r="U34" s="775">
        <f t="shared" si="13"/>
        <v>100</v>
      </c>
      <c r="V34" s="774" t="s">
        <v>17</v>
      </c>
      <c r="W34" s="775">
        <f t="shared" si="14"/>
        <v>100</v>
      </c>
      <c r="X34" s="1809"/>
      <c r="Y34" s="3220"/>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20"/>
      <c r="Q36" s="1806">
        <f t="shared" si="11"/>
        <v>111</v>
      </c>
      <c r="R36" s="774" t="s">
        <v>17</v>
      </c>
      <c r="S36" s="775">
        <f t="shared" si="12"/>
        <v>100</v>
      </c>
      <c r="T36" s="774" t="s">
        <v>17</v>
      </c>
      <c r="U36" s="775">
        <f t="shared" si="13"/>
        <v>100</v>
      </c>
      <c r="V36" s="774" t="s">
        <v>17</v>
      </c>
      <c r="W36" s="775">
        <f t="shared" si="14"/>
        <v>100</v>
      </c>
      <c r="X36" s="1809"/>
      <c r="Y36" s="3220"/>
      <c r="Z36" s="1810">
        <f t="shared" si="15"/>
        <v>111</v>
      </c>
      <c r="AA36" s="1807">
        <f t="shared" si="3"/>
        <v>1</v>
      </c>
      <c r="AB36" s="1807">
        <f t="shared" si="4"/>
        <v>1</v>
      </c>
      <c r="AC36" s="1807">
        <f t="shared" si="5"/>
        <v>1</v>
      </c>
    </row>
    <row r="37" spans="1:29" ht="15">
      <c r="A37" s="479" t="s">
        <v>2709</v>
      </c>
      <c r="B37" s="2689" t="s">
        <v>2710</v>
      </c>
      <c r="C37" s="1404" t="s">
        <v>1</v>
      </c>
      <c r="D37" s="1405"/>
      <c r="E37" s="1406"/>
      <c r="F37" s="1407"/>
      <c r="G37" s="1408"/>
      <c r="H37" s="1409"/>
      <c r="I37" s="1406"/>
      <c r="J37" s="1409"/>
      <c r="K37" s="619"/>
      <c r="L37" s="1140"/>
      <c r="M37" s="1141"/>
      <c r="N37" s="1128"/>
      <c r="O37" s="1141"/>
      <c r="P37" s="3215" t="str">
        <f>A37</f>
        <v>成交单价</v>
      </c>
      <c r="Q37" s="3215"/>
      <c r="R37" s="3257">
        <f>E37</f>
        <v>0</v>
      </c>
      <c r="S37" s="3257"/>
      <c r="T37" s="3257">
        <f>G37</f>
        <v>0</v>
      </c>
      <c r="U37" s="3257"/>
      <c r="V37" s="3257">
        <f>I37</f>
        <v>0</v>
      </c>
      <c r="W37" s="3257"/>
      <c r="X37" s="759"/>
      <c r="Y37" s="781"/>
      <c r="Z37" s="759"/>
      <c r="AA37" s="759"/>
      <c r="AB37" s="759"/>
      <c r="AC37" s="759"/>
    </row>
    <row r="38" spans="1:29" ht="15.75" thickBot="1">
      <c r="A38" s="486" t="s">
        <v>2711</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15" t="str">
        <f>A38</f>
        <v>比较价值（元/平方米）</v>
      </c>
      <c r="Q38" s="3215"/>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9"/>
      <c r="Y38" s="759"/>
      <c r="Z38" s="759"/>
      <c r="AA38" s="759"/>
      <c r="AB38" s="759"/>
      <c r="AC38" s="759"/>
    </row>
    <row r="39" spans="1:29" ht="15.75" thickBot="1">
      <c r="A39" s="492" t="s">
        <v>2712</v>
      </c>
      <c r="B39" s="493"/>
      <c r="C39" s="1414" t="e">
        <f>R39</f>
        <v>#DIV/0!</v>
      </c>
      <c r="D39" s="1414"/>
      <c r="E39" s="1414"/>
      <c r="F39" s="1414"/>
      <c r="G39" s="1414"/>
      <c r="H39" s="1414"/>
      <c r="I39" s="1414"/>
      <c r="J39" s="1414"/>
      <c r="K39" s="621"/>
      <c r="L39" s="1140"/>
      <c r="M39" s="1141"/>
      <c r="N39" s="1141"/>
      <c r="O39" s="1141"/>
      <c r="P39" s="3209" t="str">
        <f>A39</f>
        <v>估价对象XX用房的比较价值（楼面单价，元/平方米）</v>
      </c>
      <c r="Q39" s="3210"/>
      <c r="R39" s="3258" t="e">
        <f>IF(F1="售价",ROUND(AVERAGE(R38:V38),0),ROUND(AVERAGE(R38:V38),1))</f>
        <v>#DIV/0!</v>
      </c>
      <c r="S39" s="3258"/>
      <c r="T39" s="3258"/>
      <c r="U39" s="3258"/>
      <c r="V39" s="3258"/>
      <c r="W39" s="3258"/>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2717</v>
      </c>
      <c r="B48" s="506"/>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2574</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2539</v>
      </c>
      <c r="B51" s="510"/>
      <c r="C51" s="522" t="s">
        <v>2641</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2577</v>
      </c>
      <c r="B53" s="528" t="s">
        <v>2543</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2592</v>
      </c>
      <c r="C65" s="578" t="s">
        <v>2586</v>
      </c>
      <c r="D65" s="578" t="s">
        <v>2587</v>
      </c>
      <c r="E65" s="578" t="s">
        <v>2588</v>
      </c>
      <c r="F65" s="578" t="s">
        <v>2589</v>
      </c>
      <c r="G65" s="578" t="s">
        <v>2590</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2678</v>
      </c>
      <c r="C67" s="660" t="s">
        <v>2664</v>
      </c>
      <c r="D67" s="660" t="s">
        <v>2665</v>
      </c>
      <c r="E67" s="660" t="s">
        <v>2666</v>
      </c>
      <c r="F67" s="660" t="s">
        <v>2667</v>
      </c>
      <c r="G67" s="660" t="s">
        <v>2668</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2598</v>
      </c>
      <c r="C69" s="578" t="s">
        <v>2586</v>
      </c>
      <c r="D69" s="578" t="s">
        <v>2587</v>
      </c>
      <c r="E69" s="578" t="s">
        <v>2588</v>
      </c>
      <c r="F69" s="578" t="s">
        <v>2589</v>
      </c>
      <c r="G69" s="578" t="s">
        <v>2590</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2718</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2552</v>
      </c>
      <c r="B79" s="528" t="s">
        <v>2719</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2720</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2605</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2722</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2724</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2725</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2696</v>
      </c>
      <c r="B1" s="1615"/>
      <c r="C1" s="1616" t="s">
        <v>2519</v>
      </c>
      <c r="D1" s="1617"/>
      <c r="E1" s="1626"/>
      <c r="F1" s="2578"/>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2319</v>
      </c>
      <c r="B2" s="1415" t="e">
        <f ca="1">IF(C2="——",ROUND(C37*D3/10000,0),ROUND(C37*D3/10000,0)-D2)</f>
        <v>#DIV/0!</v>
      </c>
      <c r="C2" s="2580"/>
      <c r="D2" s="1121" t="e">
        <f ca="1">SUMIF(INDIRECT("'"&amp;F2&amp;"'"&amp;"!A:A"),"承租人权益价值",INDIRECT("'"&amp;F2&amp;"'"&amp;"!c:c"))</f>
        <v>#REF!</v>
      </c>
      <c r="E2" s="2581" t="s">
        <v>2320</v>
      </c>
      <c r="F2" s="2582"/>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2634</v>
      </c>
      <c r="B4" s="402"/>
      <c r="C4" s="3212" t="s">
        <v>2635</v>
      </c>
      <c r="D4" s="3225"/>
      <c r="E4" s="3226" t="s">
        <v>2636</v>
      </c>
      <c r="F4" s="3227"/>
      <c r="G4" s="3212" t="s">
        <v>2637</v>
      </c>
      <c r="H4" s="3225"/>
      <c r="I4" s="3212" t="s">
        <v>2638</v>
      </c>
      <c r="J4" s="3225"/>
      <c r="K4" s="610" t="s">
        <v>2639</v>
      </c>
      <c r="L4" s="1127"/>
      <c r="M4" s="1128"/>
      <c r="N4" s="1128"/>
      <c r="O4" s="1128"/>
      <c r="P4" s="3228" t="s">
        <v>2640</v>
      </c>
      <c r="Q4" s="3229"/>
      <c r="R4" s="3234" t="s">
        <v>2636</v>
      </c>
      <c r="S4" s="3235"/>
      <c r="T4" s="3234" t="s">
        <v>2637</v>
      </c>
      <c r="U4" s="3235"/>
      <c r="V4" s="3221" t="s">
        <v>2638</v>
      </c>
      <c r="W4" s="3221"/>
      <c r="X4" s="1809"/>
      <c r="Y4" s="3234" t="s">
        <v>2640</v>
      </c>
      <c r="Z4" s="3235"/>
      <c r="AA4" s="3222" t="s">
        <v>2636</v>
      </c>
      <c r="AB4" s="3223" t="s">
        <v>2637</v>
      </c>
      <c r="AC4" s="3222" t="s">
        <v>2638</v>
      </c>
    </row>
    <row r="5" spans="1:29" ht="15">
      <c r="A5" s="404"/>
      <c r="B5" s="405"/>
      <c r="C5" s="3242" t="s">
        <v>2531</v>
      </c>
      <c r="D5" s="3243"/>
      <c r="E5" s="3249" t="s">
        <v>2532</v>
      </c>
      <c r="F5" s="3250"/>
      <c r="G5" s="3242" t="s">
        <v>2533</v>
      </c>
      <c r="H5" s="3243"/>
      <c r="I5" s="3242" t="s">
        <v>2534</v>
      </c>
      <c r="J5" s="3243"/>
      <c r="K5" s="610"/>
      <c r="L5" s="1127"/>
      <c r="M5" s="1128"/>
      <c r="N5" s="1128"/>
      <c r="O5" s="1128"/>
      <c r="P5" s="3230"/>
      <c r="Q5" s="3231"/>
      <c r="R5" s="3236"/>
      <c r="S5" s="3237"/>
      <c r="T5" s="3236"/>
      <c r="U5" s="3237"/>
      <c r="V5" s="3221"/>
      <c r="W5" s="3221"/>
      <c r="X5" s="1809"/>
      <c r="Y5" s="3236"/>
      <c r="Z5" s="3237"/>
      <c r="AA5" s="3223"/>
      <c r="AB5" s="3223"/>
      <c r="AC5" s="3223"/>
    </row>
    <row r="6" spans="1:29" ht="15.75" thickBot="1">
      <c r="A6" s="406"/>
      <c r="B6" s="407"/>
      <c r="C6" s="3240" t="s">
        <v>2535</v>
      </c>
      <c r="D6" s="3241"/>
      <c r="E6" s="3247" t="s">
        <v>2535</v>
      </c>
      <c r="F6" s="3248"/>
      <c r="G6" s="3240" t="s">
        <v>2535</v>
      </c>
      <c r="H6" s="3241"/>
      <c r="I6" s="3240" t="s">
        <v>2535</v>
      </c>
      <c r="J6" s="3241"/>
      <c r="K6" s="610" t="s">
        <v>2536</v>
      </c>
      <c r="L6" s="1127"/>
      <c r="M6" s="1128"/>
      <c r="N6" s="1128"/>
      <c r="O6" s="1128"/>
      <c r="P6" s="3232"/>
      <c r="Q6" s="3233"/>
      <c r="R6" s="3236"/>
      <c r="S6" s="3237"/>
      <c r="T6" s="3238"/>
      <c r="U6" s="3239"/>
      <c r="V6" s="3221"/>
      <c r="W6" s="3221"/>
      <c r="X6" s="1809"/>
      <c r="Y6" s="3238"/>
      <c r="Z6" s="3239"/>
      <c r="AA6" s="3224"/>
      <c r="AB6" s="3224"/>
      <c r="AC6" s="3224"/>
    </row>
    <row r="7" spans="1:29" s="117" customFormat="1" ht="15.75" thickBot="1">
      <c r="A7" s="408" t="s">
        <v>2537</v>
      </c>
      <c r="B7" s="409"/>
      <c r="C7" s="410">
        <f>'数据-取费表'!B2</f>
        <v>43332</v>
      </c>
      <c r="D7" s="411">
        <v>100</v>
      </c>
      <c r="E7" s="412"/>
      <c r="F7" s="413">
        <f>SUMIF(46:46,YEAR(E7)&amp;"-"&amp;MONTH(E7),47:47)</f>
        <v>0</v>
      </c>
      <c r="G7" s="2690"/>
      <c r="H7" s="411">
        <f>SUMIF(46:46,YEAR(G7)&amp;"-"&amp;MONTH(G7),47:47)</f>
        <v>0</v>
      </c>
      <c r="I7" s="412"/>
      <c r="J7" s="411">
        <f>SUMIF(46:46,YEAR(I7)&amp;"-"&amp;MONTH(I7),47:47)</f>
        <v>0</v>
      </c>
      <c r="K7" s="611"/>
      <c r="L7" s="1129"/>
      <c r="M7" s="1130"/>
      <c r="N7" s="1130"/>
      <c r="O7" s="1130"/>
      <c r="P7" s="3244" t="s">
        <v>2538</v>
      </c>
      <c r="Q7" s="3246"/>
      <c r="R7" s="770" t="s">
        <v>17</v>
      </c>
      <c r="S7" s="771">
        <f t="shared" ref="S7:S14" si="0">F7</f>
        <v>0</v>
      </c>
      <c r="T7" s="770" t="s">
        <v>17</v>
      </c>
      <c r="U7" s="771">
        <f t="shared" ref="U7:U14" si="1">H7</f>
        <v>0</v>
      </c>
      <c r="V7" s="770" t="s">
        <v>17</v>
      </c>
      <c r="W7" s="771">
        <f t="shared" ref="W7:W14" si="2">J7</f>
        <v>0</v>
      </c>
      <c r="X7" s="772"/>
      <c r="Y7" s="3244" t="s">
        <v>2538</v>
      </c>
      <c r="Z7" s="3245"/>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4" t="s">
        <v>2541</v>
      </c>
      <c r="Q8" s="3245"/>
      <c r="R8" s="770" t="s">
        <v>17</v>
      </c>
      <c r="S8" s="771">
        <f t="shared" si="0"/>
        <v>0</v>
      </c>
      <c r="T8" s="770" t="s">
        <v>17</v>
      </c>
      <c r="U8" s="771">
        <f t="shared" si="1"/>
        <v>0</v>
      </c>
      <c r="V8" s="770" t="s">
        <v>17</v>
      </c>
      <c r="W8" s="771">
        <f t="shared" si="2"/>
        <v>0</v>
      </c>
      <c r="X8" s="772"/>
      <c r="Y8" s="3244" t="s">
        <v>2541</v>
      </c>
      <c r="Z8" s="3245"/>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15" t="s">
        <v>2544</v>
      </c>
      <c r="Q9" s="1791" t="str">
        <f t="shared" ref="Q9:Q14" si="6">B9</f>
        <v>用途</v>
      </c>
      <c r="R9" s="770" t="s">
        <v>17</v>
      </c>
      <c r="S9" s="771">
        <f t="shared" si="0"/>
        <v>100</v>
      </c>
      <c r="T9" s="770" t="s">
        <v>17</v>
      </c>
      <c r="U9" s="771">
        <f t="shared" si="1"/>
        <v>100</v>
      </c>
      <c r="V9" s="770" t="s">
        <v>17</v>
      </c>
      <c r="W9" s="771">
        <f t="shared" si="2"/>
        <v>100</v>
      </c>
      <c r="X9" s="772"/>
      <c r="Y9" s="3059"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15"/>
      <c r="Q10" s="1791"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15"/>
      <c r="Q11" s="1791">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15"/>
      <c r="Q12" s="1791">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7"/>
      <c r="M13" s="1128"/>
      <c r="N13" s="1128"/>
      <c r="O13" s="1136"/>
      <c r="P13" s="3215"/>
      <c r="Q13" s="1791">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71.25">
      <c r="A14" s="440" t="s">
        <v>2548</v>
      </c>
      <c r="B14" s="69" t="s">
        <v>2698</v>
      </c>
      <c r="C14" s="2687" t="str">
        <f>IF(B1="工业",估价对象房地状况!G4,估价对象房地状况!C6)</f>
        <v>周边道路状况、公共交通通达情况、停车便捷程度（地铁三号线观音桥</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7" t="s">
        <v>2549</v>
      </c>
      <c r="Q14" s="1806" t="str">
        <f t="shared" si="6"/>
        <v>交通便捷度</v>
      </c>
      <c r="R14" s="774" t="s">
        <v>17</v>
      </c>
      <c r="S14" s="775">
        <f t="shared" si="0"/>
        <v>100</v>
      </c>
      <c r="T14" s="774" t="s">
        <v>17</v>
      </c>
      <c r="U14" s="775">
        <f t="shared" si="1"/>
        <v>100</v>
      </c>
      <c r="V14" s="774" t="s">
        <v>17</v>
      </c>
      <c r="W14" s="775">
        <f t="shared" si="2"/>
        <v>100</v>
      </c>
      <c r="X14" s="1809"/>
      <c r="Y14" s="3217" t="s">
        <v>2549</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218"/>
      <c r="Q15" s="1806"/>
      <c r="R15" s="774"/>
      <c r="S15" s="775"/>
      <c r="T15" s="774"/>
      <c r="U15" s="775"/>
      <c r="V15" s="774"/>
      <c r="W15" s="775"/>
      <c r="X15" s="1809"/>
      <c r="Y15" s="3218"/>
      <c r="Z15" s="1810"/>
      <c r="AA15" s="1807">
        <v>1</v>
      </c>
      <c r="AB15" s="1807">
        <v>1</v>
      </c>
      <c r="AC15" s="1807">
        <v>1</v>
      </c>
    </row>
    <row r="16" spans="1:29" ht="15">
      <c r="A16" s="428"/>
      <c r="B16" s="451" t="s">
        <v>2677</v>
      </c>
      <c r="C16" s="260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8"/>
      <c r="Q16" s="1806" t="str">
        <f>B16</f>
        <v>公共配套设施</v>
      </c>
      <c r="R16" s="774" t="s">
        <v>17</v>
      </c>
      <c r="S16" s="775">
        <f>F16</f>
        <v>100</v>
      </c>
      <c r="T16" s="774" t="s">
        <v>17</v>
      </c>
      <c r="U16" s="775">
        <f>H16</f>
        <v>100</v>
      </c>
      <c r="V16" s="774" t="s">
        <v>17</v>
      </c>
      <c r="W16" s="775">
        <f>J16</f>
        <v>100</v>
      </c>
      <c r="X16" s="1809"/>
      <c r="Y16" s="3218"/>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7"/>
      <c r="M17" s="1128"/>
      <c r="N17" s="1128"/>
      <c r="O17" s="1136"/>
      <c r="P17" s="3218"/>
      <c r="Q17" s="1806"/>
      <c r="R17" s="774"/>
      <c r="S17" s="775"/>
      <c r="T17" s="774"/>
      <c r="U17" s="775"/>
      <c r="V17" s="774"/>
      <c r="W17" s="775"/>
      <c r="X17" s="1809"/>
      <c r="Y17" s="3218"/>
      <c r="Z17" s="1810"/>
      <c r="AA17" s="1807">
        <v>1</v>
      </c>
      <c r="AB17" s="1807">
        <v>1</v>
      </c>
      <c r="AC17" s="1807">
        <v>1</v>
      </c>
    </row>
    <row r="18" spans="1:29" ht="15">
      <c r="A18" s="428"/>
      <c r="B18" s="1381" t="s">
        <v>2678</v>
      </c>
      <c r="C18" s="260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8"/>
      <c r="Q18" s="1806" t="str">
        <f>B18</f>
        <v>基础设施水平</v>
      </c>
      <c r="R18" s="774" t="s">
        <v>17</v>
      </c>
      <c r="S18" s="775">
        <f>F18</f>
        <v>100</v>
      </c>
      <c r="T18" s="774" t="s">
        <v>17</v>
      </c>
      <c r="U18" s="775">
        <f>H18</f>
        <v>100</v>
      </c>
      <c r="V18" s="774" t="s">
        <v>17</v>
      </c>
      <c r="W18" s="775">
        <f>J18</f>
        <v>100</v>
      </c>
      <c r="X18" s="1809"/>
      <c r="Y18" s="3218"/>
      <c r="Z18" s="1810" t="str">
        <f>Q18</f>
        <v>基础设施水平</v>
      </c>
      <c r="AA18" s="1807">
        <f t="shared" ref="AA18" si="8">D18/F18</f>
        <v>1</v>
      </c>
      <c r="AB18" s="1807">
        <f t="shared" ref="AB18" si="9">D18/H18</f>
        <v>1</v>
      </c>
      <c r="AC18" s="1807">
        <f t="shared" ref="AC18" si="10">D18/J18</f>
        <v>1</v>
      </c>
    </row>
    <row r="19" spans="1:29" ht="15">
      <c r="A19" s="428"/>
      <c r="B19" s="1381"/>
      <c r="C19" s="2602"/>
      <c r="D19" s="450"/>
      <c r="E19" s="2602"/>
      <c r="F19" s="453"/>
      <c r="G19" s="2602"/>
      <c r="H19" s="448"/>
      <c r="I19" s="447"/>
      <c r="J19" s="448"/>
      <c r="K19" s="1380"/>
      <c r="L19" s="1137"/>
      <c r="M19" s="1128"/>
      <c r="N19" s="1128"/>
      <c r="O19" s="1136"/>
      <c r="P19" s="3218"/>
      <c r="Q19" s="1806"/>
      <c r="R19" s="774"/>
      <c r="S19" s="775"/>
      <c r="T19" s="774"/>
      <c r="U19" s="775"/>
      <c r="V19" s="774"/>
      <c r="W19" s="775"/>
      <c r="X19" s="1809"/>
      <c r="Y19" s="3218"/>
      <c r="Z19" s="1810"/>
      <c r="AA19" s="1807">
        <v>1</v>
      </c>
      <c r="AB19" s="1807">
        <v>1</v>
      </c>
      <c r="AC19" s="1807">
        <v>1</v>
      </c>
    </row>
    <row r="20" spans="1:29" ht="15">
      <c r="A20" s="428"/>
      <c r="B20" s="451" t="s">
        <v>2699</v>
      </c>
      <c r="C20" s="260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8"/>
      <c r="Q20" s="1806" t="str">
        <f>B20</f>
        <v>自然及人文环境</v>
      </c>
      <c r="R20" s="774" t="s">
        <v>17</v>
      </c>
      <c r="S20" s="775">
        <f>F20</f>
        <v>100</v>
      </c>
      <c r="T20" s="774" t="s">
        <v>17</v>
      </c>
      <c r="U20" s="775">
        <f>H20</f>
        <v>100</v>
      </c>
      <c r="V20" s="774" t="s">
        <v>17</v>
      </c>
      <c r="W20" s="775">
        <f>J20</f>
        <v>100</v>
      </c>
      <c r="X20" s="1809"/>
      <c r="Y20" s="3218"/>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218"/>
      <c r="Q21" s="1806"/>
      <c r="R21" s="774"/>
      <c r="S21" s="775"/>
      <c r="T21" s="774"/>
      <c r="U21" s="775"/>
      <c r="V21" s="774"/>
      <c r="W21" s="775"/>
      <c r="X21" s="1809"/>
      <c r="Y21" s="3218"/>
      <c r="Z21" s="1810"/>
      <c r="AA21" s="1807">
        <v>1</v>
      </c>
      <c r="AB21" s="1807">
        <v>1</v>
      </c>
      <c r="AC21" s="1807">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8"/>
      <c r="Q22" s="1806" t="str">
        <f>B22</f>
        <v>楼层</v>
      </c>
      <c r="R22" s="774" t="s">
        <v>17</v>
      </c>
      <c r="S22" s="775">
        <f>F22</f>
        <v>100</v>
      </c>
      <c r="T22" s="774" t="s">
        <v>17</v>
      </c>
      <c r="U22" s="775">
        <f>H22</f>
        <v>100</v>
      </c>
      <c r="V22" s="774" t="s">
        <v>17</v>
      </c>
      <c r="W22" s="775">
        <f>J22</f>
        <v>100</v>
      </c>
      <c r="X22" s="1809"/>
      <c r="Y22" s="3218"/>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8"/>
      <c r="Q23" s="1806">
        <f>B23</f>
        <v>111</v>
      </c>
      <c r="R23" s="774" t="s">
        <v>17</v>
      </c>
      <c r="S23" s="775">
        <f>F23</f>
        <v>100</v>
      </c>
      <c r="T23" s="774" t="s">
        <v>17</v>
      </c>
      <c r="U23" s="775">
        <f>H23</f>
        <v>100</v>
      </c>
      <c r="V23" s="774" t="s">
        <v>17</v>
      </c>
      <c r="W23" s="775">
        <f>J23</f>
        <v>100</v>
      </c>
      <c r="X23" s="1809"/>
      <c r="Y23" s="3218"/>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8"/>
      <c r="Q24" s="1806">
        <f t="shared" ref="Q24:Q34" si="11">B24</f>
        <v>111</v>
      </c>
      <c r="R24" s="774" t="s">
        <v>17</v>
      </c>
      <c r="S24" s="775">
        <f>F24</f>
        <v>100</v>
      </c>
      <c r="T24" s="774" t="s">
        <v>17</v>
      </c>
      <c r="U24" s="775">
        <f>H24</f>
        <v>100</v>
      </c>
      <c r="V24" s="774" t="s">
        <v>17</v>
      </c>
      <c r="W24" s="775">
        <f>J24</f>
        <v>100</v>
      </c>
      <c r="X24" s="1809"/>
      <c r="Y24" s="3218"/>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9"/>
      <c r="M25" s="1130"/>
      <c r="N25" s="1130"/>
      <c r="O25" s="1131"/>
      <c r="P25" s="3218"/>
      <c r="Q25" s="1791">
        <f t="shared" si="11"/>
        <v>111</v>
      </c>
      <c r="R25" s="770" t="s">
        <v>17</v>
      </c>
      <c r="S25" s="771">
        <f>F25</f>
        <v>100</v>
      </c>
      <c r="T25" s="770" t="s">
        <v>17</v>
      </c>
      <c r="U25" s="771">
        <f>H25</f>
        <v>100</v>
      </c>
      <c r="V25" s="770" t="s">
        <v>17</v>
      </c>
      <c r="W25" s="771">
        <f>J25</f>
        <v>100</v>
      </c>
      <c r="X25" s="772"/>
      <c r="Y25" s="3218"/>
      <c r="Z25" s="55">
        <f>Q25</f>
        <v>111</v>
      </c>
      <c r="AA25" s="1807">
        <f>D25/F25</f>
        <v>1</v>
      </c>
      <c r="AB25" s="1807">
        <f>D25/H25</f>
        <v>1</v>
      </c>
      <c r="AC25" s="1807">
        <f>D25/J25</f>
        <v>1</v>
      </c>
    </row>
    <row r="26" spans="1:29" ht="15">
      <c r="A26" s="466" t="s">
        <v>2552</v>
      </c>
      <c r="B26" s="71" t="s">
        <v>2703</v>
      </c>
      <c r="C26" s="2673"/>
      <c r="D26" s="467">
        <v>100</v>
      </c>
      <c r="E26" s="2673"/>
      <c r="F26" s="667">
        <f>SUMIF(77:77,E26,78:78)-SUMIF(77:77,C26,78:78)+100</f>
        <v>100</v>
      </c>
      <c r="G26" s="2673"/>
      <c r="H26" s="467">
        <f>SUMIF(77:77,G26,78:78)-SUMIF(77:77,C26,78:78)+100</f>
        <v>100</v>
      </c>
      <c r="I26" s="2673"/>
      <c r="J26" s="467">
        <f>SUMIF(77:77,I26,78:78)-SUMIF(77:77,C26,78:78)+100</f>
        <v>100</v>
      </c>
      <c r="K26" s="612"/>
      <c r="L26" s="1137"/>
      <c r="M26" s="1128"/>
      <c r="N26" s="1128"/>
      <c r="O26" s="1136"/>
      <c r="P26" s="3219" t="s">
        <v>2554</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20" t="s">
        <v>2554</v>
      </c>
      <c r="Z26" s="1810" t="str">
        <f t="shared" ref="Z26:Z34" si="15">Q26</f>
        <v>公共部分装修</v>
      </c>
      <c r="AA26" s="1807">
        <f t="shared" si="3"/>
        <v>1</v>
      </c>
      <c r="AB26" s="1807">
        <f t="shared" si="4"/>
        <v>1</v>
      </c>
      <c r="AC26" s="1807">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07" t="e">
        <f t="shared" si="3"/>
        <v>#N/A</v>
      </c>
      <c r="AB27" s="1807" t="e">
        <f t="shared" si="4"/>
        <v>#N/A</v>
      </c>
      <c r="AC27" s="1807"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20"/>
      <c r="Q28" s="1806" t="str">
        <f t="shared" si="11"/>
        <v>物业等级</v>
      </c>
      <c r="R28" s="774" t="s">
        <v>17</v>
      </c>
      <c r="S28" s="775">
        <f t="shared" si="12"/>
        <v>100</v>
      </c>
      <c r="T28" s="774" t="s">
        <v>17</v>
      </c>
      <c r="U28" s="775">
        <f t="shared" si="13"/>
        <v>100</v>
      </c>
      <c r="V28" s="774" t="s">
        <v>17</v>
      </c>
      <c r="W28" s="775">
        <f t="shared" si="14"/>
        <v>100</v>
      </c>
      <c r="X28" s="1809"/>
      <c r="Y28" s="3220"/>
      <c r="Z28" s="1810" t="str">
        <f t="shared" si="15"/>
        <v>物业等级</v>
      </c>
      <c r="AA28" s="1807">
        <f t="shared" si="3"/>
        <v>1</v>
      </c>
      <c r="AB28" s="1807">
        <f t="shared" si="4"/>
        <v>1</v>
      </c>
      <c r="AC28" s="1807">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20"/>
      <c r="Q29" s="1806" t="str">
        <f t="shared" si="11"/>
        <v>有无电梯</v>
      </c>
      <c r="R29" s="774" t="s">
        <v>17</v>
      </c>
      <c r="S29" s="775">
        <f t="shared" si="12"/>
        <v>100</v>
      </c>
      <c r="T29" s="774" t="s">
        <v>17</v>
      </c>
      <c r="U29" s="775">
        <f t="shared" si="13"/>
        <v>100</v>
      </c>
      <c r="V29" s="774" t="s">
        <v>17</v>
      </c>
      <c r="W29" s="775">
        <f t="shared" si="14"/>
        <v>100</v>
      </c>
      <c r="X29" s="1809"/>
      <c r="Y29" s="3220"/>
      <c r="Z29" s="1810" t="str">
        <f t="shared" si="15"/>
        <v>有无电梯</v>
      </c>
      <c r="AA29" s="1807">
        <f t="shared" si="3"/>
        <v>1</v>
      </c>
      <c r="AB29" s="1807">
        <f t="shared" si="4"/>
        <v>1</v>
      </c>
      <c r="AC29" s="1807">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20"/>
      <c r="Q30" s="1806" t="str">
        <f t="shared" si="11"/>
        <v>建筑面积</v>
      </c>
      <c r="R30" s="774" t="s">
        <v>17</v>
      </c>
      <c r="S30" s="775" t="e">
        <f t="shared" si="12"/>
        <v>#N/A</v>
      </c>
      <c r="T30" s="774" t="s">
        <v>17</v>
      </c>
      <c r="U30" s="775" t="e">
        <f t="shared" si="13"/>
        <v>#N/A</v>
      </c>
      <c r="V30" s="774" t="s">
        <v>17</v>
      </c>
      <c r="W30" s="775" t="e">
        <f t="shared" si="14"/>
        <v>#N/A</v>
      </c>
      <c r="X30" s="1809"/>
      <c r="Y30" s="3220"/>
      <c r="Z30" s="1810" t="str">
        <f t="shared" si="15"/>
        <v>建筑面积</v>
      </c>
      <c r="AA30" s="1807" t="e">
        <f t="shared" si="3"/>
        <v>#N/A</v>
      </c>
      <c r="AB30" s="1807" t="e">
        <f t="shared" si="4"/>
        <v>#N/A</v>
      </c>
      <c r="AC30" s="1807"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20"/>
      <c r="Q31" s="1791"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20" t="s">
        <v>2554</v>
      </c>
      <c r="Q32" s="1806">
        <f t="shared" si="11"/>
        <v>111</v>
      </c>
      <c r="R32" s="774" t="s">
        <v>17</v>
      </c>
      <c r="S32" s="775">
        <f t="shared" si="12"/>
        <v>100</v>
      </c>
      <c r="T32" s="774" t="s">
        <v>17</v>
      </c>
      <c r="U32" s="775">
        <f t="shared" si="13"/>
        <v>100</v>
      </c>
      <c r="V32" s="774" t="s">
        <v>17</v>
      </c>
      <c r="W32" s="775">
        <f t="shared" si="14"/>
        <v>100</v>
      </c>
      <c r="X32" s="1809"/>
      <c r="Y32" s="3220" t="s">
        <v>2554</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20"/>
      <c r="Q33" s="1806">
        <f t="shared" si="11"/>
        <v>111</v>
      </c>
      <c r="R33" s="774" t="s">
        <v>17</v>
      </c>
      <c r="S33" s="775">
        <f t="shared" si="12"/>
        <v>100</v>
      </c>
      <c r="T33" s="774" t="s">
        <v>17</v>
      </c>
      <c r="U33" s="775">
        <f t="shared" si="13"/>
        <v>100</v>
      </c>
      <c r="V33" s="774" t="s">
        <v>17</v>
      </c>
      <c r="W33" s="775">
        <f t="shared" si="14"/>
        <v>100</v>
      </c>
      <c r="X33" s="1809"/>
      <c r="Y33" s="3220"/>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7"/>
      <c r="M34" s="1128"/>
      <c r="N34" s="1128"/>
      <c r="O34" s="1136"/>
      <c r="P34" s="3220"/>
      <c r="Q34" s="1806">
        <f t="shared" si="11"/>
        <v>111</v>
      </c>
      <c r="R34" s="774" t="s">
        <v>17</v>
      </c>
      <c r="S34" s="775">
        <f t="shared" si="12"/>
        <v>100</v>
      </c>
      <c r="T34" s="774" t="s">
        <v>17</v>
      </c>
      <c r="U34" s="775">
        <f t="shared" si="13"/>
        <v>100</v>
      </c>
      <c r="V34" s="774" t="s">
        <v>17</v>
      </c>
      <c r="W34" s="775">
        <f t="shared" si="14"/>
        <v>100</v>
      </c>
      <c r="X34" s="1809"/>
      <c r="Y34" s="3220"/>
      <c r="Z34" s="1810">
        <f t="shared" si="15"/>
        <v>111</v>
      </c>
      <c r="AA34" s="1807">
        <f t="shared" si="3"/>
        <v>1</v>
      </c>
      <c r="AB34" s="1807">
        <f t="shared" si="4"/>
        <v>1</v>
      </c>
      <c r="AC34" s="1807">
        <f t="shared" si="5"/>
        <v>1</v>
      </c>
    </row>
    <row r="35" spans="1:29" ht="15">
      <c r="A35" s="479" t="s">
        <v>2566</v>
      </c>
      <c r="B35" s="480"/>
      <c r="C35" s="1404" t="s">
        <v>1</v>
      </c>
      <c r="D35" s="1405"/>
      <c r="E35" s="1406"/>
      <c r="F35" s="1407"/>
      <c r="G35" s="1408"/>
      <c r="H35" s="1409"/>
      <c r="I35" s="1406"/>
      <c r="J35" s="1409"/>
      <c r="K35" s="783"/>
      <c r="L35" s="1140"/>
      <c r="M35" s="1141"/>
      <c r="N35" s="1128"/>
      <c r="O35" s="1141"/>
      <c r="P35" s="3215" t="str">
        <f>A35</f>
        <v>成交单价（元/平方米）</v>
      </c>
      <c r="Q35" s="3215"/>
      <c r="R35" s="3257">
        <f>E35</f>
        <v>0</v>
      </c>
      <c r="S35" s="3257"/>
      <c r="T35" s="3257">
        <f>G35</f>
        <v>0</v>
      </c>
      <c r="U35" s="3257"/>
      <c r="V35" s="3257">
        <f>I35</f>
        <v>0</v>
      </c>
      <c r="W35" s="3257"/>
      <c r="X35" s="759"/>
      <c r="Y35" s="781"/>
      <c r="Z35" s="759"/>
      <c r="AA35" s="759"/>
      <c r="AB35" s="759"/>
      <c r="AC35" s="759"/>
    </row>
    <row r="36" spans="1:29" ht="15.75" thickBot="1">
      <c r="A36" s="486" t="s">
        <v>2658</v>
      </c>
      <c r="B36" s="487"/>
      <c r="C36" s="1410" t="e">
        <f>R37</f>
        <v>#DIV/0!</v>
      </c>
      <c r="D36" s="1411"/>
      <c r="E36" s="1412" t="e">
        <f>R36</f>
        <v>#DIV/0!</v>
      </c>
      <c r="F36" s="1412"/>
      <c r="G36" s="1410" t="e">
        <f>T36</f>
        <v>#DIV/0!</v>
      </c>
      <c r="H36" s="1411"/>
      <c r="I36" s="1412" t="e">
        <f>V36</f>
        <v>#DIV/0!</v>
      </c>
      <c r="J36" s="1411"/>
      <c r="K36" s="784"/>
      <c r="L36" s="1140"/>
      <c r="M36" s="1141"/>
      <c r="N36" s="1128"/>
      <c r="O36" s="1141"/>
      <c r="P36" s="3215" t="str">
        <f>A36</f>
        <v>比较价值（元/平方米）</v>
      </c>
      <c r="Q36" s="3215"/>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2659</v>
      </c>
      <c r="B37" s="493"/>
      <c r="C37" s="1414" t="e">
        <f>R37</f>
        <v>#DIV/0!</v>
      </c>
      <c r="D37" s="1414"/>
      <c r="E37" s="1414"/>
      <c r="F37" s="1414"/>
      <c r="G37" s="1414"/>
      <c r="H37" s="1414"/>
      <c r="I37" s="1414"/>
      <c r="J37" s="1414"/>
      <c r="K37" s="785"/>
      <c r="L37" s="1140"/>
      <c r="M37" s="1141"/>
      <c r="N37" s="1141"/>
      <c r="O37" s="1141"/>
      <c r="P37" s="3209" t="str">
        <f>A37</f>
        <v>估价对象XX用房的比较价值（楼面单价，元/平方米）</v>
      </c>
      <c r="Q37" s="3210"/>
      <c r="R37" s="3258" t="e">
        <f>IF(F1="售价",ROUND(AVERAGE(R36:V36),0),ROUND(AVERAGE(R36:V36),1))</f>
        <v>#DIV/0!</v>
      </c>
      <c r="S37" s="3258"/>
      <c r="T37" s="3258"/>
      <c r="U37" s="3258"/>
      <c r="V37" s="3258"/>
      <c r="W37" s="3258"/>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2577</v>
      </c>
      <c r="B51" s="528" t="s">
        <v>2543</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2718</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2552</v>
      </c>
      <c r="B77" s="528" t="s">
        <v>2605</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2722</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2730</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2732</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2783</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2634</v>
      </c>
      <c r="B4" s="402"/>
      <c r="C4" s="3212" t="s">
        <v>2635</v>
      </c>
      <c r="D4" s="3225"/>
      <c r="E4" s="3226" t="s">
        <v>2636</v>
      </c>
      <c r="F4" s="3227"/>
      <c r="G4" s="3212" t="s">
        <v>2637</v>
      </c>
      <c r="H4" s="3225"/>
      <c r="I4" s="3212" t="s">
        <v>2638</v>
      </c>
      <c r="J4" s="3225"/>
      <c r="K4" s="610" t="s">
        <v>2639</v>
      </c>
      <c r="L4" s="1127"/>
      <c r="M4" s="1128"/>
      <c r="N4" s="1128"/>
      <c r="O4" s="1128"/>
      <c r="P4" s="3228" t="s">
        <v>2640</v>
      </c>
      <c r="Q4" s="3229"/>
      <c r="R4" s="3234" t="s">
        <v>2636</v>
      </c>
      <c r="S4" s="3235"/>
      <c r="T4" s="3234" t="s">
        <v>2637</v>
      </c>
      <c r="U4" s="3235"/>
      <c r="V4" s="3221" t="s">
        <v>2638</v>
      </c>
      <c r="W4" s="3221"/>
      <c r="X4" s="1809"/>
      <c r="Y4" s="3234" t="s">
        <v>2640</v>
      </c>
      <c r="Z4" s="3235"/>
      <c r="AA4" s="3222" t="s">
        <v>2636</v>
      </c>
      <c r="AB4" s="3223" t="s">
        <v>2637</v>
      </c>
      <c r="AC4" s="3222" t="s">
        <v>2638</v>
      </c>
    </row>
    <row r="5" spans="1:29" ht="15">
      <c r="A5" s="404"/>
      <c r="B5" s="405"/>
      <c r="C5" s="3242" t="s">
        <v>2531</v>
      </c>
      <c r="D5" s="3243"/>
      <c r="E5" s="3249" t="s">
        <v>2532</v>
      </c>
      <c r="F5" s="3250"/>
      <c r="G5" s="3242" t="s">
        <v>2533</v>
      </c>
      <c r="H5" s="3243"/>
      <c r="I5" s="3242" t="s">
        <v>2534</v>
      </c>
      <c r="J5" s="3243"/>
      <c r="K5" s="610"/>
      <c r="L5" s="1127"/>
      <c r="M5" s="1128"/>
      <c r="N5" s="1128"/>
      <c r="O5" s="1128"/>
      <c r="P5" s="3230"/>
      <c r="Q5" s="3231"/>
      <c r="R5" s="3236"/>
      <c r="S5" s="3237"/>
      <c r="T5" s="3236"/>
      <c r="U5" s="3237"/>
      <c r="V5" s="3221"/>
      <c r="W5" s="3221"/>
      <c r="X5" s="1809"/>
      <c r="Y5" s="3236"/>
      <c r="Z5" s="3237"/>
      <c r="AA5" s="3223"/>
      <c r="AB5" s="3223"/>
      <c r="AC5" s="3223"/>
    </row>
    <row r="6" spans="1:29" ht="15.75" thickBot="1">
      <c r="A6" s="406"/>
      <c r="B6" s="407"/>
      <c r="C6" s="3306" t="s">
        <v>2784</v>
      </c>
      <c r="D6" s="3307"/>
      <c r="E6" s="3308" t="s">
        <v>2784</v>
      </c>
      <c r="F6" s="3309"/>
      <c r="G6" s="3306" t="s">
        <v>2784</v>
      </c>
      <c r="H6" s="3307"/>
      <c r="I6" s="3306" t="s">
        <v>2784</v>
      </c>
      <c r="J6" s="3307"/>
      <c r="K6" s="610" t="s">
        <v>2536</v>
      </c>
      <c r="L6" s="1127"/>
      <c r="M6" s="1128"/>
      <c r="N6" s="1128"/>
      <c r="O6" s="1128"/>
      <c r="P6" s="3232"/>
      <c r="Q6" s="3233"/>
      <c r="R6" s="3236"/>
      <c r="S6" s="3237"/>
      <c r="T6" s="3238"/>
      <c r="U6" s="3239"/>
      <c r="V6" s="3221"/>
      <c r="W6" s="3221"/>
      <c r="X6" s="1809"/>
      <c r="Y6" s="3238"/>
      <c r="Z6" s="3239"/>
      <c r="AA6" s="3224"/>
      <c r="AB6" s="3224"/>
      <c r="AC6" s="3224"/>
    </row>
    <row r="7" spans="1:29" s="117" customFormat="1" ht="15.75" thickBot="1">
      <c r="A7" s="408" t="s">
        <v>2537</v>
      </c>
      <c r="B7" s="409"/>
      <c r="C7" s="410">
        <f>'数据-取费表'!B2</f>
        <v>43332</v>
      </c>
      <c r="D7" s="411">
        <v>100</v>
      </c>
      <c r="E7" s="412"/>
      <c r="F7" s="413">
        <f>SUMIF(65:65,YEAR(E7)&amp;"-"&amp;INT((MONTH(E7)+2)/3),66:66)</f>
        <v>0</v>
      </c>
      <c r="G7" s="2690"/>
      <c r="H7" s="411">
        <f>SUMIF(65:65,YEAR(G7)&amp;"-"&amp;INT((MONTH(G7)+2)/3),66:66)</f>
        <v>0</v>
      </c>
      <c r="I7" s="2690"/>
      <c r="J7" s="411">
        <f>SUMIF(65:65,YEAR(I7)&amp;"-"&amp;INT((MONTH(I7)+2)/3),66:66)</f>
        <v>0</v>
      </c>
      <c r="K7" s="611"/>
      <c r="L7" s="1129"/>
      <c r="M7" s="1130"/>
      <c r="N7" s="1130"/>
      <c r="O7" s="1130"/>
      <c r="P7" s="3244" t="s">
        <v>2538</v>
      </c>
      <c r="Q7" s="3246"/>
      <c r="R7" s="770" t="s">
        <v>17</v>
      </c>
      <c r="S7" s="771">
        <f t="shared" ref="S7:S15" si="0">F7</f>
        <v>0</v>
      </c>
      <c r="T7" s="770" t="s">
        <v>17</v>
      </c>
      <c r="U7" s="771">
        <f t="shared" ref="U7:U15" si="1">H7</f>
        <v>0</v>
      </c>
      <c r="V7" s="770" t="s">
        <v>17</v>
      </c>
      <c r="W7" s="771">
        <f t="shared" ref="W7:W15" si="2">J7</f>
        <v>0</v>
      </c>
      <c r="X7" s="772"/>
      <c r="Y7" s="3244" t="s">
        <v>2538</v>
      </c>
      <c r="Z7" s="3245"/>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4" t="s">
        <v>2541</v>
      </c>
      <c r="Q8" s="3245"/>
      <c r="R8" s="770" t="s">
        <v>17</v>
      </c>
      <c r="S8" s="771">
        <f t="shared" si="0"/>
        <v>0</v>
      </c>
      <c r="T8" s="770" t="s">
        <v>17</v>
      </c>
      <c r="U8" s="771">
        <f t="shared" si="1"/>
        <v>0</v>
      </c>
      <c r="V8" s="770" t="s">
        <v>17</v>
      </c>
      <c r="W8" s="771">
        <f t="shared" si="2"/>
        <v>0</v>
      </c>
      <c r="X8" s="772"/>
      <c r="Y8" s="3244" t="s">
        <v>2541</v>
      </c>
      <c r="Z8" s="3245"/>
      <c r="AA8" s="773" t="e">
        <f t="shared" ref="AA8:AA40" si="3">D8/F8</f>
        <v>#DIV/0!</v>
      </c>
      <c r="AB8" s="773" t="e">
        <f t="shared" ref="AB8:AB40" si="4">D8/H8</f>
        <v>#DIV/0!</v>
      </c>
      <c r="AC8" s="773" t="e">
        <f t="shared" ref="AC8:AC40" si="5">D8/J8</f>
        <v>#DIV/0!</v>
      </c>
    </row>
    <row r="9" spans="1:29" s="117" customFormat="1">
      <c r="A9" s="415" t="s">
        <v>2542</v>
      </c>
      <c r="B9" s="71" t="s">
        <v>2543</v>
      </c>
      <c r="C9" s="2693"/>
      <c r="D9" s="135">
        <v>100</v>
      </c>
      <c r="E9" s="2693"/>
      <c r="F9" s="135">
        <f>SUMIF(70:70,E9,71:71)-SUMIF(70:70,C9,71:71)+100</f>
        <v>100</v>
      </c>
      <c r="G9" s="2693"/>
      <c r="H9" s="135">
        <f>SUMIF(70:70,G9,71:71)-SUMIF(70:70,C9,71:71)+100</f>
        <v>100</v>
      </c>
      <c r="I9" s="2693"/>
      <c r="J9" s="135">
        <f>SUMIF(70:70,I9,71:71)-SUMIF(70:70,C9,71:71)+100</f>
        <v>100</v>
      </c>
      <c r="K9" s="611"/>
      <c r="L9" s="1129"/>
      <c r="M9" s="1130"/>
      <c r="N9" s="1130"/>
      <c r="O9" s="1131"/>
      <c r="P9" s="3215" t="s">
        <v>2544</v>
      </c>
      <c r="Q9" s="1791" t="str">
        <f t="shared" ref="Q9:Q15" si="6">B9</f>
        <v>用途</v>
      </c>
      <c r="R9" s="770" t="s">
        <v>17</v>
      </c>
      <c r="S9" s="771">
        <f t="shared" si="0"/>
        <v>100</v>
      </c>
      <c r="T9" s="770" t="s">
        <v>17</v>
      </c>
      <c r="U9" s="771">
        <f t="shared" si="1"/>
        <v>100</v>
      </c>
      <c r="V9" s="770" t="s">
        <v>17</v>
      </c>
      <c r="W9" s="771">
        <f t="shared" si="2"/>
        <v>100</v>
      </c>
      <c r="X9" s="772"/>
      <c r="Y9" s="3059"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108</v>
      </c>
      <c r="G10" s="432"/>
      <c r="H10" s="136">
        <f>ROUND(100/'数据-取费表'!G16,0)</f>
        <v>108</v>
      </c>
      <c r="I10" s="432"/>
      <c r="J10" s="136">
        <f>ROUND(100/'数据-取费表'!G16,0)</f>
        <v>108</v>
      </c>
      <c r="K10" s="672"/>
      <c r="L10" s="1132"/>
      <c r="M10" s="1133"/>
      <c r="N10" s="1133"/>
      <c r="O10" s="1134"/>
      <c r="P10" s="3215"/>
      <c r="Q10" s="1791" t="str">
        <f t="shared" si="6"/>
        <v>土地使用年限（年）</v>
      </c>
      <c r="R10" s="770" t="s">
        <v>17</v>
      </c>
      <c r="S10" s="771">
        <f t="shared" si="0"/>
        <v>108</v>
      </c>
      <c r="T10" s="770" t="s">
        <v>17</v>
      </c>
      <c r="U10" s="771">
        <f t="shared" si="1"/>
        <v>108</v>
      </c>
      <c r="V10" s="770" t="s">
        <v>17</v>
      </c>
      <c r="W10" s="771">
        <f t="shared" si="2"/>
        <v>108</v>
      </c>
      <c r="X10" s="772"/>
      <c r="Y10" s="3059"/>
      <c r="Z10" s="55" t="str">
        <f t="shared" si="7"/>
        <v>土地使用年限（年）</v>
      </c>
      <c r="AA10" s="773">
        <f t="shared" si="3"/>
        <v>0.92592592592592593</v>
      </c>
      <c r="AB10" s="773">
        <f t="shared" si="4"/>
        <v>0.92592592592592593</v>
      </c>
      <c r="AC10" s="773">
        <f t="shared" si="5"/>
        <v>0.92592592592592593</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15"/>
      <c r="Q11" s="1791"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15"/>
      <c r="Q12" s="1791">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15"/>
      <c r="Q13" s="1791">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15"/>
      <c r="Q14" s="1791">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15">
      <c r="A15" s="440" t="s">
        <v>2548</v>
      </c>
      <c r="B15" s="629" t="s">
        <v>2785</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7" t="s">
        <v>2549</v>
      </c>
      <c r="Q15" s="1806" t="str">
        <f t="shared" si="6"/>
        <v>产业集聚程度</v>
      </c>
      <c r="R15" s="774" t="s">
        <v>17</v>
      </c>
      <c r="S15" s="775">
        <f t="shared" si="0"/>
        <v>100</v>
      </c>
      <c r="T15" s="774" t="s">
        <v>17</v>
      </c>
      <c r="U15" s="775">
        <f t="shared" si="1"/>
        <v>100</v>
      </c>
      <c r="V15" s="774" t="s">
        <v>17</v>
      </c>
      <c r="W15" s="775">
        <f t="shared" si="2"/>
        <v>100</v>
      </c>
      <c r="X15" s="1809"/>
      <c r="Y15" s="3217" t="s">
        <v>2549</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7"/>
      <c r="M16" s="1128"/>
      <c r="N16" s="1128"/>
      <c r="O16" s="1136"/>
      <c r="P16" s="3218"/>
      <c r="Q16" s="1806"/>
      <c r="R16" s="774"/>
      <c r="S16" s="775"/>
      <c r="T16" s="774"/>
      <c r="U16" s="775"/>
      <c r="V16" s="774"/>
      <c r="W16" s="775"/>
      <c r="X16" s="1809"/>
      <c r="Y16" s="3218"/>
      <c r="Z16" s="1810"/>
      <c r="AA16" s="1807">
        <v>1</v>
      </c>
      <c r="AB16" s="1807">
        <v>1</v>
      </c>
      <c r="AC16" s="1807">
        <v>1</v>
      </c>
    </row>
    <row r="17" spans="1:29" ht="15">
      <c r="A17" s="428"/>
      <c r="B17" s="631" t="s">
        <v>2698</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8"/>
      <c r="Q17" s="1806" t="str">
        <f>B17</f>
        <v>交通便捷度</v>
      </c>
      <c r="R17" s="774" t="s">
        <v>17</v>
      </c>
      <c r="S17" s="775">
        <f>F17</f>
        <v>100</v>
      </c>
      <c r="T17" s="774" t="s">
        <v>17</v>
      </c>
      <c r="U17" s="775">
        <f>H17</f>
        <v>100</v>
      </c>
      <c r="V17" s="774" t="s">
        <v>17</v>
      </c>
      <c r="W17" s="775">
        <f>J17</f>
        <v>100</v>
      </c>
      <c r="X17" s="1809"/>
      <c r="Y17" s="3218"/>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7"/>
      <c r="M18" s="1128"/>
      <c r="N18" s="1128"/>
      <c r="O18" s="1136"/>
      <c r="P18" s="3218"/>
      <c r="Q18" s="1806"/>
      <c r="R18" s="774"/>
      <c r="S18" s="775"/>
      <c r="T18" s="774"/>
      <c r="U18" s="775"/>
      <c r="V18" s="774"/>
      <c r="W18" s="775"/>
      <c r="X18" s="1809"/>
      <c r="Y18" s="3218"/>
      <c r="Z18" s="1810"/>
      <c r="AA18" s="1807">
        <v>1</v>
      </c>
      <c r="AB18" s="1807">
        <v>1</v>
      </c>
      <c r="AC18" s="1807">
        <v>1</v>
      </c>
    </row>
    <row r="19" spans="1:29" ht="15">
      <c r="A19" s="428"/>
      <c r="B19" s="631" t="s">
        <v>2736</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8"/>
      <c r="Q19" s="1806" t="str">
        <f t="shared" ref="Q19:Q33" si="8">B19</f>
        <v>区域土地利用方向</v>
      </c>
      <c r="R19" s="774" t="s">
        <v>17</v>
      </c>
      <c r="S19" s="775">
        <f>F19</f>
        <v>100</v>
      </c>
      <c r="T19" s="774" t="s">
        <v>17</v>
      </c>
      <c r="U19" s="775">
        <f>H19</f>
        <v>100</v>
      </c>
      <c r="V19" s="774" t="s">
        <v>17</v>
      </c>
      <c r="W19" s="775">
        <f>J19</f>
        <v>100</v>
      </c>
      <c r="X19" s="1809"/>
      <c r="Y19" s="3218"/>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6"/>
      <c r="L20" s="1137"/>
      <c r="M20" s="1128"/>
      <c r="N20" s="1128"/>
      <c r="O20" s="1136"/>
      <c r="P20" s="3218"/>
      <c r="Q20" s="1806"/>
      <c r="R20" s="774"/>
      <c r="S20" s="775"/>
      <c r="T20" s="774"/>
      <c r="U20" s="775"/>
      <c r="V20" s="774"/>
      <c r="W20" s="775"/>
      <c r="X20" s="1809"/>
      <c r="Y20" s="3218"/>
      <c r="Z20" s="1810"/>
      <c r="AA20" s="1807"/>
      <c r="AB20" s="1807"/>
      <c r="AC20" s="1807"/>
    </row>
    <row r="21" spans="1:29" ht="15">
      <c r="A21" s="404"/>
      <c r="B21" s="631" t="s">
        <v>2786</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8"/>
      <c r="Q21" s="1806" t="str">
        <f t="shared" si="8"/>
        <v>环境状况</v>
      </c>
      <c r="R21" s="774" t="s">
        <v>17</v>
      </c>
      <c r="S21" s="775">
        <f>F21</f>
        <v>100</v>
      </c>
      <c r="T21" s="774" t="s">
        <v>17</v>
      </c>
      <c r="U21" s="775">
        <f>H21</f>
        <v>100</v>
      </c>
      <c r="V21" s="774" t="s">
        <v>17</v>
      </c>
      <c r="W21" s="775">
        <f>J21</f>
        <v>100</v>
      </c>
      <c r="X21" s="1809"/>
      <c r="Y21" s="3218"/>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7"/>
      <c r="M22" s="1128"/>
      <c r="N22" s="1128"/>
      <c r="O22" s="1136"/>
      <c r="P22" s="3218"/>
      <c r="Q22" s="1806"/>
      <c r="R22" s="774"/>
      <c r="S22" s="775"/>
      <c r="T22" s="774"/>
      <c r="U22" s="775"/>
      <c r="V22" s="774"/>
      <c r="W22" s="775"/>
      <c r="X22" s="1809"/>
      <c r="Y22" s="3218"/>
      <c r="Z22" s="1810"/>
      <c r="AA22" s="1807">
        <v>1</v>
      </c>
      <c r="AB22" s="1807">
        <v>1</v>
      </c>
      <c r="AC22" s="1807">
        <v>1</v>
      </c>
    </row>
    <row r="23" spans="1:29" s="117" customFormat="1" ht="15">
      <c r="A23" s="649"/>
      <c r="B23" s="633" t="s">
        <v>2643</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8"/>
      <c r="Q23" s="1791" t="str">
        <f t="shared" si="8"/>
        <v>公共配套设施</v>
      </c>
      <c r="R23" s="770" t="s">
        <v>17</v>
      </c>
      <c r="S23" s="771">
        <f>F23</f>
        <v>100</v>
      </c>
      <c r="T23" s="770" t="s">
        <v>17</v>
      </c>
      <c r="U23" s="771">
        <f>H23</f>
        <v>100</v>
      </c>
      <c r="V23" s="770" t="s">
        <v>17</v>
      </c>
      <c r="W23" s="771">
        <f>J23</f>
        <v>100</v>
      </c>
      <c r="X23" s="772"/>
      <c r="Y23" s="3218"/>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9"/>
      <c r="M24" s="1130"/>
      <c r="N24" s="1130"/>
      <c r="O24" s="1131"/>
      <c r="P24" s="3218"/>
      <c r="Q24" s="1791"/>
      <c r="R24" s="770"/>
      <c r="S24" s="771"/>
      <c r="T24" s="770"/>
      <c r="U24" s="771"/>
      <c r="V24" s="770"/>
      <c r="W24" s="771"/>
      <c r="X24" s="772"/>
      <c r="Y24" s="3218"/>
      <c r="Z24" s="55"/>
      <c r="AA24" s="773">
        <v>1</v>
      </c>
      <c r="AB24" s="773">
        <v>1</v>
      </c>
      <c r="AC24" s="773">
        <v>1</v>
      </c>
    </row>
    <row r="25" spans="1:29" s="117" customFormat="1" ht="15">
      <c r="A25" s="649"/>
      <c r="B25" s="633" t="s">
        <v>2644</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8"/>
      <c r="Q25" s="1791" t="str">
        <f t="shared" ref="Q25" si="9">B25</f>
        <v>基础设施水平</v>
      </c>
      <c r="R25" s="770" t="s">
        <v>17</v>
      </c>
      <c r="S25" s="771">
        <f>F25</f>
        <v>100</v>
      </c>
      <c r="T25" s="770" t="s">
        <v>17</v>
      </c>
      <c r="U25" s="771">
        <f>H25</f>
        <v>100</v>
      </c>
      <c r="V25" s="770" t="s">
        <v>17</v>
      </c>
      <c r="W25" s="771">
        <f>J25</f>
        <v>100</v>
      </c>
      <c r="X25" s="772"/>
      <c r="Y25" s="3218"/>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9"/>
      <c r="M26" s="1130"/>
      <c r="N26" s="1130"/>
      <c r="O26" s="1131"/>
      <c r="P26" s="3218"/>
      <c r="Q26" s="1791"/>
      <c r="R26" s="770"/>
      <c r="S26" s="771"/>
      <c r="T26" s="770"/>
      <c r="U26" s="771"/>
      <c r="V26" s="770"/>
      <c r="W26" s="771"/>
      <c r="X26" s="772"/>
      <c r="Y26" s="3218"/>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8"/>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18"/>
      <c r="Z27" s="1810" t="str">
        <f t="shared" ref="Z27:Z40" si="13">Q27</f>
        <v>临街状况</v>
      </c>
      <c r="AA27" s="1807">
        <f t="shared" si="3"/>
        <v>1</v>
      </c>
      <c r="AB27" s="1807">
        <f t="shared" si="4"/>
        <v>1</v>
      </c>
      <c r="AC27" s="1807">
        <f t="shared" si="5"/>
        <v>1</v>
      </c>
    </row>
    <row r="28" spans="1:29" ht="27">
      <c r="A28" s="428"/>
      <c r="B28" s="633" t="s">
        <v>2680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8"/>
      <c r="Q28" s="1806" t="str">
        <f t="shared" si="8"/>
        <v>毗邻道路的类型与等级</v>
      </c>
      <c r="R28" s="774" t="s">
        <v>17</v>
      </c>
      <c r="S28" s="775">
        <f t="shared" si="10"/>
        <v>100</v>
      </c>
      <c r="T28" s="774" t="s">
        <v>17</v>
      </c>
      <c r="U28" s="775">
        <f t="shared" si="11"/>
        <v>100</v>
      </c>
      <c r="V28" s="774" t="s">
        <v>17</v>
      </c>
      <c r="W28" s="775">
        <f t="shared" si="12"/>
        <v>100</v>
      </c>
      <c r="X28" s="1809"/>
      <c r="Y28" s="3218"/>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7"/>
      <c r="M29" s="1128"/>
      <c r="N29" s="1128"/>
      <c r="O29" s="1136"/>
      <c r="P29" s="3218"/>
      <c r="Q29" s="1806"/>
      <c r="R29" s="774"/>
      <c r="S29" s="775"/>
      <c r="T29" s="774"/>
      <c r="U29" s="775"/>
      <c r="V29" s="774"/>
      <c r="W29" s="775"/>
      <c r="X29" s="1809"/>
      <c r="Y29" s="3218"/>
      <c r="Z29" s="1810"/>
      <c r="AA29" s="1807">
        <v>1</v>
      </c>
      <c r="AB29" s="1807">
        <v>1</v>
      </c>
      <c r="AC29" s="1807">
        <v>1</v>
      </c>
    </row>
    <row r="30" spans="1:29" ht="15">
      <c r="A30" s="428"/>
      <c r="B30" s="654" t="s">
        <v>2738</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8"/>
      <c r="Q30" s="1806" t="str">
        <f t="shared" si="8"/>
        <v>土地级别</v>
      </c>
      <c r="R30" s="774" t="s">
        <v>17</v>
      </c>
      <c r="S30" s="775">
        <f t="shared" si="10"/>
        <v>100</v>
      </c>
      <c r="T30" s="774" t="s">
        <v>17</v>
      </c>
      <c r="U30" s="775">
        <f t="shared" si="11"/>
        <v>100</v>
      </c>
      <c r="V30" s="774" t="s">
        <v>17</v>
      </c>
      <c r="W30" s="775">
        <f t="shared" si="12"/>
        <v>100</v>
      </c>
      <c r="X30" s="1809"/>
      <c r="Y30" s="3218"/>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8"/>
      <c r="Q31" s="1806">
        <f t="shared" si="8"/>
        <v>111</v>
      </c>
      <c r="R31" s="774" t="s">
        <v>17</v>
      </c>
      <c r="S31" s="775">
        <f t="shared" si="10"/>
        <v>100</v>
      </c>
      <c r="T31" s="774" t="s">
        <v>17</v>
      </c>
      <c r="U31" s="775">
        <f t="shared" si="11"/>
        <v>100</v>
      </c>
      <c r="V31" s="774" t="s">
        <v>17</v>
      </c>
      <c r="W31" s="775">
        <f t="shared" si="12"/>
        <v>100</v>
      </c>
      <c r="X31" s="1809"/>
      <c r="Y31" s="3218"/>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19" t="s">
        <v>2554</v>
      </c>
      <c r="Q32" s="1806">
        <f t="shared" si="8"/>
        <v>111</v>
      </c>
      <c r="R32" s="774" t="s">
        <v>17</v>
      </c>
      <c r="S32" s="775">
        <f t="shared" si="10"/>
        <v>100</v>
      </c>
      <c r="T32" s="774" t="s">
        <v>17</v>
      </c>
      <c r="U32" s="775">
        <f t="shared" si="11"/>
        <v>100</v>
      </c>
      <c r="V32" s="774" t="s">
        <v>17</v>
      </c>
      <c r="W32" s="775">
        <f t="shared" si="12"/>
        <v>100</v>
      </c>
      <c r="X32" s="1809"/>
      <c r="Y32" s="3220" t="s">
        <v>2554</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20"/>
      <c r="Q33" s="1806">
        <f t="shared" si="8"/>
        <v>111</v>
      </c>
      <c r="R33" s="777" t="s">
        <v>17</v>
      </c>
      <c r="S33" s="778">
        <f t="shared" si="10"/>
        <v>100</v>
      </c>
      <c r="T33" s="777" t="s">
        <v>17</v>
      </c>
      <c r="U33" s="778">
        <f t="shared" si="11"/>
        <v>100</v>
      </c>
      <c r="V33" s="777" t="s">
        <v>17</v>
      </c>
      <c r="W33" s="778">
        <f t="shared" si="12"/>
        <v>100</v>
      </c>
      <c r="X33" s="779"/>
      <c r="Y33" s="3220"/>
      <c r="Z33" s="780">
        <f t="shared" si="13"/>
        <v>111</v>
      </c>
      <c r="AA33" s="1807">
        <f t="shared" si="3"/>
        <v>1</v>
      </c>
      <c r="AB33" s="1807">
        <f t="shared" si="4"/>
        <v>1</v>
      </c>
      <c r="AC33" s="1807">
        <f t="shared" si="5"/>
        <v>1</v>
      </c>
    </row>
    <row r="34" spans="1:29" ht="15">
      <c r="A34" s="440" t="s">
        <v>2552</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20"/>
      <c r="Q34" s="1806" t="str">
        <f>B34</f>
        <v>宗地面积</v>
      </c>
      <c r="R34" s="774" t="s">
        <v>17</v>
      </c>
      <c r="S34" s="775" t="e">
        <f t="shared" si="10"/>
        <v>#N/A</v>
      </c>
      <c r="T34" s="774" t="s">
        <v>17</v>
      </c>
      <c r="U34" s="775" t="e">
        <f t="shared" si="11"/>
        <v>#N/A</v>
      </c>
      <c r="V34" s="774" t="s">
        <v>17</v>
      </c>
      <c r="W34" s="775" t="e">
        <f t="shared" si="12"/>
        <v>#N/A</v>
      </c>
      <c r="X34" s="1809"/>
      <c r="Y34" s="3220"/>
      <c r="Z34" s="1810" t="str">
        <f t="shared" si="13"/>
        <v>宗地面积</v>
      </c>
      <c r="AA34" s="1807" t="e">
        <f t="shared" si="3"/>
        <v>#N/A</v>
      </c>
      <c r="AB34" s="1807" t="e">
        <f t="shared" si="4"/>
        <v>#N/A</v>
      </c>
      <c r="AC34" s="1807" t="e">
        <f t="shared" si="5"/>
        <v>#N/A</v>
      </c>
    </row>
    <row r="35" spans="1:29" ht="15">
      <c r="A35" s="472"/>
      <c r="B35" s="422" t="s">
        <v>2740</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7"/>
      <c r="M35" s="1128"/>
      <c r="N35" s="1128"/>
      <c r="O35" s="1136"/>
      <c r="P35" s="3220"/>
      <c r="Q35" s="1806" t="str">
        <f t="shared" ref="Q35:Q40" si="14">B35</f>
        <v>宗地形状</v>
      </c>
      <c r="R35" s="774" t="s">
        <v>17</v>
      </c>
      <c r="S35" s="775">
        <f t="shared" si="10"/>
        <v>100</v>
      </c>
      <c r="T35" s="774" t="s">
        <v>17</v>
      </c>
      <c r="U35" s="775">
        <f t="shared" si="11"/>
        <v>100</v>
      </c>
      <c r="V35" s="774" t="s">
        <v>17</v>
      </c>
      <c r="W35" s="775">
        <f t="shared" si="12"/>
        <v>100</v>
      </c>
      <c r="X35" s="1809"/>
      <c r="Y35" s="3220"/>
      <c r="Z35" s="1810" t="str">
        <f t="shared" si="13"/>
        <v>宗地形状</v>
      </c>
      <c r="AA35" s="1807">
        <f t="shared" si="3"/>
        <v>1</v>
      </c>
      <c r="AB35" s="1807">
        <f t="shared" si="4"/>
        <v>1</v>
      </c>
      <c r="AC35" s="1807">
        <f t="shared" si="5"/>
        <v>1</v>
      </c>
    </row>
    <row r="36" spans="1:29" s="117" customFormat="1" ht="15">
      <c r="A36" s="473"/>
      <c r="B36" s="422" t="s">
        <v>2742</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9"/>
      <c r="M36" s="1130"/>
      <c r="N36" s="1130"/>
      <c r="O36" s="1131"/>
      <c r="P36" s="3220"/>
      <c r="Q36" s="1806"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2743</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7"/>
      <c r="M37" s="1128"/>
      <c r="N37" s="1128"/>
      <c r="O37" s="1136"/>
      <c r="P37" s="3220" t="s">
        <v>2554</v>
      </c>
      <c r="Q37" s="1806" t="str">
        <f t="shared" si="14"/>
        <v>工程地质条件</v>
      </c>
      <c r="R37" s="774" t="s">
        <v>17</v>
      </c>
      <c r="S37" s="775">
        <f t="shared" si="10"/>
        <v>100</v>
      </c>
      <c r="T37" s="774" t="s">
        <v>17</v>
      </c>
      <c r="U37" s="775">
        <f t="shared" si="11"/>
        <v>100</v>
      </c>
      <c r="V37" s="774" t="s">
        <v>17</v>
      </c>
      <c r="W37" s="775">
        <f t="shared" si="12"/>
        <v>100</v>
      </c>
      <c r="X37" s="1809"/>
      <c r="Y37" s="3220" t="s">
        <v>2554</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20"/>
      <c r="Q38" s="1806">
        <f t="shared" si="14"/>
        <v>111</v>
      </c>
      <c r="R38" s="774" t="s">
        <v>17</v>
      </c>
      <c r="S38" s="775">
        <f t="shared" si="10"/>
        <v>100</v>
      </c>
      <c r="T38" s="774" t="s">
        <v>17</v>
      </c>
      <c r="U38" s="775">
        <f t="shared" si="11"/>
        <v>100</v>
      </c>
      <c r="V38" s="774" t="s">
        <v>17</v>
      </c>
      <c r="W38" s="775">
        <f t="shared" si="12"/>
        <v>100</v>
      </c>
      <c r="X38" s="1809"/>
      <c r="Y38" s="3220"/>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20"/>
      <c r="Q39" s="1806">
        <f t="shared" si="14"/>
        <v>111</v>
      </c>
      <c r="R39" s="774" t="s">
        <v>17</v>
      </c>
      <c r="S39" s="775">
        <f t="shared" si="10"/>
        <v>100</v>
      </c>
      <c r="T39" s="774" t="s">
        <v>17</v>
      </c>
      <c r="U39" s="775">
        <f t="shared" si="11"/>
        <v>100</v>
      </c>
      <c r="V39" s="774" t="s">
        <v>17</v>
      </c>
      <c r="W39" s="775">
        <f t="shared" si="12"/>
        <v>100</v>
      </c>
      <c r="X39" s="1809"/>
      <c r="Y39" s="3220"/>
      <c r="Z39" s="1810">
        <f t="shared" si="13"/>
        <v>111</v>
      </c>
      <c r="AA39" s="1807">
        <f t="shared" si="3"/>
        <v>1</v>
      </c>
      <c r="AB39" s="1807">
        <f t="shared" si="4"/>
        <v>1</v>
      </c>
      <c r="AC39" s="1807">
        <f t="shared" si="5"/>
        <v>1</v>
      </c>
    </row>
    <row r="40" spans="1:29" s="471" customFormat="1" ht="15.75" thickBot="1">
      <c r="A40" s="468"/>
      <c r="B40" s="1384">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20"/>
      <c r="Q40" s="1806">
        <f t="shared" si="14"/>
        <v>111</v>
      </c>
      <c r="R40" s="777" t="s">
        <v>17</v>
      </c>
      <c r="S40" s="778">
        <f t="shared" si="10"/>
        <v>100</v>
      </c>
      <c r="T40" s="777" t="s">
        <v>17</v>
      </c>
      <c r="U40" s="778">
        <f t="shared" si="11"/>
        <v>100</v>
      </c>
      <c r="V40" s="777" t="s">
        <v>17</v>
      </c>
      <c r="W40" s="778">
        <f t="shared" si="12"/>
        <v>100</v>
      </c>
      <c r="X40" s="779"/>
      <c r="Y40" s="3220"/>
      <c r="Z40" s="780">
        <f t="shared" si="13"/>
        <v>111</v>
      </c>
      <c r="AA40" s="1807">
        <f t="shared" si="3"/>
        <v>1</v>
      </c>
      <c r="AB40" s="1807">
        <f t="shared" si="4"/>
        <v>1</v>
      </c>
      <c r="AC40" s="1807">
        <f t="shared" si="5"/>
        <v>1</v>
      </c>
    </row>
    <row r="41" spans="1:29" ht="15">
      <c r="A41" s="479" t="s">
        <v>2709</v>
      </c>
      <c r="B41" s="2698" t="s">
        <v>2787</v>
      </c>
      <c r="C41" s="682" t="s">
        <v>1</v>
      </c>
      <c r="D41" s="481"/>
      <c r="E41" s="482"/>
      <c r="F41" s="483"/>
      <c r="G41" s="484"/>
      <c r="H41" s="485"/>
      <c r="I41" s="482"/>
      <c r="J41" s="485"/>
      <c r="K41" s="783"/>
      <c r="L41" s="1140"/>
      <c r="M41" s="1128"/>
      <c r="N41" s="1128"/>
      <c r="O41" s="1141"/>
      <c r="P41" s="3215" t="str">
        <f>A41</f>
        <v>成交单价</v>
      </c>
      <c r="Q41" s="3215"/>
      <c r="R41" s="3221">
        <f>E41</f>
        <v>0</v>
      </c>
      <c r="S41" s="3221"/>
      <c r="T41" s="3221">
        <f>G41</f>
        <v>0</v>
      </c>
      <c r="U41" s="3221"/>
      <c r="V41" s="3221">
        <f>I41</f>
        <v>0</v>
      </c>
      <c r="W41" s="3221"/>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0"/>
      <c r="M42" s="1128"/>
      <c r="N42" s="1128"/>
      <c r="O42" s="1141"/>
      <c r="P42" s="3215" t="str">
        <f>A42</f>
        <v>比较价值（元/平方米）</v>
      </c>
      <c r="Q42" s="3215"/>
      <c r="R42" s="3208" t="e">
        <f>ROUND(PRODUCT(R41,AA7:AA40),0)</f>
        <v>#DIV/0!</v>
      </c>
      <c r="S42" s="3208"/>
      <c r="T42" s="3208" t="e">
        <f>ROUND(PRODUCT(T41,AB7:AB40),0)</f>
        <v>#DIV/0!</v>
      </c>
      <c r="U42" s="3208"/>
      <c r="V42" s="3208" t="e">
        <f>ROUND(PRODUCT(V41,AC7:AC40),0)</f>
        <v>#DIV/0!</v>
      </c>
      <c r="W42" s="3208"/>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0"/>
      <c r="M43" s="1128"/>
      <c r="N43" s="1128"/>
      <c r="O43" s="1141"/>
      <c r="P43" s="3209" t="str">
        <f>A43</f>
        <v>估价对象XX用房的比较价值（楼面单价，元/平方米）</v>
      </c>
      <c r="Q43" s="3210"/>
      <c r="R43" s="3211" t="e">
        <f>ROUND(AVERAGE(R42:V42),0)</f>
        <v>#DIV/0!</v>
      </c>
      <c r="S43" s="3211"/>
      <c r="T43" s="3211"/>
      <c r="U43" s="3211"/>
      <c r="V43" s="3211"/>
      <c r="W43" s="3211"/>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2746</v>
      </c>
      <c r="B50" s="685" t="s">
        <v>2747</v>
      </c>
      <c r="C50" s="2699" t="s">
        <v>2748</v>
      </c>
      <c r="D50" s="2700" t="s">
        <v>2749</v>
      </c>
      <c r="E50" s="686" t="s">
        <v>2750</v>
      </c>
      <c r="F50" s="687" t="s">
        <v>2751</v>
      </c>
      <c r="G50" s="3212" t="s">
        <v>2752</v>
      </c>
      <c r="H50" s="3213"/>
      <c r="I50" s="1810" t="s">
        <v>2788</v>
      </c>
      <c r="J50" s="1810" t="str">
        <f>项目基本情况!F35</f>
        <v>重庆市</v>
      </c>
      <c r="K50" s="2702" t="s">
        <v>2754</v>
      </c>
      <c r="L50" s="1103"/>
      <c r="M50" s="1141"/>
      <c r="N50" s="1141"/>
      <c r="O50" s="1141"/>
    </row>
    <row r="51" spans="1:17" s="692" customFormat="1">
      <c r="A51" s="688" t="s">
        <v>2755</v>
      </c>
      <c r="B51" s="689" t="e">
        <f>C43</f>
        <v>#DIV/0!</v>
      </c>
      <c r="C51" s="690">
        <v>1</v>
      </c>
      <c r="D51" s="1160">
        <v>1</v>
      </c>
      <c r="E51" s="690">
        <f>'数据-汇总表'!E8+'数据-汇总表'!E9</f>
        <v>214254.55</v>
      </c>
      <c r="F51" s="691" t="e">
        <f t="shared" ref="F51:F60" si="15">ROUND(B51*E51/10000,0)</f>
        <v>#DIV/0!</v>
      </c>
      <c r="G51" s="3214"/>
      <c r="H51" s="3215"/>
      <c r="I51" s="939">
        <v>1</v>
      </c>
      <c r="J51" s="939">
        <v>1</v>
      </c>
      <c r="K51" s="1142"/>
      <c r="L51" s="938"/>
      <c r="M51" s="938"/>
      <c r="N51" s="938"/>
      <c r="O51" s="938"/>
    </row>
    <row r="52" spans="1:17" s="692" customFormat="1">
      <c r="A52" s="693" t="s">
        <v>2756</v>
      </c>
      <c r="B52" s="262" t="e">
        <f>ROUND($C$43*C52*D52,0)</f>
        <v>#DIV/0!</v>
      </c>
      <c r="C52" s="200">
        <f t="shared" ref="C52:C60" si="16">IF($C$50="北京市系数",I52,J52)</f>
        <v>0</v>
      </c>
      <c r="D52" s="1161">
        <v>0.25</v>
      </c>
      <c r="E52" s="694"/>
      <c r="F52" s="691" t="e">
        <f t="shared" si="15"/>
        <v>#DIV/0!</v>
      </c>
      <c r="G52" s="3216" t="s">
        <v>2757</v>
      </c>
      <c r="H52" s="1101">
        <f>项目基本情况!B37</f>
        <v>0</v>
      </c>
      <c r="I52" s="939">
        <f>SUMIF(修正!A45:A56,H52,修正!B45:B56)</f>
        <v>0</v>
      </c>
      <c r="J52" s="940"/>
      <c r="K52" s="1141"/>
      <c r="L52" s="938"/>
      <c r="M52" s="938"/>
      <c r="N52" s="938"/>
      <c r="O52" s="938"/>
    </row>
    <row r="53" spans="1:17" s="692" customFormat="1">
      <c r="A53" s="693" t="s">
        <v>2758</v>
      </c>
      <c r="B53" s="262" t="e">
        <f t="shared" ref="B53:B60" si="17">ROUND($C$43*C53*D53,0)</f>
        <v>#DIV/0!</v>
      </c>
      <c r="C53" s="200">
        <f t="shared" si="16"/>
        <v>0</v>
      </c>
      <c r="D53" s="1161">
        <v>0.25</v>
      </c>
      <c r="E53" s="694"/>
      <c r="F53" s="691" t="e">
        <f t="shared" si="15"/>
        <v>#DIV/0!</v>
      </c>
      <c r="G53" s="3216"/>
      <c r="H53" s="1101">
        <f>项目基本情况!B37</f>
        <v>0</v>
      </c>
      <c r="I53" s="939">
        <f>SUMIF(修正!A45:A56,H53,修正!C45:C56)</f>
        <v>0</v>
      </c>
      <c r="J53" s="940"/>
      <c r="K53" s="1142"/>
      <c r="L53" s="938"/>
      <c r="M53" s="938"/>
      <c r="N53" s="938"/>
      <c r="O53" s="938"/>
    </row>
    <row r="54" spans="1:17" s="692" customFormat="1">
      <c r="A54" s="693" t="s">
        <v>2759</v>
      </c>
      <c r="B54" s="262" t="e">
        <f t="shared" si="17"/>
        <v>#DIV/0!</v>
      </c>
      <c r="C54" s="200">
        <f t="shared" si="16"/>
        <v>0</v>
      </c>
      <c r="D54" s="1161">
        <v>0.25</v>
      </c>
      <c r="E54" s="694"/>
      <c r="F54" s="691" t="e">
        <f t="shared" si="15"/>
        <v>#DIV/0!</v>
      </c>
      <c r="G54" s="3216"/>
      <c r="H54" s="1101">
        <f>项目基本情况!B37</f>
        <v>0</v>
      </c>
      <c r="I54" s="939">
        <f>SUMIF(修正!A45:A56,H54,修正!D45:D56)</f>
        <v>0</v>
      </c>
      <c r="J54" s="940"/>
      <c r="K54" s="1141"/>
      <c r="L54" s="938"/>
      <c r="M54" s="938"/>
      <c r="N54" s="938"/>
      <c r="O54" s="938"/>
    </row>
    <row r="55" spans="1:17" s="692" customFormat="1">
      <c r="A55" s="693" t="s">
        <v>2760</v>
      </c>
      <c r="B55" s="262" t="e">
        <f t="shared" si="17"/>
        <v>#DIV/0!</v>
      </c>
      <c r="C55" s="200">
        <f t="shared" si="16"/>
        <v>0</v>
      </c>
      <c r="D55" s="1161">
        <v>0.25</v>
      </c>
      <c r="E55" s="694"/>
      <c r="F55" s="691" t="e">
        <f t="shared" si="15"/>
        <v>#DIV/0!</v>
      </c>
      <c r="G55" s="3216"/>
      <c r="H55" s="1101">
        <f>项目基本情况!B37</f>
        <v>0</v>
      </c>
      <c r="I55" s="939">
        <f>SUMIF(修正!A45:A56,H55,修正!E45:E56)</f>
        <v>0</v>
      </c>
      <c r="J55" s="940"/>
      <c r="K55" s="1142"/>
      <c r="L55" s="938"/>
      <c r="M55" s="938"/>
      <c r="N55" s="938"/>
      <c r="O55" s="938"/>
    </row>
    <row r="56" spans="1:17" s="692" customFormat="1">
      <c r="A56" s="693" t="s">
        <v>2761</v>
      </c>
      <c r="B56" s="262" t="e">
        <f t="shared" si="17"/>
        <v>#DIV/0!</v>
      </c>
      <c r="C56" s="200">
        <f t="shared" si="16"/>
        <v>0</v>
      </c>
      <c r="D56" s="1161">
        <v>0.25</v>
      </c>
      <c r="E56" s="261">
        <f>'数据-汇总表'!E11</f>
        <v>0</v>
      </c>
      <c r="F56" s="691" t="e">
        <f t="shared" si="15"/>
        <v>#DIV/0!</v>
      </c>
      <c r="G56" s="2703" t="s">
        <v>2762</v>
      </c>
      <c r="H56" s="1101">
        <f>项目基本情况!C37</f>
        <v>0</v>
      </c>
      <c r="I56" s="939">
        <f>SUMIF(修正!A45:A56,H56,修正!F45:F56)</f>
        <v>0</v>
      </c>
      <c r="J56" s="940"/>
      <c r="K56" s="1141"/>
      <c r="L56" s="938"/>
      <c r="M56" s="938"/>
      <c r="N56" s="938"/>
      <c r="O56" s="938"/>
    </row>
    <row r="57" spans="1:17" s="692" customFormat="1">
      <c r="A57" s="693" t="s">
        <v>2763</v>
      </c>
      <c r="B57" s="262" t="e">
        <f t="shared" si="17"/>
        <v>#DIV/0!</v>
      </c>
      <c r="C57" s="200">
        <f t="shared" si="16"/>
        <v>0</v>
      </c>
      <c r="D57" s="1161">
        <v>0.25</v>
      </c>
      <c r="E57" s="261">
        <f>'数据-汇总表'!E12</f>
        <v>0</v>
      </c>
      <c r="F57" s="691" t="e">
        <f t="shared" si="15"/>
        <v>#DIV/0!</v>
      </c>
      <c r="G57" s="1106" t="s">
        <v>2764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2765</v>
      </c>
      <c r="B58" s="262" t="e">
        <f t="shared" si="17"/>
        <v>#DIV/0!</v>
      </c>
      <c r="C58" s="200">
        <f t="shared" si="16"/>
        <v>0</v>
      </c>
      <c r="D58" s="1161">
        <v>0.25</v>
      </c>
      <c r="E58" s="261">
        <f>'数据-汇总表'!E13</f>
        <v>0</v>
      </c>
      <c r="F58" s="691" t="e">
        <f t="shared" si="15"/>
        <v>#DIV/0!</v>
      </c>
      <c r="G58" s="1106" t="s">
        <v>2766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2767</v>
      </c>
      <c r="B59" s="262" t="e">
        <f t="shared" si="17"/>
        <v>#DIV/0!</v>
      </c>
      <c r="C59" s="200">
        <f t="shared" si="16"/>
        <v>0</v>
      </c>
      <c r="D59" s="1161">
        <v>0.25</v>
      </c>
      <c r="E59" s="261">
        <f>'数据-汇总表'!E14</f>
        <v>115386.06</v>
      </c>
      <c r="F59" s="691" t="e">
        <f t="shared" si="15"/>
        <v>#DIV/0!</v>
      </c>
      <c r="G59" s="2703" t="s">
        <v>2757</v>
      </c>
      <c r="H59" s="1101">
        <f>项目基本情况!B37</f>
        <v>0</v>
      </c>
      <c r="I59" s="939">
        <f>SUMIF(修正!A45:A56,H59,修正!H45:H56)</f>
        <v>0</v>
      </c>
      <c r="J59" s="940"/>
      <c r="K59" s="1142"/>
      <c r="L59" s="938"/>
      <c r="M59" s="938"/>
      <c r="N59" s="938"/>
      <c r="O59" s="938"/>
    </row>
    <row r="60" spans="1:17" s="692" customFormat="1" ht="15" thickBot="1">
      <c r="A60" s="693" t="s">
        <v>2768</v>
      </c>
      <c r="B60" s="262" t="e">
        <f t="shared" si="17"/>
        <v>#DIV/0!</v>
      </c>
      <c r="C60" s="200">
        <f t="shared" si="16"/>
        <v>0</v>
      </c>
      <c r="D60" s="1161">
        <v>0.25</v>
      </c>
      <c r="E60" s="261">
        <f>'数据-汇总表'!E15</f>
        <v>0</v>
      </c>
      <c r="F60" s="691" t="e">
        <f t="shared" si="15"/>
        <v>#DIV/0!</v>
      </c>
      <c r="G60" s="2704" t="s">
        <v>2762</v>
      </c>
      <c r="H60" s="1111">
        <f>项目基本情况!C37</f>
        <v>0</v>
      </c>
      <c r="I60" s="939">
        <f>SUMIF(修正!A45:A56,H60,修正!H45:H56)</f>
        <v>0</v>
      </c>
      <c r="J60" s="940"/>
      <c r="K60" s="1141"/>
      <c r="L60" s="938"/>
      <c r="M60" s="938"/>
      <c r="N60" s="938"/>
      <c r="O60" s="938"/>
    </row>
    <row r="61" spans="1:17" s="692" customFormat="1" ht="15" thickBot="1">
      <c r="A61" s="695" t="s">
        <v>2769</v>
      </c>
      <c r="B61" s="696" t="s">
        <v>28</v>
      </c>
      <c r="C61" s="696" t="s">
        <v>29</v>
      </c>
      <c r="D61" s="696" t="s">
        <v>1029</v>
      </c>
      <c r="E61" s="696">
        <f>IF(B41="楼面地价",SUM(E51:E60),'数据-汇总表'!D3)</f>
        <v>25136</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2663</v>
      </c>
      <c r="B64" s="759"/>
      <c r="C64" s="764"/>
      <c r="D64" s="764"/>
      <c r="E64" s="764"/>
      <c r="F64" s="765"/>
      <c r="G64" s="765"/>
      <c r="H64" s="764"/>
      <c r="I64" s="764"/>
      <c r="J64" s="764"/>
      <c r="K64" s="766"/>
      <c r="L64" s="767"/>
      <c r="M64" s="764"/>
      <c r="N64" s="764"/>
      <c r="O64" s="1156"/>
      <c r="P64" s="503"/>
      <c r="Q64" s="504"/>
    </row>
    <row r="65" spans="1:17" s="508" customFormat="1" ht="15">
      <c r="A65" s="2705" t="s">
        <v>2770</v>
      </c>
      <c r="B65" s="1356"/>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0" t="s">
        <v>2789</v>
      </c>
      <c r="B66" s="332" t="str">
        <f>"北京市平均增长率"&amp;TEXT(基准地价修正!P24,"0.00%")</f>
        <v>北京市平均增长率1.41%</v>
      </c>
      <c r="C66" s="603">
        <v>100</v>
      </c>
      <c r="D66" s="595"/>
      <c r="E66" s="595"/>
      <c r="F66" s="595"/>
      <c r="G66" s="595"/>
      <c r="H66" s="595"/>
      <c r="I66" s="595"/>
      <c r="J66" s="595"/>
      <c r="K66" s="595"/>
      <c r="L66" s="595"/>
      <c r="M66" s="1564"/>
      <c r="N66" s="1564"/>
      <c r="O66" s="1565"/>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2577</v>
      </c>
      <c r="B70" s="528" t="s">
        <v>2543</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2546</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2772</v>
      </c>
      <c r="C87" s="573" t="s">
        <v>2586</v>
      </c>
      <c r="D87" s="573" t="s">
        <v>2587</v>
      </c>
      <c r="E87" s="573" t="s">
        <v>2588</v>
      </c>
      <c r="F87" s="573" t="s">
        <v>2589</v>
      </c>
      <c r="G87" s="573" t="s">
        <v>2590</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2773</v>
      </c>
      <c r="C89" s="573" t="s">
        <v>2586</v>
      </c>
      <c r="D89" s="573" t="s">
        <v>2587</v>
      </c>
      <c r="E89" s="573" t="s">
        <v>2588</v>
      </c>
      <c r="F89" s="573" t="s">
        <v>2589</v>
      </c>
      <c r="G89" s="573" t="s">
        <v>2590</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2790</v>
      </c>
      <c r="C93" s="660" t="s">
        <v>2664</v>
      </c>
      <c r="D93" s="660" t="s">
        <v>2665</v>
      </c>
      <c r="E93" s="660" t="s">
        <v>2666</v>
      </c>
      <c r="F93" s="660" t="s">
        <v>2667</v>
      </c>
      <c r="G93" s="660" t="s">
        <v>2668</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2680</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2738</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2552</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2779</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2781</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2782</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40" t="s">
        <v>2791</v>
      </c>
      <c r="B1" s="241"/>
      <c r="C1" s="245" t="s">
        <v>2792</v>
      </c>
      <c r="D1" s="388">
        <f>SUM(D29:D30,D33:D39)</f>
        <v>0</v>
      </c>
      <c r="E1" s="2711"/>
      <c r="F1" s="2711"/>
      <c r="G1" s="2711"/>
      <c r="H1" s="2711"/>
      <c r="I1" s="2711"/>
      <c r="J1" s="2711"/>
      <c r="K1" s="1367"/>
      <c r="L1" s="2712" t="s">
        <v>2793</v>
      </c>
      <c r="M1" s="1077">
        <f>SUMPRODUCT((区片价!B5:B9=I2)*(区片价!C3:F3=E2)*(区片价!C5:F9))</f>
        <v>0</v>
      </c>
      <c r="N1" s="1080">
        <f>SUMPRODUCT((因素修正幅度!B5:B9=I2)*(因素修正幅度!C3:F3=E2)*(因素修正幅度!C5:F9))</f>
        <v>0</v>
      </c>
      <c r="O1" s="2713"/>
      <c r="P1" s="2713"/>
      <c r="Q1" s="1367"/>
      <c r="R1" s="1598" t="s">
        <v>2794</v>
      </c>
      <c r="S1" s="1598" t="s">
        <v>2795</v>
      </c>
      <c r="T1" s="1598" t="s">
        <v>2796</v>
      </c>
      <c r="U1" s="1598" t="s">
        <v>2797</v>
      </c>
      <c r="V1" s="1598" t="s">
        <v>2798</v>
      </c>
      <c r="W1" s="1602"/>
      <c r="X1" s="1602"/>
      <c r="Y1" s="1602"/>
      <c r="Z1" s="1602"/>
      <c r="AA1" s="1602"/>
      <c r="AB1" s="1602"/>
      <c r="AC1" s="1603"/>
      <c r="AD1" s="1604"/>
      <c r="AE1" s="1604"/>
      <c r="AF1" s="1604"/>
      <c r="AG1" s="1604"/>
      <c r="AH1" s="1604"/>
      <c r="AI1" s="1604"/>
      <c r="AJ1" s="1605"/>
    </row>
    <row r="2" spans="1:36" ht="15.75">
      <c r="A2" s="245" t="s">
        <v>2799</v>
      </c>
      <c r="B2" s="248" t="e">
        <f>C26</f>
        <v>#DIV/0!</v>
      </c>
      <c r="C2" s="2715" t="s">
        <v>2800</v>
      </c>
      <c r="D2" s="2716" t="s">
        <v>2801</v>
      </c>
      <c r="E2" s="2717"/>
      <c r="F2" s="2716" t="s">
        <v>2802</v>
      </c>
      <c r="G2" s="2718">
        <f>IF(E2="商业",项目基本情况!B37,IF(E2="办公",项目基本情况!C37,IF(E2="住宅",项目基本情况!D37,项目基本情况!E37)))</f>
        <v>0</v>
      </c>
      <c r="H2" s="2716" t="s">
        <v>2803</v>
      </c>
      <c r="I2" s="2718">
        <f>IF(E2="商业",项目基本情况!B38,IF(E2="办公",项目基本情况!C38,IF(E2="住宅",项目基本情况!D38,项目基本情况!E38)))</f>
        <v>0</v>
      </c>
      <c r="J2" s="2719"/>
      <c r="K2" s="1367"/>
      <c r="L2" s="2720" t="s">
        <v>2804</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2805</v>
      </c>
      <c r="B3" s="248" t="e">
        <f>ROUND(B2*10000/D1,0)</f>
        <v>#DIV/0!</v>
      </c>
      <c r="C3" s="2715" t="s">
        <v>2806</v>
      </c>
      <c r="D3" s="2716" t="s">
        <v>2807</v>
      </c>
      <c r="E3" s="2721"/>
      <c r="F3" s="2722" t="s">
        <v>2808</v>
      </c>
      <c r="G3" s="910">
        <f>IF(F3="宗地容积率",'数据-汇总表'!I4,IF(F3="估价对象容积率",'数据-汇总表'!I6,'数据-汇总表'!I7))</f>
        <v>8.8699999999999992</v>
      </c>
      <c r="H3" s="198" t="s">
        <v>2809</v>
      </c>
      <c r="I3" s="941"/>
      <c r="J3" s="2719" t="s">
        <v>2810</v>
      </c>
      <c r="K3" s="1367"/>
      <c r="L3" s="2720" t="s">
        <v>2811</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13"/>
      <c r="B4" s="3314"/>
      <c r="C4" s="3314"/>
      <c r="D4" s="3315"/>
      <c r="E4" s="3315"/>
      <c r="F4" s="3315"/>
      <c r="G4" s="3315"/>
      <c r="H4" s="3315"/>
      <c r="I4" s="3315"/>
      <c r="J4" s="3316"/>
      <c r="K4" s="1367"/>
      <c r="L4" s="2720" t="s">
        <v>2812</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2813</v>
      </c>
      <c r="C5" s="911" t="e">
        <f>ROUND(IF(E2="商业",IF(F16="增加",C6*C7+C16,C6*C7-C16),IF(E2="住宅",IF(F16="增加",C6*C12+C16,C6*C12-C16),IF(F16="增加",C6+C16,C6-C16))),0)</f>
        <v>#DIV/0!</v>
      </c>
      <c r="D5" s="1783">
        <f>ROUND(IF(E2="商业",IF(F16="增加",C6+C16,C6-C16)),0)</f>
        <v>0</v>
      </c>
      <c r="E5" s="2725"/>
      <c r="F5" s="2725"/>
      <c r="G5" s="2726"/>
      <c r="H5" s="2726"/>
      <c r="I5" s="2726"/>
      <c r="J5" s="2727"/>
      <c r="K5" s="2728"/>
      <c r="L5" s="2720" t="s">
        <v>2814</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2815</v>
      </c>
      <c r="B6" s="2734" t="s">
        <v>2816</v>
      </c>
      <c r="C6" s="912">
        <f>SUMIF(L1:L12,G2,M1:M12)</f>
        <v>0</v>
      </c>
      <c r="D6" s="2735" t="s">
        <v>2817</v>
      </c>
      <c r="E6" s="2736"/>
      <c r="F6" s="2736"/>
      <c r="G6" s="2737"/>
      <c r="H6" s="2737"/>
      <c r="I6" s="2737"/>
      <c r="J6" s="2738"/>
      <c r="K6" s="1838"/>
      <c r="L6" s="2720" t="s">
        <v>2818</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17" t="str">
        <f>IF(E2="商业",IF(C8="不临58条商业街","",2),"")</f>
        <v/>
      </c>
      <c r="B7" s="2739" t="s">
        <v>2819</v>
      </c>
      <c r="C7" s="913" t="e">
        <f>IF(C8="不临58条商业街",1,ROUND(1+(1.6*E8+1.2*E9+0.8*E10+0.4*E11)*C9,4))</f>
        <v>#DIV/0!</v>
      </c>
      <c r="D7" s="2740" t="s">
        <v>2820</v>
      </c>
      <c r="E7" s="942"/>
      <c r="F7" s="2741"/>
      <c r="G7" s="2742"/>
      <c r="H7" s="2742"/>
      <c r="I7" s="2742"/>
      <c r="J7" s="2743"/>
      <c r="K7" s="1838"/>
      <c r="L7" s="2720" t="s">
        <v>2821</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2822</v>
      </c>
      <c r="X7" s="1600">
        <f>G2</f>
        <v>0</v>
      </c>
      <c r="Y7" s="1600" t="s">
        <v>2823</v>
      </c>
      <c r="Z7" s="1601">
        <f>G3</f>
        <v>8.8699999999999992</v>
      </c>
      <c r="AA7" s="1602"/>
      <c r="AB7" s="1602"/>
      <c r="AC7" s="1603"/>
      <c r="AD7" s="1604"/>
      <c r="AE7" s="1604"/>
      <c r="AF7" s="1604"/>
      <c r="AG7" s="1604"/>
      <c r="AH7" s="1604"/>
      <c r="AI7" s="1604"/>
      <c r="AJ7" s="1605"/>
    </row>
    <row r="8" spans="1:36" ht="15">
      <c r="A8" s="3318"/>
      <c r="B8" s="198" t="s">
        <v>2824</v>
      </c>
      <c r="C8" s="2744"/>
      <c r="D8" s="914" t="s">
        <v>139</v>
      </c>
      <c r="E8" s="915" t="e">
        <f>ROUND(C11/E7,4)</f>
        <v>#DIV/0!</v>
      </c>
      <c r="F8" s="2745" t="s">
        <v>2825</v>
      </c>
      <c r="G8" s="2746"/>
      <c r="H8" s="2746"/>
      <c r="I8" s="2746"/>
      <c r="J8" s="2747"/>
      <c r="K8" s="1367"/>
      <c r="L8" s="2720" t="s">
        <v>2826</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310" t="s">
        <v>2827</v>
      </c>
      <c r="X8" s="3311"/>
      <c r="Y8" s="1606" t="s">
        <v>2828</v>
      </c>
      <c r="Z8" s="1606" t="s">
        <v>2829</v>
      </c>
      <c r="AA8" s="1606" t="s">
        <v>2830</v>
      </c>
      <c r="AB8" s="1606" t="s">
        <v>2831</v>
      </c>
      <c r="AC8" s="1606" t="s">
        <v>2832</v>
      </c>
      <c r="AD8" s="1606" t="s">
        <v>2833</v>
      </c>
      <c r="AE8" s="1606" t="s">
        <v>2834</v>
      </c>
      <c r="AF8" s="1606" t="s">
        <v>2835</v>
      </c>
      <c r="AG8" s="1606" t="s">
        <v>2836</v>
      </c>
      <c r="AH8" s="1606" t="s">
        <v>2837</v>
      </c>
      <c r="AI8" s="1606" t="s">
        <v>2838</v>
      </c>
      <c r="AJ8" s="1606" t="s">
        <v>2839</v>
      </c>
    </row>
    <row r="9" spans="1:36" ht="15">
      <c r="A9" s="3318"/>
      <c r="B9" s="198" t="s">
        <v>2840</v>
      </c>
      <c r="C9" s="916">
        <f>SUMIF(修正!C59:C119,C8,修正!E59:E119)</f>
        <v>0</v>
      </c>
      <c r="D9" s="200" t="s">
        <v>140</v>
      </c>
      <c r="E9" s="200" t="e">
        <f>ROUND(C11/E7,4)</f>
        <v>#DIV/0!</v>
      </c>
      <c r="F9" s="2745" t="s">
        <v>2841</v>
      </c>
      <c r="G9" s="2746"/>
      <c r="H9" s="2746"/>
      <c r="I9" s="2746"/>
      <c r="J9" s="2747"/>
      <c r="K9" s="1367"/>
      <c r="L9" s="2720" t="s">
        <v>2842</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12" t="s">
        <v>2843</v>
      </c>
      <c r="X9" s="1607" t="s">
        <v>2844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8"/>
      <c r="B10" s="198" t="s">
        <v>2845</v>
      </c>
      <c r="C10" s="200">
        <f>SUMIF(修正!C59:C119,C8,修正!F59:F119)</f>
        <v>0</v>
      </c>
      <c r="D10" s="200" t="s">
        <v>141</v>
      </c>
      <c r="E10" s="200" t="e">
        <f>ROUND(C11/E7,4)</f>
        <v>#DIV/0!</v>
      </c>
      <c r="F10" s="2745" t="s">
        <v>2846</v>
      </c>
      <c r="G10" s="2746"/>
      <c r="H10" s="2746"/>
      <c r="I10" s="2746"/>
      <c r="J10" s="2747"/>
      <c r="K10" s="1367"/>
      <c r="L10" s="2720" t="s">
        <v>2847</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1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18"/>
      <c r="B11" s="2748" t="s">
        <v>2848</v>
      </c>
      <c r="C11" s="917">
        <f>C10/4</f>
        <v>0</v>
      </c>
      <c r="D11" s="917" t="s">
        <v>142</v>
      </c>
      <c r="E11" s="917" t="e">
        <f>ROUND(C11/E7,4)</f>
        <v>#DIV/0!</v>
      </c>
      <c r="F11" s="2749" t="s">
        <v>2849</v>
      </c>
      <c r="G11" s="2750"/>
      <c r="H11" s="2750"/>
      <c r="I11" s="2750"/>
      <c r="J11" s="2751"/>
      <c r="K11" s="1367"/>
      <c r="L11" s="2720" t="s">
        <v>2850</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12" t="s">
        <v>2851</v>
      </c>
      <c r="X11" s="1610" t="s">
        <v>2852</v>
      </c>
      <c r="Y11" s="1611">
        <f>$G$3</f>
        <v>8.8699999999999992</v>
      </c>
      <c r="Z11" s="1611">
        <f t="shared" ref="Z11:AJ11" si="3">$G$3</f>
        <v>8.8699999999999992</v>
      </c>
      <c r="AA11" s="1611">
        <f t="shared" si="3"/>
        <v>8.8699999999999992</v>
      </c>
      <c r="AB11" s="1611">
        <f t="shared" si="3"/>
        <v>8.8699999999999992</v>
      </c>
      <c r="AC11" s="1611">
        <f t="shared" si="3"/>
        <v>8.8699999999999992</v>
      </c>
      <c r="AD11" s="1611">
        <f t="shared" si="3"/>
        <v>8.8699999999999992</v>
      </c>
      <c r="AE11" s="1611">
        <f t="shared" si="3"/>
        <v>8.8699999999999992</v>
      </c>
      <c r="AF11" s="1611">
        <f t="shared" si="3"/>
        <v>8.8699999999999992</v>
      </c>
      <c r="AG11" s="1611">
        <f t="shared" si="3"/>
        <v>8.8699999999999992</v>
      </c>
      <c r="AH11" s="1611">
        <f t="shared" si="3"/>
        <v>8.8699999999999992</v>
      </c>
      <c r="AI11" s="1611">
        <f t="shared" si="3"/>
        <v>8.8699999999999992</v>
      </c>
      <c r="AJ11" s="1611">
        <f t="shared" si="3"/>
        <v>8.8699999999999992</v>
      </c>
    </row>
    <row r="12" spans="1:36" ht="25.5" thickBot="1">
      <c r="A12" s="3317" t="s">
        <v>2853</v>
      </c>
      <c r="B12" s="2752" t="s">
        <v>2854</v>
      </c>
      <c r="C12" s="913">
        <f>ROUND(C15*D15*E15*F15*G15*H15*I15*J15,4)</f>
        <v>1</v>
      </c>
      <c r="D12" s="2753" t="s">
        <v>2855</v>
      </c>
      <c r="E12" s="2754"/>
      <c r="F12" s="2754"/>
      <c r="G12" s="2755"/>
      <c r="H12" s="2755"/>
      <c r="I12" s="2755"/>
      <c r="J12" s="2756"/>
      <c r="K12" s="1367"/>
      <c r="L12" s="2757" t="s">
        <v>2856</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12"/>
      <c r="X12" s="1612" t="s">
        <v>2857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19"/>
      <c r="B13" s="2758" t="s">
        <v>2858</v>
      </c>
      <c r="C13" s="2759" t="s">
        <v>2859</v>
      </c>
      <c r="D13" s="1804" t="s">
        <v>2860</v>
      </c>
      <c r="E13" s="1804" t="s">
        <v>2861</v>
      </c>
      <c r="F13" s="30" t="s">
        <v>2862</v>
      </c>
      <c r="G13" s="2760" t="s">
        <v>2863</v>
      </c>
      <c r="H13" s="2760" t="s">
        <v>2863</v>
      </c>
      <c r="I13" s="2760" t="s">
        <v>2863</v>
      </c>
      <c r="J13" s="2761" t="s">
        <v>2863</v>
      </c>
      <c r="K13" s="1367"/>
      <c r="L13" s="1367"/>
      <c r="M13" s="1367"/>
      <c r="N13" s="1367"/>
      <c r="O13" s="1367"/>
      <c r="P13" s="1367"/>
      <c r="Q13" s="1367"/>
      <c r="R13" s="1598">
        <v>12</v>
      </c>
      <c r="S13" s="1599"/>
      <c r="T13" s="1598" t="e">
        <f t="shared" si="0"/>
        <v>#DIV/0!</v>
      </c>
      <c r="U13" s="1599"/>
      <c r="V13" s="1598" t="e">
        <f t="shared" si="1"/>
        <v>#DIV/0!</v>
      </c>
      <c r="W13" s="3312"/>
      <c r="X13" s="1612"/>
      <c r="Y13" s="1609">
        <f>(-0.163*(Y12^2)-0.59*Y12+7617)*(10^(-4))/Y11</f>
        <v>8.5873731679819626E-2</v>
      </c>
      <c r="Z13" s="1609">
        <f t="shared" ref="Z13:AJ13" si="5">(-0.163*(Z12^2)-0.59*Z12+7617)*(10^(-4))/Z11</f>
        <v>8.5873731679819626E-2</v>
      </c>
      <c r="AA13" s="1609">
        <f t="shared" si="5"/>
        <v>8.5873731679819626E-2</v>
      </c>
      <c r="AB13" s="1609">
        <f t="shared" si="5"/>
        <v>8.5873731679819626E-2</v>
      </c>
      <c r="AC13" s="1609">
        <f t="shared" si="5"/>
        <v>8.5873731679819626E-2</v>
      </c>
      <c r="AD13" s="1609">
        <f t="shared" si="5"/>
        <v>8.5873731679819626E-2</v>
      </c>
      <c r="AE13" s="1609">
        <f t="shared" si="5"/>
        <v>8.5873731679819626E-2</v>
      </c>
      <c r="AF13" s="1609">
        <f t="shared" si="5"/>
        <v>8.5873731679819626E-2</v>
      </c>
      <c r="AG13" s="1609">
        <f t="shared" si="5"/>
        <v>8.5873731679819626E-2</v>
      </c>
      <c r="AH13" s="1609">
        <f t="shared" si="5"/>
        <v>8.5873731679819626E-2</v>
      </c>
      <c r="AI13" s="1609">
        <f t="shared" si="5"/>
        <v>8.5873731679819626E-2</v>
      </c>
      <c r="AJ13" s="1609">
        <f t="shared" si="5"/>
        <v>8.5873731679819626E-2</v>
      </c>
    </row>
    <row r="14" spans="1:36" ht="15">
      <c r="A14" s="3319"/>
      <c r="B14" s="2762"/>
      <c r="C14" s="2763"/>
      <c r="D14" s="2764"/>
      <c r="E14" s="2764"/>
      <c r="F14" s="2765"/>
      <c r="G14" s="2766" t="s">
        <v>2864</v>
      </c>
      <c r="H14" s="2767"/>
      <c r="I14" s="2768"/>
      <c r="J14" s="2769"/>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20"/>
      <c r="B15" s="2770" t="s">
        <v>2865</v>
      </c>
      <c r="C15" s="229">
        <f>IF(C14="有",1.1,1)</f>
        <v>1</v>
      </c>
      <c r="D15" s="229">
        <f>IF(D14="有",1.1,1)</f>
        <v>1</v>
      </c>
      <c r="E15" s="229">
        <f>IF(E14="有",1.1,1)</f>
        <v>1</v>
      </c>
      <c r="F15" s="229">
        <f>IF(F14="500米范围内",1.2,IF(F14="500-1000米",1.1,1))</f>
        <v>1</v>
      </c>
      <c r="G15" s="943">
        <v>1</v>
      </c>
      <c r="H15" s="943">
        <v>1</v>
      </c>
      <c r="I15" s="943">
        <v>1</v>
      </c>
      <c r="J15" s="944">
        <v>1</v>
      </c>
      <c r="K15" s="1367"/>
      <c r="L15" s="2771" t="s">
        <v>2801</v>
      </c>
      <c r="M15" s="914" t="s">
        <v>2866</v>
      </c>
      <c r="N15" s="914" t="s">
        <v>2867</v>
      </c>
      <c r="O15" s="914" t="s">
        <v>2868</v>
      </c>
      <c r="P15" s="2772" t="s">
        <v>2869</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17" t="s">
        <v>2870</v>
      </c>
      <c r="B16" s="2739" t="s">
        <v>2871</v>
      </c>
      <c r="C16" s="1797" t="e">
        <f>ROUND(SUM(G17:J17)/C17,0)</f>
        <v>#DIV/0!</v>
      </c>
      <c r="D16" s="2773" t="s">
        <v>2872</v>
      </c>
      <c r="E16" s="2774"/>
      <c r="F16" s="2775"/>
      <c r="G16" s="2776"/>
      <c r="H16" s="2776"/>
      <c r="I16" s="2776"/>
      <c r="J16" s="2777"/>
      <c r="K16" s="1367"/>
      <c r="L16" s="2778" t="s">
        <v>2873</v>
      </c>
      <c r="M16" s="916">
        <v>0.25</v>
      </c>
      <c r="N16" s="916">
        <v>0.2</v>
      </c>
      <c r="O16" s="916">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8"/>
      <c r="B17" s="2779" t="s">
        <v>2874</v>
      </c>
      <c r="C17" s="918">
        <f>SUMPRODUCT((修正!A2:A5=E2)*(修正!B1:M1=G2)*(修正!B2:M5))</f>
        <v>0</v>
      </c>
      <c r="D17" s="2780" t="s">
        <v>2875</v>
      </c>
      <c r="E17" s="917" t="str">
        <f>IF(OR(G2="八级",G2="九级",G2="十级",G2="十一级",G2="十二级"),"五通一平","七通一平")</f>
        <v>七通一平</v>
      </c>
      <c r="F17" s="918" t="s">
        <v>2876</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1" t="s">
        <v>2877</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2878</v>
      </c>
      <c r="C18" s="920">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2879</v>
      </c>
      <c r="C19" s="921" t="e">
        <f>ROUND(IF(H19="按公示增长率计算",SUMPRODUCT((地价!A3:A23=YEAR(G19)&amp;"-"&amp;ROUNDUP(MONTH(G19)/3,0))*(地价!X2:AB2=E2)*(地价!X3:AB23)),IF(H19="地价指数",M20/M19,(1+I19)^O19)),4)</f>
        <v>#DIV/0!</v>
      </c>
      <c r="D19" s="2791" t="s">
        <v>2880</v>
      </c>
      <c r="E19" s="922">
        <v>41640</v>
      </c>
      <c r="F19" s="2791" t="s">
        <v>2881</v>
      </c>
      <c r="G19" s="923">
        <f>'数据-取费表'!B2</f>
        <v>43332</v>
      </c>
      <c r="H19" s="2792" t="s">
        <v>2882</v>
      </c>
      <c r="I19" s="924" t="str">
        <f>IF(H19="季度增幅（自定义）",SUMIF(N21:N24,E2,O21:O24),"")</f>
        <v/>
      </c>
      <c r="J19" s="2789"/>
      <c r="K19" s="1374"/>
      <c r="L19" s="2793" t="s">
        <v>2883</v>
      </c>
      <c r="M19" s="1730">
        <f>ROUND(SUMIF(地价!B2:F2,E2,地价!B23:F23),0)</f>
        <v>0</v>
      </c>
      <c r="N19" s="2794" t="s">
        <v>2884</v>
      </c>
      <c r="O19" s="925">
        <f>ROUNDDOWN(DATEDIF(E19,G19,"M")/3,0)</f>
        <v>18</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2885</v>
      </c>
      <c r="C20" s="926" t="e">
        <f>ROUND(POWER(1+G20,J20-I20)*(POWER(1+G20,I20)-1)/(POWER(1+G20,J20)-1),4)</f>
        <v>#DIV/0!</v>
      </c>
      <c r="D20" s="2800" t="s">
        <v>2886</v>
      </c>
      <c r="E20" s="1764">
        <f ca="1">存贷款利率!D4/100</f>
        <v>4.3499999999999997E-2</v>
      </c>
      <c r="F20" s="2800" t="s">
        <v>2877</v>
      </c>
      <c r="G20" s="931">
        <f>SUMIF(M15:P15,E2,M17:P17)</f>
        <v>0</v>
      </c>
      <c r="H20" s="2800" t="s">
        <v>2887</v>
      </c>
      <c r="I20" s="932" t="e">
        <f>SUMIF('数据-取费表'!C6:C15,E2,'数据-取费表'!F6:F15)/COUNTIF('数据-取费表'!C6:C15,E2)</f>
        <v>#DIV/0!</v>
      </c>
      <c r="J20" s="933">
        <f>IF(E2="住宅",70,IF(E2="商业",40,50))</f>
        <v>50</v>
      </c>
      <c r="K20" s="1374"/>
      <c r="L20" s="2801" t="s">
        <v>2888</v>
      </c>
      <c r="M20" s="1731">
        <f>ROUND(SUMPRODUCT((地价!A4:A23=YEAR(G19)&amp;"-"&amp;ROUNDUP(MONTH(G19)/3,0))*(地价!B2:F2=E2)*(地价!B4:F23)),0)</f>
        <v>0</v>
      </c>
      <c r="N20" s="2802" t="s">
        <v>2889</v>
      </c>
      <c r="O20" s="2803" t="s">
        <v>2890</v>
      </c>
      <c r="P20" s="2804" t="s">
        <v>2891</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2892</v>
      </c>
      <c r="C21" s="934">
        <f>IF(B21="容积率修正",IF(G3&lt;=10,D22,J22),C23)</f>
        <v>0</v>
      </c>
      <c r="D21" s="2807"/>
      <c r="E21" s="2807"/>
      <c r="F21" s="2807"/>
      <c r="G21" s="2807"/>
      <c r="H21" s="2807"/>
      <c r="I21" s="2807"/>
      <c r="J21" s="2808"/>
      <c r="K21" s="1374"/>
      <c r="N21" s="2809" t="s">
        <v>2893</v>
      </c>
      <c r="O21" s="1558"/>
      <c r="P21" s="1559">
        <f>SUMPRODUCT((地价!A3:A23=YEAR(G19)&amp;"-"&amp;ROUNDUP(MONTH(G19)/3,0))*(地价!AD2:AH2=N21)*(地价!AD3:AH23))</f>
        <v>1.54E-2</v>
      </c>
      <c r="R21" s="1373"/>
      <c r="S21" s="1373"/>
      <c r="T21" s="1368"/>
      <c r="U21" s="1368"/>
      <c r="V21" s="1368"/>
      <c r="W21" s="1367"/>
      <c r="X21" s="1367"/>
      <c r="Y21" s="1367"/>
      <c r="Z21" s="1374"/>
      <c r="AA21" s="1375"/>
      <c r="AB21" s="1375"/>
      <c r="AC21" s="1375"/>
      <c r="AD21" s="1375"/>
      <c r="AE21" s="1375"/>
      <c r="AF21" s="1375"/>
    </row>
    <row r="22" spans="1:37" s="2732" customFormat="1" ht="14.25">
      <c r="A22" s="2658" t="s">
        <v>2894</v>
      </c>
      <c r="B22" s="2810" t="s">
        <v>2895</v>
      </c>
      <c r="C22" s="1806" t="s">
        <v>2896</v>
      </c>
      <c r="D22" s="1806">
        <f>IF(E22=G22,F22,IF(G3&lt;=10,ROUND(F22+(H22-F22)*(G3-E22)/(G22-E22),4),"——"))</f>
        <v>0</v>
      </c>
      <c r="E22" s="910">
        <f>ROUNDDOWN(G3,1)</f>
        <v>8.8000000000000007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8.9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9" t="s">
        <v>2897</v>
      </c>
      <c r="O22" s="1558"/>
      <c r="P22" s="1559">
        <f>SUMPRODUCT((地价!A3:A23=YEAR(G19)&amp;"-"&amp;ROUNDUP(MONTH(G19)/3,0))*(地价!AD2:AH2=N22)*(地价!AD3:AH23))</f>
        <v>1.54E-2</v>
      </c>
      <c r="R22" s="1373"/>
      <c r="S22" s="1373"/>
      <c r="T22" s="1368"/>
      <c r="U22" s="1368"/>
      <c r="V22" s="1368"/>
      <c r="W22" s="1367"/>
      <c r="X22" s="1367"/>
      <c r="Y22" s="1367"/>
      <c r="Z22" s="1374"/>
      <c r="AA22" s="1375"/>
      <c r="AB22" s="1375"/>
      <c r="AC22" s="1375"/>
      <c r="AD22" s="1375"/>
      <c r="AE22" s="1375"/>
      <c r="AF22" s="1375"/>
    </row>
    <row r="23" spans="1:37" ht="27.75" thickBot="1">
      <c r="A23" s="2658" t="s">
        <v>2898</v>
      </c>
      <c r="B23" s="2811" t="s">
        <v>2899</v>
      </c>
      <c r="C23" s="1010">
        <f>ROUND(IF(G3&gt;1,IF(I3&lt;7,SUMPRODUCT((B93:B98=I3)*(C92:N92=G2)*(C93:N98)),SUMIF(C92:N92,G2,C100:N100)),IF(I3&lt;7,SUMPRODUCT((B102:B107=I3)*(C92:N92=G2)*(C102:N107)),SUMIF(C92:N92,G2,C109:N109))),4)</f>
        <v>0</v>
      </c>
      <c r="D23" s="2767"/>
      <c r="E23" s="2767"/>
      <c r="F23" s="2812"/>
      <c r="G23" s="2813"/>
      <c r="H23" s="2814"/>
      <c r="I23" s="2815"/>
      <c r="J23" s="2816"/>
      <c r="K23" s="1367"/>
      <c r="N23" s="2809" t="s">
        <v>2900</v>
      </c>
      <c r="O23" s="1558"/>
      <c r="P23" s="1559">
        <f>SUMPRODUCT((地价!A3:A23=YEAR(G19)&amp;"-"&amp;ROUNDUP(MONTH(G19)/3,0))*(地价!AD2:AH2=N23)*(地价!AD3:AH23))</f>
        <v>2.4500000000000001E-2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2901</v>
      </c>
      <c r="C24" s="921">
        <f>SUMIF(A45:A88,E2,B45:B88)</f>
        <v>0</v>
      </c>
      <c r="D24" s="2787"/>
      <c r="E24" s="2817"/>
      <c r="F24" s="2817"/>
      <c r="G24" s="2817"/>
      <c r="H24" s="2817"/>
      <c r="I24" s="2817"/>
      <c r="J24" s="2818"/>
      <c r="K24" s="1374"/>
      <c r="N24" s="2819" t="s">
        <v>2902</v>
      </c>
      <c r="O24" s="1560"/>
      <c r="P24" s="1561">
        <f>SUMPRODUCT((地价!A3:A23=YEAR(G19)&amp;"-"&amp;ROUNDUP(MONTH(G19)/3,0))*(地价!AD2:AH2=N24)*(地价!AD3:AH23))</f>
        <v>1.41E-2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2903</v>
      </c>
      <c r="C25" s="927"/>
      <c r="D25" s="2742"/>
      <c r="E25" s="2742"/>
      <c r="F25" s="2821"/>
      <c r="G25" s="2742"/>
      <c r="H25" s="2742"/>
      <c r="I25" s="2742"/>
      <c r="J25" s="2743"/>
      <c r="K25" s="1367"/>
      <c r="N25" s="2822" t="s">
        <v>2904</v>
      </c>
      <c r="O25" s="1562"/>
      <c r="P25" s="1561">
        <f>SUMPRODUCT((地价!A3:A23=YEAR(G19)&amp;"-"&amp;ROUNDUP(MONTH(G19)/3,0))*(地价!AD2:AH2=N25)*(地价!AD3:AH23))</f>
        <v>2.23E-2</v>
      </c>
      <c r="R25" s="1373"/>
      <c r="S25" s="1373"/>
      <c r="T25" s="1368"/>
      <c r="U25" s="1368"/>
      <c r="V25" s="1368"/>
      <c r="W25" s="1367"/>
      <c r="X25" s="1367"/>
      <c r="Y25" s="1367"/>
      <c r="Z25" s="1374"/>
      <c r="AA25" s="1375"/>
      <c r="AB25" s="1375"/>
      <c r="AC25" s="1375"/>
      <c r="AD25" s="1375"/>
    </row>
    <row r="26" spans="1:37" ht="15">
      <c r="A26" s="2823"/>
      <c r="B26" s="2810" t="s">
        <v>2905</v>
      </c>
      <c r="C26" s="206"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2906</v>
      </c>
      <c r="C27" s="928"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2907</v>
      </c>
      <c r="C28" s="2834" t="s">
        <v>2908</v>
      </c>
      <c r="D28" s="2834" t="s">
        <v>2909</v>
      </c>
      <c r="E28" s="2835" t="s">
        <v>2910</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2911</v>
      </c>
      <c r="C29" s="206" t="e">
        <f>ROUND(C5*C18*C19*C20*C21*C24,0)</f>
        <v>#DIV/0!</v>
      </c>
      <c r="D29" s="2839"/>
      <c r="E29" s="939" t="e">
        <f>ROUND(C29*D29/10000,0)</f>
        <v>#DIV/0!</v>
      </c>
      <c r="F29" s="2840" t="s">
        <v>2912</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2913</v>
      </c>
      <c r="C30" s="229" t="e">
        <f>ROUND(IF(E2="工业",C29*M39,C29*M38),0)</f>
        <v>#DIV/0!</v>
      </c>
      <c r="D30" s="2845"/>
      <c r="E30" s="939" t="e">
        <f>ROUND(C30*D30/10000,0)</f>
        <v>#DIV/0!</v>
      </c>
      <c r="F30" s="2846" t="s">
        <v>2914</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2915</v>
      </c>
      <c r="C31" s="2851" t="s">
        <v>2916</v>
      </c>
      <c r="D31" s="2755"/>
      <c r="E31" s="2851"/>
      <c r="F31" s="2851"/>
      <c r="G31" s="2753" t="s">
        <v>2917</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1" t="s">
        <v>2908</v>
      </c>
      <c r="D32" s="498" t="s">
        <v>2909</v>
      </c>
      <c r="E32" s="498" t="s">
        <v>2910</v>
      </c>
      <c r="F32" s="388" t="s">
        <v>2918</v>
      </c>
      <c r="G32" s="2854" t="s">
        <v>2908</v>
      </c>
      <c r="H32" s="2854" t="s">
        <v>2909</v>
      </c>
      <c r="I32" s="2854" t="s">
        <v>2910</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327" t="s">
        <v>2919</v>
      </c>
      <c r="B33" s="2855" t="s">
        <v>2920</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8"/>
      <c r="B34" s="2759" t="s">
        <v>2921</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8"/>
      <c r="B35" s="2759" t="s">
        <v>2922</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329"/>
      <c r="B36" s="2759" t="s">
        <v>2923</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2924</v>
      </c>
      <c r="C37" s="200" t="e">
        <f>ROUND(C5*C19*C20*C24*F37,0)</f>
        <v>#DIV/0!</v>
      </c>
      <c r="D37" s="2839"/>
      <c r="E37" s="200" t="e">
        <f t="shared" si="7"/>
        <v>#DIV/0!</v>
      </c>
      <c r="F37" s="206">
        <f>SUMIF(修正!A45:A56,G2,修正!F45:F56)</f>
        <v>0</v>
      </c>
      <c r="G37" s="200" t="e">
        <f>ROUND(IF(E2="工业",C37*$M$39,C37*$M$38),0)</f>
        <v>#DIV/0!</v>
      </c>
      <c r="H37" s="200">
        <f t="shared" si="8"/>
        <v>0</v>
      </c>
      <c r="I37" s="200" t="e">
        <f t="shared" si="9"/>
        <v>#DIV/0!</v>
      </c>
      <c r="J37" s="2856"/>
      <c r="K37" s="1367"/>
      <c r="L37" s="2858" t="s">
        <v>2925</v>
      </c>
      <c r="M37" s="2859"/>
      <c r="N37" s="1367"/>
      <c r="O37" s="1367"/>
      <c r="P37" s="1367"/>
      <c r="Q37" s="1367"/>
      <c r="R37" s="1367"/>
      <c r="S37" s="1367"/>
      <c r="T37" s="1367"/>
      <c r="U37" s="1367"/>
      <c r="V37" s="1367"/>
      <c r="W37" s="1367"/>
      <c r="X37" s="1367"/>
      <c r="Y37" s="1367"/>
      <c r="Z37" s="1368"/>
    </row>
    <row r="38" spans="1:37">
      <c r="A38" s="2857"/>
      <c r="B38" s="2759" t="s">
        <v>2926</v>
      </c>
      <c r="C38" s="200" t="e">
        <f>ROUND(C5*C19*C20*C24*F38,0)</f>
        <v>#DIV/0!</v>
      </c>
      <c r="D38" s="2839"/>
      <c r="E38" s="200" t="e">
        <f t="shared" si="7"/>
        <v>#DIV/0!</v>
      </c>
      <c r="F38" s="206">
        <f>SUMIF(修正!A45:A56,G2,修正!G45:G56)</f>
        <v>0</v>
      </c>
      <c r="G38" s="200" t="e">
        <f>ROUND(IF(E2="工业",C38*$M$39,C38*$M$38),0)</f>
        <v>#DIV/0!</v>
      </c>
      <c r="H38" s="200">
        <f t="shared" si="8"/>
        <v>0</v>
      </c>
      <c r="I38" s="200" t="e">
        <f t="shared" si="9"/>
        <v>#DIV/0!</v>
      </c>
      <c r="J38" s="2856"/>
      <c r="K38" s="1367"/>
      <c r="L38" s="1883" t="s">
        <v>2927</v>
      </c>
      <c r="M38" s="2860">
        <v>0.25</v>
      </c>
      <c r="N38" s="1367"/>
      <c r="O38" s="1367"/>
      <c r="P38" s="1367"/>
      <c r="Q38" s="1367"/>
      <c r="R38" s="1367"/>
      <c r="S38" s="1367"/>
      <c r="T38" s="1367"/>
      <c r="U38" s="1367"/>
      <c r="V38" s="1367"/>
      <c r="W38" s="1367"/>
      <c r="X38" s="1367"/>
      <c r="Y38" s="1367"/>
      <c r="Z38" s="1368"/>
    </row>
    <row r="39" spans="1:37" ht="13.5" thickBot="1">
      <c r="A39" s="2843"/>
      <c r="B39" s="2861" t="s">
        <v>2928</v>
      </c>
      <c r="C39" s="229" t="e">
        <f>ROUND(C5*C19*C20*C24*F39,0)</f>
        <v>#DIV/0!</v>
      </c>
      <c r="D39" s="2845"/>
      <c r="E39" s="229" t="e">
        <f t="shared" si="7"/>
        <v>#DIV/0!</v>
      </c>
      <c r="F39" s="929">
        <f>SUMIF(修正!A45:A56,G2,修正!H45:H56)</f>
        <v>0</v>
      </c>
      <c r="G39" s="229" t="e">
        <f>ROUND(IF(E2="工业",C39*$M$39,C39*$M$38),0)</f>
        <v>#DIV/0!</v>
      </c>
      <c r="H39" s="229">
        <f t="shared" si="8"/>
        <v>0</v>
      </c>
      <c r="I39" s="229" t="e">
        <f t="shared" si="9"/>
        <v>#DIV/0!</v>
      </c>
      <c r="J39" s="2862"/>
      <c r="K39" s="1367"/>
      <c r="L39" s="2863" t="s">
        <v>2869</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2929</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2930</v>
      </c>
      <c r="B46" s="2869">
        <f>1+E48</f>
        <v>1</v>
      </c>
      <c r="C46" s="2870"/>
      <c r="D46" s="808"/>
      <c r="E46" s="809"/>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2931</v>
      </c>
      <c r="B47" s="1805" t="s">
        <v>2932</v>
      </c>
      <c r="C47" s="1805" t="s">
        <v>2933</v>
      </c>
      <c r="D47" s="1805" t="s">
        <v>2934</v>
      </c>
      <c r="E47" s="813" t="s">
        <v>2935</v>
      </c>
      <c r="F47" s="2873" t="s">
        <v>2936</v>
      </c>
      <c r="G47" s="1805" t="s">
        <v>754</v>
      </c>
      <c r="H47" s="2874" t="s">
        <v>2937</v>
      </c>
      <c r="I47" s="1805" t="s">
        <v>2938</v>
      </c>
      <c r="J47" s="603" t="s">
        <v>2586</v>
      </c>
      <c r="K47" s="603" t="s">
        <v>2587</v>
      </c>
      <c r="L47" s="603" t="s">
        <v>2588</v>
      </c>
      <c r="M47" s="603" t="s">
        <v>2589</v>
      </c>
      <c r="N47" s="603" t="s">
        <v>2590</v>
      </c>
      <c r="AA47" s="1368"/>
      <c r="AB47" s="1368"/>
      <c r="AC47" s="1368"/>
      <c r="AD47" s="1368"/>
      <c r="AE47" s="1368"/>
      <c r="AF47" s="1368"/>
      <c r="AG47" s="1368"/>
      <c r="AH47" s="1368"/>
      <c r="AI47" s="1368"/>
      <c r="AJ47" s="1368"/>
      <c r="AK47" s="1368"/>
    </row>
    <row r="48" spans="1:37" s="1367" customFormat="1" ht="25.5">
      <c r="A48" s="2872" t="s">
        <v>2939</v>
      </c>
      <c r="B48" s="2875" t="str">
        <f>估价对象房地状况!C4</f>
        <v>XX商圈，周边商业氛围，人流量</v>
      </c>
      <c r="C48" s="2764"/>
      <c r="D48" s="1283">
        <f t="shared" ref="D48:D56" si="10">SUMIF($J$47:$N$47,C48,J48:N48)</f>
        <v>0</v>
      </c>
      <c r="E48" s="815">
        <f>ROUND(SUM(D48:D56),4)</f>
        <v>0</v>
      </c>
      <c r="F48" s="2495"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38.25">
      <c r="A49" s="2872" t="s">
        <v>2940</v>
      </c>
      <c r="B49" s="2876" t="str">
        <f>估价对象房地状况!C18</f>
        <v>周边道路状况、公共交通通达情况、停车便捷程度（地铁三号线观音桥</v>
      </c>
      <c r="C49" s="2764"/>
      <c r="D49" s="1283">
        <f t="shared" si="10"/>
        <v>0</v>
      </c>
      <c r="E49" s="816"/>
      <c r="F49" s="2495"/>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2941</v>
      </c>
      <c r="B50" s="2876">
        <f>估价对象房地状况!C19</f>
        <v>0</v>
      </c>
      <c r="C50" s="2764"/>
      <c r="D50" s="1283">
        <f t="shared" si="10"/>
        <v>0</v>
      </c>
      <c r="E50" s="816"/>
      <c r="F50" s="2495"/>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2942</v>
      </c>
      <c r="B51" s="2877" t="s">
        <v>2943</v>
      </c>
      <c r="C51" s="2764"/>
      <c r="D51" s="1283">
        <f t="shared" si="10"/>
        <v>0</v>
      </c>
      <c r="E51" s="816"/>
      <c r="F51" s="2495"/>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2944</v>
      </c>
      <c r="B52" s="2876">
        <f>估价对象房地状况!C24</f>
        <v>0</v>
      </c>
      <c r="C52" s="2764"/>
      <c r="D52" s="1283">
        <f t="shared" si="10"/>
        <v>0</v>
      </c>
      <c r="E52" s="816"/>
      <c r="F52" s="2495"/>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2945</v>
      </c>
      <c r="B53" s="2878" t="s">
        <v>2946</v>
      </c>
      <c r="C53" s="2764"/>
      <c r="D53" s="1283">
        <f t="shared" si="10"/>
        <v>0</v>
      </c>
      <c r="E53" s="816"/>
      <c r="F53" s="2495"/>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9" t="s">
        <v>2947</v>
      </c>
      <c r="B54" s="1721">
        <f>估价对象房地状况!C21</f>
        <v>0</v>
      </c>
      <c r="C54" s="2764"/>
      <c r="D54" s="1283">
        <f t="shared" si="10"/>
        <v>0</v>
      </c>
      <c r="E54" s="816"/>
      <c r="F54" s="2495"/>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9" t="s">
        <v>2948</v>
      </c>
      <c r="B55" s="2876">
        <f>估价对象房地状况!C22</f>
        <v>0</v>
      </c>
      <c r="C55" s="2764"/>
      <c r="D55" s="1283">
        <f t="shared" si="10"/>
        <v>0</v>
      </c>
      <c r="E55" s="816"/>
      <c r="F55" s="2495"/>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80" t="s">
        <v>2949</v>
      </c>
      <c r="B56" s="2881">
        <f>估价对象房地状况!C20</f>
        <v>0</v>
      </c>
      <c r="C56" s="2764"/>
      <c r="D56" s="1283">
        <f t="shared" si="10"/>
        <v>0</v>
      </c>
      <c r="E56" s="819"/>
      <c r="F56" s="2495"/>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2950</v>
      </c>
      <c r="B57" s="2869">
        <f>1+E59</f>
        <v>1</v>
      </c>
      <c r="C57" s="808"/>
      <c r="D57" s="808"/>
      <c r="E57" s="809"/>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2931</v>
      </c>
      <c r="B58" s="1805"/>
      <c r="C58" s="1805" t="s">
        <v>2933</v>
      </c>
      <c r="D58" s="1805" t="s">
        <v>2934</v>
      </c>
      <c r="E58" s="813" t="s">
        <v>2935</v>
      </c>
      <c r="F58" s="2873" t="s">
        <v>2951</v>
      </c>
      <c r="G58" s="1805" t="s">
        <v>754</v>
      </c>
      <c r="H58" s="2874" t="s">
        <v>2937</v>
      </c>
      <c r="I58" s="1805" t="s">
        <v>2938</v>
      </c>
      <c r="J58" s="603" t="s">
        <v>2586</v>
      </c>
      <c r="K58" s="603" t="s">
        <v>2587</v>
      </c>
      <c r="L58" s="603" t="s">
        <v>2588</v>
      </c>
      <c r="M58" s="603" t="s">
        <v>2589</v>
      </c>
      <c r="N58" s="603" t="s">
        <v>2590</v>
      </c>
      <c r="AA58" s="1368"/>
      <c r="AB58" s="1368"/>
      <c r="AC58" s="1368"/>
      <c r="AD58" s="1368"/>
      <c r="AE58" s="1368"/>
      <c r="AF58" s="1368"/>
      <c r="AG58" s="1368"/>
      <c r="AH58" s="1368"/>
      <c r="AI58" s="1368"/>
      <c r="AJ58" s="1368"/>
      <c r="AK58" s="1368"/>
    </row>
    <row r="59" spans="1:37" s="1367" customFormat="1" ht="25.5">
      <c r="A59" s="2872" t="s">
        <v>2952</v>
      </c>
      <c r="B59" s="2875" t="str">
        <f>估价对象房地状况!C17</f>
        <v>XX商圈，周边办公楼项目，入驻率</v>
      </c>
      <c r="C59" s="2764"/>
      <c r="D59" s="1283">
        <f t="shared" ref="D59:D67" si="15">SUMIF($J$58:$N$58,C59,J59:N59)</f>
        <v>0</v>
      </c>
      <c r="E59" s="815">
        <f>ROUND(SUM(D59:D67),4)</f>
        <v>0</v>
      </c>
      <c r="F59" s="2495"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38.25">
      <c r="A60" s="2872" t="s">
        <v>2940</v>
      </c>
      <c r="B60" s="2876" t="str">
        <f>估价对象房地状况!C18</f>
        <v>周边道路状况、公共交通通达情况、停车便捷程度（地铁三号线观音桥</v>
      </c>
      <c r="C60" s="2764"/>
      <c r="D60" s="1283">
        <f t="shared" si="15"/>
        <v>0</v>
      </c>
      <c r="E60" s="816"/>
      <c r="F60" s="2495"/>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2941</v>
      </c>
      <c r="B61" s="2876">
        <f>估价对象房地状况!C19</f>
        <v>0</v>
      </c>
      <c r="C61" s="2764"/>
      <c r="D61" s="1283">
        <f t="shared" si="15"/>
        <v>0</v>
      </c>
      <c r="E61" s="816"/>
      <c r="F61" s="2495"/>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2942</v>
      </c>
      <c r="B62" s="2877" t="s">
        <v>2943</v>
      </c>
      <c r="C62" s="2764"/>
      <c r="D62" s="1283">
        <f t="shared" si="15"/>
        <v>0</v>
      </c>
      <c r="E62" s="816"/>
      <c r="F62" s="2495"/>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2944</v>
      </c>
      <c r="B63" s="2876">
        <f>估价对象房地状况!C24</f>
        <v>0</v>
      </c>
      <c r="C63" s="2764"/>
      <c r="D63" s="1283">
        <f t="shared" si="15"/>
        <v>0</v>
      </c>
      <c r="E63" s="816"/>
      <c r="F63" s="2495"/>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2945</v>
      </c>
      <c r="B64" s="2878" t="s">
        <v>2946</v>
      </c>
      <c r="C64" s="2764"/>
      <c r="D64" s="1283">
        <f t="shared" si="15"/>
        <v>0</v>
      </c>
      <c r="E64" s="816"/>
      <c r="F64" s="2495"/>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72" t="s">
        <v>2947</v>
      </c>
      <c r="B65" s="1721">
        <f>估价对象房地状况!C21</f>
        <v>0</v>
      </c>
      <c r="C65" s="2764"/>
      <c r="D65" s="1283">
        <f t="shared" si="15"/>
        <v>0</v>
      </c>
      <c r="E65" s="816"/>
      <c r="F65" s="2495"/>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72" t="s">
        <v>2948</v>
      </c>
      <c r="B66" s="1721">
        <f>估价对象房地状况!C22</f>
        <v>0</v>
      </c>
      <c r="C66" s="2764"/>
      <c r="D66" s="1283">
        <f t="shared" si="15"/>
        <v>0</v>
      </c>
      <c r="E66" s="816"/>
      <c r="F66" s="2495"/>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80" t="s">
        <v>2949</v>
      </c>
      <c r="B67" s="2882">
        <f>估价对象房地状况!C20</f>
        <v>0</v>
      </c>
      <c r="C67" s="2764"/>
      <c r="D67" s="1283">
        <f t="shared" si="15"/>
        <v>0</v>
      </c>
      <c r="E67" s="819"/>
      <c r="F67" s="2495"/>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2953</v>
      </c>
      <c r="B68" s="2869">
        <f>1+E70</f>
        <v>1</v>
      </c>
      <c r="C68" s="808"/>
      <c r="D68" s="808"/>
      <c r="E68" s="809"/>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2931</v>
      </c>
      <c r="B69" s="1805"/>
      <c r="C69" s="1805" t="s">
        <v>2933</v>
      </c>
      <c r="D69" s="1805" t="s">
        <v>2934</v>
      </c>
      <c r="E69" s="813" t="s">
        <v>2935</v>
      </c>
      <c r="F69" s="2873" t="s">
        <v>2951</v>
      </c>
      <c r="G69" s="1805" t="s">
        <v>754</v>
      </c>
      <c r="H69" s="2874" t="s">
        <v>2937</v>
      </c>
      <c r="I69" s="1805" t="s">
        <v>2938</v>
      </c>
      <c r="J69" s="603" t="s">
        <v>2586</v>
      </c>
      <c r="K69" s="603" t="s">
        <v>2587</v>
      </c>
      <c r="L69" s="603" t="s">
        <v>2588</v>
      </c>
      <c r="M69" s="603" t="s">
        <v>2589</v>
      </c>
      <c r="N69" s="603" t="s">
        <v>2590</v>
      </c>
      <c r="AA69" s="1368"/>
      <c r="AB69" s="1368"/>
      <c r="AC69" s="1368"/>
      <c r="AD69" s="1368"/>
      <c r="AE69" s="1368"/>
      <c r="AF69" s="1368"/>
      <c r="AG69" s="1368"/>
      <c r="AH69" s="1368"/>
      <c r="AI69" s="1368"/>
      <c r="AJ69" s="1368"/>
      <c r="AK69" s="1368"/>
    </row>
    <row r="70" spans="1:37" s="1367" customFormat="1" ht="38.25">
      <c r="A70" s="2872" t="s">
        <v>2954</v>
      </c>
      <c r="B70" s="2875" t="str">
        <f>估价对象房地状况!C15</f>
        <v>周边居住用地比例、居住小区规模和社区发展完善程度</v>
      </c>
      <c r="C70" s="2764"/>
      <c r="D70" s="1283">
        <f t="shared" ref="D70:D78" si="20">SUMIF($J$69:$N$69,C70,J70:N70)</f>
        <v>0</v>
      </c>
      <c r="E70" s="815">
        <f>ROUND(SUM(D70:D78),4)</f>
        <v>0</v>
      </c>
      <c r="F70" s="2495"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38.25">
      <c r="A71" s="2872" t="s">
        <v>2940</v>
      </c>
      <c r="B71" s="2876" t="str">
        <f>估价对象房地状况!C18</f>
        <v>周边道路状况、公共交通通达情况、停车便捷程度（地铁三号线观音桥</v>
      </c>
      <c r="C71" s="2764"/>
      <c r="D71" s="1283">
        <f t="shared" si="20"/>
        <v>0</v>
      </c>
      <c r="E71" s="820"/>
      <c r="F71" s="2495"/>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2941</v>
      </c>
      <c r="B72" s="2876">
        <f>估价对象房地状况!C19</f>
        <v>0</v>
      </c>
      <c r="C72" s="2764"/>
      <c r="D72" s="1283">
        <f t="shared" si="20"/>
        <v>0</v>
      </c>
      <c r="E72" s="820"/>
      <c r="F72" s="2495"/>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2955</v>
      </c>
      <c r="B73" s="2876">
        <f>估价对象房地状况!C24</f>
        <v>0</v>
      </c>
      <c r="C73" s="2764"/>
      <c r="D73" s="1283">
        <f t="shared" si="20"/>
        <v>0</v>
      </c>
      <c r="E73" s="820"/>
      <c r="F73" s="2495"/>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72" t="s">
        <v>2947</v>
      </c>
      <c r="B74" s="1721">
        <f>估价对象房地状况!C21</f>
        <v>0</v>
      </c>
      <c r="C74" s="2764"/>
      <c r="D74" s="1283">
        <f t="shared" si="20"/>
        <v>0</v>
      </c>
      <c r="E74" s="820"/>
      <c r="F74" s="2495"/>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72" t="s">
        <v>2948</v>
      </c>
      <c r="B75" s="1721">
        <f>估价对象房地状况!C22</f>
        <v>0</v>
      </c>
      <c r="C75" s="2764"/>
      <c r="D75" s="1283">
        <f t="shared" si="20"/>
        <v>0</v>
      </c>
      <c r="E75" s="820"/>
      <c r="F75" s="2495"/>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2945</v>
      </c>
      <c r="B76" s="2878" t="s">
        <v>2946</v>
      </c>
      <c r="C76" s="2764"/>
      <c r="D76" s="1283">
        <f t="shared" si="20"/>
        <v>0</v>
      </c>
      <c r="E76" s="820"/>
      <c r="F76" s="2495"/>
      <c r="G76" s="1281"/>
      <c r="H76" s="1285" t="str">
        <f t="shared" si="21"/>
        <v>——</v>
      </c>
      <c r="I76" s="814">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24">
      <c r="A77" s="2872" t="s">
        <v>2949</v>
      </c>
      <c r="B77" s="2875">
        <f>估价对象房地状况!C20</f>
        <v>0</v>
      </c>
      <c r="C77" s="2764"/>
      <c r="D77" s="1283">
        <f t="shared" si="20"/>
        <v>0</v>
      </c>
      <c r="E77" s="820"/>
      <c r="F77" s="2495"/>
      <c r="G77" s="1281"/>
      <c r="H77" s="1285" t="str">
        <f t="shared" si="21"/>
        <v>——</v>
      </c>
      <c r="I77" s="814">
        <v>0.15</v>
      </c>
      <c r="J77" s="1282">
        <f t="shared" si="22"/>
        <v>0</v>
      </c>
      <c r="K77" s="1282">
        <f t="shared" si="23"/>
        <v>0</v>
      </c>
      <c r="L77" s="1282">
        <v>0</v>
      </c>
      <c r="M77" s="1282">
        <f t="shared" si="24"/>
        <v>0</v>
      </c>
      <c r="N77" s="1282">
        <f t="shared" si="24"/>
        <v>0</v>
      </c>
      <c r="Z77" s="2714"/>
      <c r="AA77" s="2790"/>
      <c r="AG77" s="1369"/>
      <c r="AK77" s="2790"/>
    </row>
    <row r="78" spans="1:37" ht="24.75" thickBot="1">
      <c r="A78" s="2880" t="s">
        <v>2956</v>
      </c>
      <c r="B78" s="2884"/>
      <c r="C78" s="2764"/>
      <c r="D78" s="1283">
        <f t="shared" si="20"/>
        <v>0</v>
      </c>
      <c r="E78" s="821"/>
      <c r="F78" s="2495"/>
      <c r="G78" s="1281"/>
      <c r="H78" s="1285" t="str">
        <f t="shared" si="21"/>
        <v>——</v>
      </c>
      <c r="I78" s="818">
        <v>0.04</v>
      </c>
      <c r="J78" s="1282">
        <f t="shared" si="22"/>
        <v>0</v>
      </c>
      <c r="K78" s="1282">
        <f t="shared" si="23"/>
        <v>0</v>
      </c>
      <c r="L78" s="1282">
        <v>0</v>
      </c>
      <c r="M78" s="1282">
        <f t="shared" si="24"/>
        <v>0</v>
      </c>
      <c r="N78" s="1282">
        <f t="shared" si="24"/>
        <v>0</v>
      </c>
      <c r="Z78" s="2714"/>
      <c r="AA78" s="2790"/>
      <c r="AG78" s="1369"/>
      <c r="AK78" s="2790"/>
    </row>
    <row r="79" spans="1:37" ht="15">
      <c r="A79" s="2868" t="s">
        <v>2957</v>
      </c>
      <c r="B79" s="2869">
        <f>1+E81</f>
        <v>1</v>
      </c>
      <c r="C79" s="808"/>
      <c r="D79" s="808"/>
      <c r="E79" s="809"/>
      <c r="F79" s="2871"/>
      <c r="G79" s="6"/>
      <c r="H79" s="6"/>
      <c r="I79" s="6"/>
      <c r="J79" s="7"/>
      <c r="K79" s="7"/>
      <c r="L79" s="7"/>
      <c r="M79" s="7"/>
      <c r="N79" s="7"/>
      <c r="Z79" s="2714"/>
      <c r="AA79" s="2790"/>
      <c r="AG79" s="1369"/>
      <c r="AK79" s="2790"/>
    </row>
    <row r="80" spans="1:37" ht="24.75">
      <c r="A80" s="2872" t="s">
        <v>2931</v>
      </c>
      <c r="B80" s="1805"/>
      <c r="C80" s="1805" t="s">
        <v>2933</v>
      </c>
      <c r="D80" s="1805" t="s">
        <v>2934</v>
      </c>
      <c r="E80" s="813" t="s">
        <v>2935</v>
      </c>
      <c r="F80" s="2873" t="s">
        <v>2951</v>
      </c>
      <c r="G80" s="1805" t="s">
        <v>754</v>
      </c>
      <c r="H80" s="2874" t="s">
        <v>2937</v>
      </c>
      <c r="I80" s="1805" t="s">
        <v>2938</v>
      </c>
      <c r="J80" s="603" t="s">
        <v>2586</v>
      </c>
      <c r="K80" s="603" t="s">
        <v>2587</v>
      </c>
      <c r="L80" s="603" t="s">
        <v>2588</v>
      </c>
      <c r="M80" s="603" t="s">
        <v>2589</v>
      </c>
      <c r="N80" s="603" t="s">
        <v>2590</v>
      </c>
      <c r="Z80" s="2714"/>
      <c r="AA80" s="2790"/>
      <c r="AG80" s="1369"/>
      <c r="AK80" s="2790"/>
    </row>
    <row r="81" spans="1:37" ht="24">
      <c r="A81" s="2872" t="s">
        <v>2958</v>
      </c>
      <c r="B81" s="2876">
        <f>估价对象房地状况!G15</f>
        <v>0</v>
      </c>
      <c r="C81" s="2764"/>
      <c r="D81" s="1283">
        <f t="shared" ref="D81:D88" si="25">SUMIF($J$80:$N$80,C81,J81:N81)</f>
        <v>0</v>
      </c>
      <c r="E81" s="815">
        <f>ROUND(SUM(D81:D88),4)</f>
        <v>0</v>
      </c>
      <c r="F81" s="2495"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14.25">
      <c r="A82" s="2872" t="s">
        <v>2940</v>
      </c>
      <c r="B82" s="2876">
        <f>估价对象房地状况!G16</f>
        <v>0</v>
      </c>
      <c r="C82" s="2764"/>
      <c r="D82" s="1283">
        <f t="shared" si="25"/>
        <v>0</v>
      </c>
      <c r="E82" s="820"/>
      <c r="F82" s="2495"/>
      <c r="G82" s="1281"/>
      <c r="H82" s="1285" t="str">
        <f t="shared" si="26"/>
        <v>——</v>
      </c>
      <c r="I82" s="814">
        <v>0.33</v>
      </c>
      <c r="J82" s="1282">
        <f t="shared" si="27"/>
        <v>0</v>
      </c>
      <c r="K82" s="1282">
        <f t="shared" si="28"/>
        <v>0</v>
      </c>
      <c r="L82" s="1282">
        <v>0</v>
      </c>
      <c r="M82" s="1282">
        <f t="shared" si="29"/>
        <v>0</v>
      </c>
      <c r="N82" s="1282">
        <f t="shared" si="29"/>
        <v>0</v>
      </c>
      <c r="Z82" s="2714"/>
      <c r="AA82" s="2790"/>
      <c r="AG82" s="1369"/>
      <c r="AK82" s="2790"/>
    </row>
    <row r="83" spans="1:37" ht="24">
      <c r="A83" s="2872" t="s">
        <v>2941</v>
      </c>
      <c r="B83" s="2876">
        <f>估价对象房地状况!G17</f>
        <v>0</v>
      </c>
      <c r="C83" s="2764"/>
      <c r="D83" s="1283">
        <f t="shared" si="25"/>
        <v>0</v>
      </c>
      <c r="E83" s="820"/>
      <c r="F83" s="2495"/>
      <c r="G83" s="1281"/>
      <c r="H83" s="1285" t="str">
        <f t="shared" si="26"/>
        <v>——</v>
      </c>
      <c r="I83" s="814">
        <v>0.05</v>
      </c>
      <c r="J83" s="1282">
        <f t="shared" si="27"/>
        <v>0</v>
      </c>
      <c r="K83" s="1282">
        <f t="shared" si="28"/>
        <v>0</v>
      </c>
      <c r="L83" s="1282">
        <v>0</v>
      </c>
      <c r="M83" s="1282">
        <f t="shared" si="29"/>
        <v>0</v>
      </c>
      <c r="N83" s="1282">
        <f t="shared" si="29"/>
        <v>0</v>
      </c>
      <c r="Z83" s="2714"/>
      <c r="AA83" s="2790"/>
      <c r="AG83" s="1369"/>
      <c r="AK83" s="2790"/>
    </row>
    <row r="84" spans="1:37" ht="14.25">
      <c r="A84" s="2872" t="s">
        <v>2955</v>
      </c>
      <c r="B84" s="2876">
        <f>估价对象房地状况!G22</f>
        <v>0</v>
      </c>
      <c r="C84" s="2764"/>
      <c r="D84" s="1283">
        <f t="shared" si="25"/>
        <v>0</v>
      </c>
      <c r="E84" s="820"/>
      <c r="F84" s="2495"/>
      <c r="G84" s="1281"/>
      <c r="H84" s="1285" t="str">
        <f t="shared" si="26"/>
        <v>——</v>
      </c>
      <c r="I84" s="814">
        <v>0.04</v>
      </c>
      <c r="J84" s="1282">
        <f t="shared" si="27"/>
        <v>0</v>
      </c>
      <c r="K84" s="1282">
        <f t="shared" si="28"/>
        <v>0</v>
      </c>
      <c r="L84" s="1282">
        <v>0</v>
      </c>
      <c r="M84" s="1282">
        <f t="shared" si="29"/>
        <v>0</v>
      </c>
      <c r="N84" s="1282">
        <f t="shared" si="29"/>
        <v>0</v>
      </c>
      <c r="Z84" s="2714"/>
      <c r="AA84" s="2790"/>
      <c r="AG84" s="1369"/>
      <c r="AK84" s="2790"/>
    </row>
    <row r="85" spans="1:37" ht="24">
      <c r="A85" s="2872" t="s">
        <v>2947</v>
      </c>
      <c r="B85" s="1721">
        <f>估价对象房地状况!G19</f>
        <v>0</v>
      </c>
      <c r="C85" s="2764"/>
      <c r="D85" s="1283">
        <f t="shared" si="25"/>
        <v>0</v>
      </c>
      <c r="E85" s="820"/>
      <c r="F85" s="2495"/>
      <c r="G85" s="1281"/>
      <c r="H85" s="1285" t="str">
        <f t="shared" si="26"/>
        <v>——</v>
      </c>
      <c r="I85" s="814">
        <v>0.06</v>
      </c>
      <c r="J85" s="1282">
        <f t="shared" si="27"/>
        <v>0</v>
      </c>
      <c r="K85" s="1282">
        <f t="shared" si="28"/>
        <v>0</v>
      </c>
      <c r="L85" s="1282">
        <v>0</v>
      </c>
      <c r="M85" s="1282">
        <f t="shared" si="29"/>
        <v>0</v>
      </c>
      <c r="N85" s="1282">
        <f t="shared" si="29"/>
        <v>0</v>
      </c>
      <c r="Z85" s="2714"/>
      <c r="AA85" s="2790"/>
      <c r="AG85" s="1369"/>
      <c r="AK85" s="2790"/>
    </row>
    <row r="86" spans="1:37" ht="24">
      <c r="A86" s="2872" t="s">
        <v>2948</v>
      </c>
      <c r="B86" s="1721">
        <f>估价对象房地状况!G20</f>
        <v>0</v>
      </c>
      <c r="C86" s="2764"/>
      <c r="D86" s="1283">
        <f t="shared" si="25"/>
        <v>0</v>
      </c>
      <c r="E86" s="820"/>
      <c r="F86" s="2495"/>
      <c r="G86" s="1281"/>
      <c r="H86" s="1285" t="str">
        <f t="shared" si="26"/>
        <v>——</v>
      </c>
      <c r="I86" s="814">
        <v>0.15</v>
      </c>
      <c r="J86" s="1282">
        <f t="shared" si="27"/>
        <v>0</v>
      </c>
      <c r="K86" s="1282">
        <f t="shared" si="28"/>
        <v>0</v>
      </c>
      <c r="L86" s="1282">
        <v>0</v>
      </c>
      <c r="M86" s="1282">
        <f t="shared" si="29"/>
        <v>0</v>
      </c>
      <c r="N86" s="1282">
        <f t="shared" si="29"/>
        <v>0</v>
      </c>
      <c r="Z86" s="2714"/>
      <c r="AA86" s="2790"/>
      <c r="AG86" s="1369"/>
      <c r="AK86" s="2790"/>
    </row>
    <row r="87" spans="1:37" ht="24">
      <c r="A87" s="2872" t="s">
        <v>2945</v>
      </c>
      <c r="B87" s="2878" t="s">
        <v>2959</v>
      </c>
      <c r="C87" s="2764"/>
      <c r="D87" s="1283">
        <f t="shared" si="25"/>
        <v>0</v>
      </c>
      <c r="E87" s="820"/>
      <c r="F87" s="2495"/>
      <c r="G87" s="1281"/>
      <c r="H87" s="1285" t="str">
        <f t="shared" si="26"/>
        <v>——</v>
      </c>
      <c r="I87" s="814">
        <v>0.05</v>
      </c>
      <c r="J87" s="1282">
        <f t="shared" si="27"/>
        <v>0</v>
      </c>
      <c r="K87" s="1282">
        <f t="shared" si="28"/>
        <v>0</v>
      </c>
      <c r="L87" s="1282">
        <v>0</v>
      </c>
      <c r="M87" s="1282">
        <f t="shared" si="29"/>
        <v>0</v>
      </c>
      <c r="N87" s="1282">
        <f t="shared" si="29"/>
        <v>0</v>
      </c>
      <c r="Z87" s="2714"/>
      <c r="AA87" s="2790"/>
      <c r="AG87" s="1369"/>
      <c r="AK87" s="2790"/>
    </row>
    <row r="88" spans="1:37" ht="15" thickBot="1">
      <c r="A88" s="2880" t="s">
        <v>2960</v>
      </c>
      <c r="B88" s="2885">
        <f>估价对象房地状况!G18</f>
        <v>0</v>
      </c>
      <c r="C88" s="2764"/>
      <c r="D88" s="1283">
        <f t="shared" si="25"/>
        <v>0</v>
      </c>
      <c r="E88" s="821"/>
      <c r="F88" s="2495"/>
      <c r="G88" s="1281"/>
      <c r="H88" s="1285" t="str">
        <f t="shared" si="26"/>
        <v>——</v>
      </c>
      <c r="I88" s="818">
        <v>0.06</v>
      </c>
      <c r="J88" s="1282">
        <f t="shared" si="27"/>
        <v>0</v>
      </c>
      <c r="K88" s="1282">
        <f t="shared" si="28"/>
        <v>0</v>
      </c>
      <c r="L88" s="1282">
        <v>0</v>
      </c>
      <c r="M88" s="1282">
        <f t="shared" si="29"/>
        <v>0</v>
      </c>
      <c r="N88" s="1282">
        <f t="shared" si="29"/>
        <v>0</v>
      </c>
      <c r="Z88" s="2714"/>
      <c r="AA88" s="2790"/>
      <c r="AG88" s="1369"/>
      <c r="AK88" s="2790"/>
    </row>
    <row r="90" spans="1:37">
      <c r="A90" s="3321" t="s">
        <v>2961</v>
      </c>
      <c r="B90" s="3321"/>
      <c r="C90" s="3321"/>
      <c r="D90" s="3321"/>
      <c r="E90" s="3321"/>
      <c r="F90" s="3321"/>
      <c r="G90" s="3321"/>
      <c r="H90" s="3321"/>
      <c r="I90" s="3321"/>
      <c r="J90" s="3321"/>
      <c r="K90" s="2886"/>
      <c r="L90" s="2886"/>
      <c r="M90" s="2886"/>
      <c r="N90" s="2886"/>
    </row>
    <row r="91" spans="1:37">
      <c r="A91" s="3323" t="s">
        <v>2962</v>
      </c>
      <c r="B91" s="3323" t="s">
        <v>2963</v>
      </c>
      <c r="C91" s="2840" t="s">
        <v>2964</v>
      </c>
      <c r="D91" s="2841"/>
      <c r="E91" s="2841"/>
      <c r="F91" s="2841"/>
      <c r="G91" s="2841"/>
      <c r="H91" s="2841"/>
      <c r="I91" s="2841"/>
      <c r="J91" s="2887"/>
      <c r="K91" s="2888"/>
      <c r="L91" s="2888"/>
      <c r="M91" s="2888"/>
      <c r="N91" s="2888"/>
    </row>
    <row r="92" spans="1:37">
      <c r="A92" s="3323"/>
      <c r="B92" s="3323"/>
      <c r="C92" s="939" t="s">
        <v>2828</v>
      </c>
      <c r="D92" s="939" t="s">
        <v>2829</v>
      </c>
      <c r="E92" s="939" t="s">
        <v>2830</v>
      </c>
      <c r="F92" s="939" t="s">
        <v>2831</v>
      </c>
      <c r="G92" s="939" t="s">
        <v>2832</v>
      </c>
      <c r="H92" s="939" t="s">
        <v>2833</v>
      </c>
      <c r="I92" s="939" t="s">
        <v>2834</v>
      </c>
      <c r="J92" s="939" t="s">
        <v>2835</v>
      </c>
      <c r="K92" s="939" t="s">
        <v>2836</v>
      </c>
      <c r="L92" s="939" t="s">
        <v>2837</v>
      </c>
      <c r="M92" s="939" t="s">
        <v>2838</v>
      </c>
      <c r="N92" s="939" t="s">
        <v>2839</v>
      </c>
    </row>
    <row r="93" spans="1:37">
      <c r="A93" s="3324" t="s">
        <v>2965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2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2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2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2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2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25"/>
      <c r="B99" s="2889" t="s">
        <v>2844</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2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24" t="s">
        <v>2966</v>
      </c>
      <c r="B101" s="2893" t="s">
        <v>2967</v>
      </c>
      <c r="C101" s="2894">
        <f>$G$3</f>
        <v>8.8699999999999992</v>
      </c>
      <c r="D101" s="2894">
        <f t="shared" ref="D101:N101" si="31">$G$3</f>
        <v>8.8699999999999992</v>
      </c>
      <c r="E101" s="2894">
        <f t="shared" si="31"/>
        <v>8.8699999999999992</v>
      </c>
      <c r="F101" s="2894">
        <f t="shared" si="31"/>
        <v>8.8699999999999992</v>
      </c>
      <c r="G101" s="2894">
        <f t="shared" si="31"/>
        <v>8.8699999999999992</v>
      </c>
      <c r="H101" s="2894">
        <f t="shared" si="31"/>
        <v>8.8699999999999992</v>
      </c>
      <c r="I101" s="2894">
        <f t="shared" si="31"/>
        <v>8.8699999999999992</v>
      </c>
      <c r="J101" s="2894">
        <f t="shared" si="31"/>
        <v>8.8699999999999992</v>
      </c>
      <c r="K101" s="2894">
        <f t="shared" si="31"/>
        <v>8.8699999999999992</v>
      </c>
      <c r="L101" s="2894">
        <f t="shared" si="31"/>
        <v>8.8699999999999992</v>
      </c>
      <c r="M101" s="2894">
        <f t="shared" si="31"/>
        <v>8.8699999999999992</v>
      </c>
      <c r="N101" s="2894">
        <f t="shared" si="31"/>
        <v>8.8699999999999992</v>
      </c>
    </row>
    <row r="102" spans="1:14">
      <c r="A102" s="3325"/>
      <c r="B102" s="2889">
        <v>1</v>
      </c>
      <c r="C102" s="2890">
        <f>1.9362/C101</f>
        <v>0.21828635851183767</v>
      </c>
      <c r="D102" s="2890">
        <f>1.9362/D101</f>
        <v>0.21828635851183767</v>
      </c>
      <c r="E102" s="2890">
        <f>1.8629/E101</f>
        <v>0.21002254791431793</v>
      </c>
      <c r="F102" s="2890">
        <f>1.8629/F101</f>
        <v>0.21002254791431793</v>
      </c>
      <c r="G102" s="2890">
        <f>1.8629/G101</f>
        <v>0.21002254791431793</v>
      </c>
      <c r="H102" s="2890">
        <f>1.8629/H101</f>
        <v>0.21002254791431793</v>
      </c>
      <c r="I102" s="2890">
        <f>1.8629/I101</f>
        <v>0.21002254791431793</v>
      </c>
      <c r="J102" s="2890">
        <f>1.942/J101</f>
        <v>0.2189402480270575</v>
      </c>
      <c r="K102" s="2890">
        <f>1.942/K101</f>
        <v>0.2189402480270575</v>
      </c>
      <c r="L102" s="2890">
        <f>1.942/L101</f>
        <v>0.2189402480270575</v>
      </c>
      <c r="M102" s="2890">
        <f>1.942/M101</f>
        <v>0.2189402480270575</v>
      </c>
      <c r="N102" s="2890">
        <f>1.942/N101</f>
        <v>0.2189402480270575</v>
      </c>
    </row>
    <row r="103" spans="1:14">
      <c r="A103" s="3325"/>
      <c r="B103" s="2889">
        <v>2</v>
      </c>
      <c r="C103" s="2890">
        <f>1.4198/C101</f>
        <v>0.16006764374295379</v>
      </c>
      <c r="D103" s="2890">
        <f>1.4198/D101</f>
        <v>0.16006764374295379</v>
      </c>
      <c r="E103" s="2890">
        <f>1.3372/E101</f>
        <v>0.15075535512965052</v>
      </c>
      <c r="F103" s="2890">
        <f>1.3372/F101</f>
        <v>0.15075535512965052</v>
      </c>
      <c r="G103" s="2890">
        <f>1.3372/G101</f>
        <v>0.15075535512965052</v>
      </c>
      <c r="H103" s="2890">
        <f>1.3372/H101</f>
        <v>0.15075535512965052</v>
      </c>
      <c r="I103" s="2890">
        <f>1.3372/I101</f>
        <v>0.15075535512965052</v>
      </c>
      <c r="J103" s="2890">
        <f>1.2799/J101</f>
        <v>0.14429537767756484</v>
      </c>
      <c r="K103" s="2890">
        <f>1.2799/K101</f>
        <v>0.14429537767756484</v>
      </c>
      <c r="L103" s="2890">
        <f>1.2799/L101</f>
        <v>0.14429537767756484</v>
      </c>
      <c r="M103" s="2890">
        <f>1.2799/M101</f>
        <v>0.14429537767756484</v>
      </c>
      <c r="N103" s="2890">
        <f>1.2799/N101</f>
        <v>0.14429537767756484</v>
      </c>
    </row>
    <row r="104" spans="1:14">
      <c r="A104" s="3325"/>
      <c r="B104" s="2889">
        <v>3</v>
      </c>
      <c r="C104" s="2890">
        <f>1.1594/C101</f>
        <v>0.13071025930101465</v>
      </c>
      <c r="D104" s="2890">
        <f>1.1594/D101</f>
        <v>0.13071025930101465</v>
      </c>
      <c r="E104" s="2890">
        <f>1.0788/E101</f>
        <v>0.12162344983089066</v>
      </c>
      <c r="F104" s="2890">
        <f>1.0788/F101</f>
        <v>0.12162344983089066</v>
      </c>
      <c r="G104" s="2890">
        <f>1.0788/G101</f>
        <v>0.12162344983089066</v>
      </c>
      <c r="H104" s="2890">
        <f>1.0788/H101</f>
        <v>0.12162344983089066</v>
      </c>
      <c r="I104" s="2890">
        <f>1.0788/I101</f>
        <v>0.12162344983089066</v>
      </c>
      <c r="J104" s="2890">
        <f>1.0072/J101</f>
        <v>0.1135512965050733</v>
      </c>
      <c r="K104" s="2890">
        <f>1.0072/K101</f>
        <v>0.1135512965050733</v>
      </c>
      <c r="L104" s="2890">
        <f>1.0072/L101</f>
        <v>0.1135512965050733</v>
      </c>
      <c r="M104" s="2890">
        <f>1.0072/M101</f>
        <v>0.1135512965050733</v>
      </c>
      <c r="N104" s="2890">
        <f>1.0072/N101</f>
        <v>0.1135512965050733</v>
      </c>
    </row>
    <row r="105" spans="1:14">
      <c r="A105" s="3325"/>
      <c r="B105" s="2889">
        <v>4</v>
      </c>
      <c r="C105" s="2890">
        <f>0.9622/C101</f>
        <v>0.10847801578354004</v>
      </c>
      <c r="D105" s="2890">
        <f>0.9622/D101</f>
        <v>0.10847801578354004</v>
      </c>
      <c r="E105" s="2890">
        <f>0.8656/E101</f>
        <v>9.7587373167981981E-2</v>
      </c>
      <c r="F105" s="2890">
        <f>0.8656/F101</f>
        <v>9.7587373167981981E-2</v>
      </c>
      <c r="G105" s="2890">
        <f>0.8656/G101</f>
        <v>9.7587373167981981E-2</v>
      </c>
      <c r="H105" s="2890">
        <f>0.8656/H101</f>
        <v>9.7587373167981981E-2</v>
      </c>
      <c r="I105" s="2890">
        <f>0.8656/I101</f>
        <v>9.7587373167981981E-2</v>
      </c>
      <c r="J105" s="2890">
        <f>0.7525/J101</f>
        <v>8.4836527621195035E-2</v>
      </c>
      <c r="K105" s="2890">
        <f>0.7525/K101</f>
        <v>8.4836527621195035E-2</v>
      </c>
      <c r="L105" s="2890">
        <f>0.7525/L101</f>
        <v>8.4836527621195035E-2</v>
      </c>
      <c r="M105" s="2890">
        <f>0.7525/M101</f>
        <v>8.4836527621195035E-2</v>
      </c>
      <c r="N105" s="2890">
        <f>0.7525/N101</f>
        <v>8.4836527621195035E-2</v>
      </c>
    </row>
    <row r="106" spans="1:14">
      <c r="A106" s="3325"/>
      <c r="B106" s="2889">
        <v>5</v>
      </c>
      <c r="C106" s="2890">
        <f>0.8417/C101</f>
        <v>9.4892897406989862E-2</v>
      </c>
      <c r="D106" s="2890">
        <f>0.8417/D101</f>
        <v>9.4892897406989862E-2</v>
      </c>
      <c r="E106" s="2890">
        <f>0.7371/E101</f>
        <v>8.3100338218714778E-2</v>
      </c>
      <c r="F106" s="2890">
        <f>0.7371/F101</f>
        <v>8.3100338218714778E-2</v>
      </c>
      <c r="G106" s="2890">
        <f>0.7371/G101</f>
        <v>8.3100338218714778E-2</v>
      </c>
      <c r="H106" s="2890">
        <f>0.7371/H101</f>
        <v>8.3100338218714778E-2</v>
      </c>
      <c r="I106" s="2890">
        <f>0.7371/I101</f>
        <v>8.3100338218714778E-2</v>
      </c>
      <c r="J106" s="2890">
        <f>0.5659/J101</f>
        <v>6.3799323562570467E-2</v>
      </c>
      <c r="K106" s="2890">
        <f>0.5659/K101</f>
        <v>6.3799323562570467E-2</v>
      </c>
      <c r="L106" s="2890">
        <f>0.5659/L101</f>
        <v>6.3799323562570467E-2</v>
      </c>
      <c r="M106" s="2890">
        <f>0.5659/M101</f>
        <v>6.3799323562570467E-2</v>
      </c>
      <c r="N106" s="2890">
        <f>0.5659/N101</f>
        <v>6.3799323562570467E-2</v>
      </c>
    </row>
    <row r="107" spans="1:14">
      <c r="A107" s="3325"/>
      <c r="B107" s="2889">
        <v>6</v>
      </c>
      <c r="C107" s="2890">
        <f>0.7608/C101</f>
        <v>8.5772266065388958E-2</v>
      </c>
      <c r="D107" s="2890">
        <f>0.7608/D101</f>
        <v>8.5772266065388958E-2</v>
      </c>
      <c r="E107" s="2890">
        <f>0.6482/E101</f>
        <v>7.3077790304396845E-2</v>
      </c>
      <c r="F107" s="2890">
        <f>0.6482/F101</f>
        <v>7.3077790304396845E-2</v>
      </c>
      <c r="G107" s="2890">
        <f>0.6482/G101</f>
        <v>7.3077790304396845E-2</v>
      </c>
      <c r="H107" s="2890">
        <f>0.6482/H101</f>
        <v>7.3077790304396845E-2</v>
      </c>
      <c r="I107" s="2890">
        <f>0.6482/I101</f>
        <v>7.3077790304396845E-2</v>
      </c>
      <c r="J107" s="2890">
        <f>0.4525/J101</f>
        <v>5.1014656144306655E-2</v>
      </c>
      <c r="K107" s="2890">
        <f>0.4525/K101</f>
        <v>5.1014656144306655E-2</v>
      </c>
      <c r="L107" s="2890">
        <f>0.4525/L101</f>
        <v>5.1014656144306655E-2</v>
      </c>
      <c r="M107" s="2890">
        <f>0.4525/M101</f>
        <v>5.1014656144306655E-2</v>
      </c>
      <c r="N107" s="2890">
        <f>0.4525/N101</f>
        <v>5.1014656144306655E-2</v>
      </c>
    </row>
    <row r="108" spans="1:14">
      <c r="A108" s="3325"/>
      <c r="B108" s="3178" t="s">
        <v>2968</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26"/>
      <c r="B109" s="3179"/>
      <c r="C109" s="2892">
        <f>(-0.163*(C108^2)-0.59*C108+7617)*(10^(-4))/C101</f>
        <v>8.5873731679819626E-2</v>
      </c>
      <c r="D109" s="2892">
        <f>(-0.163*(D108^2)-0.59*D108+7617)*(10^(-4))/D101</f>
        <v>8.5873731679819626E-2</v>
      </c>
      <c r="E109" s="2892">
        <f>(-0.161*(E108^2)-7.509*E108+6533)*(10^(-4))/E101</f>
        <v>7.3652762119503945E-2</v>
      </c>
      <c r="F109" s="2892">
        <f>(-0.161*(F108^2)-7.509*F108+6533)*(10^(-4))/F101</f>
        <v>7.3652762119503945E-2</v>
      </c>
      <c r="G109" s="2892">
        <f>(-0.161*(G108^2)-7.509*G108+6533)*(10^(-4))/G101</f>
        <v>7.3652762119503945E-2</v>
      </c>
      <c r="H109" s="2892">
        <f>(-0.161*(H108^2)-7.509*H108+6533)*(10^(-4))/H101</f>
        <v>7.3652762119503945E-2</v>
      </c>
      <c r="I109" s="2892">
        <f>(-0.161*(I108^2)-7.509*I108+6533)*(10^(-4))/I101</f>
        <v>7.3652762119503945E-2</v>
      </c>
      <c r="J109" s="2892">
        <f>(-0.214*(J108^2)-21.991*J108+4665)*(10^(-4))/J101</f>
        <v>5.2593010146561453E-2</v>
      </c>
      <c r="K109" s="2892">
        <f>(-0.214*(K108^2)-21.991*K108+4665)*(10^(-4))/K101</f>
        <v>5.2593010146561453E-2</v>
      </c>
      <c r="L109" s="2892">
        <f>(-0.214*(L108^2)-21.991*L108+4665)*(10^(-4))/L101</f>
        <v>5.2593010146561453E-2</v>
      </c>
      <c r="M109" s="2892">
        <f>(-0.214*(M108^2)-21.991*M108+4665)*(10^(-4))/M101</f>
        <v>5.2593010146561453E-2</v>
      </c>
      <c r="N109" s="2892">
        <f>(-0.214*(N108^2)-21.991*N108+4665)*(10^(-4))/N101</f>
        <v>5.2593010146561453E-2</v>
      </c>
    </row>
    <row r="110" spans="1:14">
      <c r="A110" s="3322" t="s">
        <v>2969</v>
      </c>
      <c r="B110" s="3322"/>
      <c r="C110" s="3322"/>
      <c r="D110" s="3322"/>
      <c r="E110" s="3322"/>
      <c r="F110" s="3322"/>
      <c r="G110" s="3322"/>
      <c r="H110" s="3322"/>
      <c r="I110" s="3322"/>
      <c r="J110" s="3322"/>
      <c r="K110" s="2895"/>
      <c r="L110" s="2895"/>
      <c r="M110" s="2895"/>
      <c r="N110" s="2895"/>
    </row>
    <row r="112" spans="1:14" ht="13.5" thickBot="1"/>
    <row r="113" spans="1:13" ht="25.5" thickBot="1">
      <c r="A113" s="897" t="s">
        <v>2970</v>
      </c>
      <c r="B113" s="1284">
        <f>G3</f>
        <v>8.8699999999999992</v>
      </c>
      <c r="C113" s="898" t="s">
        <v>2971</v>
      </c>
      <c r="D113" s="899">
        <f>SUMPRODUCT((A115:A118=F113)*(B114:M114=H113)*B115:M118)</f>
        <v>0</v>
      </c>
      <c r="E113" s="2718" t="s">
        <v>2801</v>
      </c>
      <c r="F113" s="2897">
        <f>E2</f>
        <v>0</v>
      </c>
      <c r="G113" s="2718" t="s">
        <v>2802</v>
      </c>
      <c r="H113" s="2897">
        <f>G2</f>
        <v>0</v>
      </c>
      <c r="I113" s="2718"/>
      <c r="J113" s="2898"/>
      <c r="K113" s="2898"/>
      <c r="L113" s="2898"/>
      <c r="M113" s="2898"/>
    </row>
    <row r="114" spans="1:13">
      <c r="A114" s="902"/>
      <c r="B114" s="2899" t="s">
        <v>2972</v>
      </c>
      <c r="C114" s="2899" t="s">
        <v>2973</v>
      </c>
      <c r="D114" s="2899" t="s">
        <v>2974</v>
      </c>
      <c r="E114" s="2900" t="s">
        <v>2975</v>
      </c>
      <c r="F114" s="2900" t="s">
        <v>2976</v>
      </c>
      <c r="G114" s="2900" t="s">
        <v>2977</v>
      </c>
      <c r="H114" s="2901" t="s">
        <v>2978</v>
      </c>
      <c r="I114" s="2901" t="s">
        <v>2979</v>
      </c>
      <c r="J114" s="2902" t="s">
        <v>2980</v>
      </c>
      <c r="K114" s="2902" t="s">
        <v>2981</v>
      </c>
      <c r="L114" s="2902" t="s">
        <v>2982</v>
      </c>
      <c r="M114" s="2903" t="s">
        <v>2983</v>
      </c>
    </row>
    <row r="115" spans="1:13">
      <c r="A115" s="903" t="s">
        <v>2866</v>
      </c>
      <c r="B115" s="904">
        <f>ROUND(0.9335-0.0094*B113,4)</f>
        <v>0.85009999999999997</v>
      </c>
      <c r="C115" s="904">
        <f>B115</f>
        <v>0.85009999999999997</v>
      </c>
      <c r="D115" s="904">
        <f>ROUND(0.8331-0.0109*B113,4)</f>
        <v>0.73640000000000005</v>
      </c>
      <c r="E115" s="904">
        <f>D115</f>
        <v>0.73640000000000005</v>
      </c>
      <c r="F115" s="904">
        <f>E115</f>
        <v>0.73640000000000005</v>
      </c>
      <c r="G115" s="904">
        <f>F115</f>
        <v>0.73640000000000005</v>
      </c>
      <c r="H115" s="904">
        <f>G115</f>
        <v>0.73640000000000005</v>
      </c>
      <c r="I115" s="904">
        <f>ROUND(0.689-0.0155*B113,4)</f>
        <v>0.55149999999999999</v>
      </c>
      <c r="J115" s="904">
        <f t="shared" ref="J115:M118" si="33">I115</f>
        <v>0.55149999999999999</v>
      </c>
      <c r="K115" s="904">
        <f t="shared" si="33"/>
        <v>0.55149999999999999</v>
      </c>
      <c r="L115" s="904">
        <f t="shared" si="33"/>
        <v>0.55149999999999999</v>
      </c>
      <c r="M115" s="905">
        <f t="shared" si="33"/>
        <v>0.55149999999999999</v>
      </c>
    </row>
    <row r="116" spans="1:13">
      <c r="A116" s="903" t="s">
        <v>2867</v>
      </c>
      <c r="B116" s="904">
        <f>ROUND(0.949-0.012*B113,4)</f>
        <v>0.84260000000000002</v>
      </c>
      <c r="C116" s="904">
        <f>B116</f>
        <v>0.84260000000000002</v>
      </c>
      <c r="D116" s="904">
        <f>ROUND(0.8567-0.013*B113,4)</f>
        <v>0.74139999999999995</v>
      </c>
      <c r="E116" s="904">
        <f t="shared" ref="E116:H117" si="34">D116</f>
        <v>0.74139999999999995</v>
      </c>
      <c r="F116" s="904">
        <f t="shared" si="34"/>
        <v>0.74139999999999995</v>
      </c>
      <c r="G116" s="904">
        <f t="shared" si="34"/>
        <v>0.74139999999999995</v>
      </c>
      <c r="H116" s="904">
        <f t="shared" si="34"/>
        <v>0.74139999999999995</v>
      </c>
      <c r="I116" s="904">
        <f>ROUND(0.7694-0.014*B113,4)</f>
        <v>0.6452</v>
      </c>
      <c r="J116" s="904">
        <f t="shared" si="33"/>
        <v>0.6452</v>
      </c>
      <c r="K116" s="904">
        <f t="shared" si="33"/>
        <v>0.6452</v>
      </c>
      <c r="L116" s="904">
        <f t="shared" si="33"/>
        <v>0.6452</v>
      </c>
      <c r="M116" s="905">
        <f t="shared" si="33"/>
        <v>0.6452</v>
      </c>
    </row>
    <row r="117" spans="1:13">
      <c r="A117" s="903" t="s">
        <v>2868</v>
      </c>
      <c r="B117" s="904">
        <f>ROUND(0.8808-0.006*B113,4)</f>
        <v>0.8276</v>
      </c>
      <c r="C117" s="904">
        <f>B117</f>
        <v>0.8276</v>
      </c>
      <c r="D117" s="904">
        <f>ROUND(0.8748-0.008*B113,4)</f>
        <v>0.80379999999999996</v>
      </c>
      <c r="E117" s="904">
        <f t="shared" si="34"/>
        <v>0.80379999999999996</v>
      </c>
      <c r="F117" s="904">
        <f t="shared" si="34"/>
        <v>0.80379999999999996</v>
      </c>
      <c r="G117" s="904">
        <f t="shared" si="34"/>
        <v>0.80379999999999996</v>
      </c>
      <c r="H117" s="904">
        <f t="shared" si="34"/>
        <v>0.80379999999999996</v>
      </c>
      <c r="I117" s="904">
        <f>ROUND(0.7412-0.0095*B113,4)</f>
        <v>0.65690000000000004</v>
      </c>
      <c r="J117" s="904">
        <f t="shared" si="33"/>
        <v>0.65690000000000004</v>
      </c>
      <c r="K117" s="904">
        <f t="shared" si="33"/>
        <v>0.65690000000000004</v>
      </c>
      <c r="L117" s="904">
        <f t="shared" si="33"/>
        <v>0.65690000000000004</v>
      </c>
      <c r="M117" s="905">
        <f t="shared" si="33"/>
        <v>0.65690000000000004</v>
      </c>
    </row>
    <row r="118" spans="1:13" ht="13.5" thickBot="1">
      <c r="A118" s="714" t="s">
        <v>2869</v>
      </c>
      <c r="B118" s="906">
        <f>ROUND(0.7275-0.01*B113,4)</f>
        <v>0.63880000000000003</v>
      </c>
      <c r="C118" s="906">
        <f>B118</f>
        <v>0.63880000000000003</v>
      </c>
      <c r="D118" s="906">
        <f>ROUND(0.7043-0.012*B113,4)</f>
        <v>0.59789999999999999</v>
      </c>
      <c r="E118" s="906">
        <f>D118</f>
        <v>0.59789999999999999</v>
      </c>
      <c r="F118" s="906">
        <f>E118</f>
        <v>0.59789999999999999</v>
      </c>
      <c r="G118" s="906">
        <f>ROUND(0.6299-0.0122*B113,4)</f>
        <v>0.52170000000000005</v>
      </c>
      <c r="H118" s="906">
        <f>G118</f>
        <v>0.52170000000000005</v>
      </c>
      <c r="I118" s="906">
        <f>ROUND(0.5667-0.0136*B113,4)</f>
        <v>0.4461</v>
      </c>
      <c r="J118" s="906">
        <f t="shared" si="33"/>
        <v>0.4461</v>
      </c>
      <c r="K118" s="906">
        <f t="shared" si="33"/>
        <v>0.4461</v>
      </c>
      <c r="L118" s="906">
        <f t="shared" si="33"/>
        <v>0.4461</v>
      </c>
      <c r="M118" s="907">
        <f t="shared" si="33"/>
        <v>0.4461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0" t="s">
        <v>183</v>
      </c>
      <c r="B18" s="876" t="s">
        <v>560</v>
      </c>
      <c r="C18" s="877" t="s">
        <v>561</v>
      </c>
      <c r="D18" s="878"/>
      <c r="E18" s="876">
        <v>1</v>
      </c>
      <c r="F18" s="879" t="s">
        <v>562</v>
      </c>
      <c r="G18" s="880"/>
      <c r="H18" s="872"/>
      <c r="I18" s="872"/>
    </row>
    <row r="19" spans="1:9" s="881" customFormat="1" ht="19.5" customHeight="1">
      <c r="A19" s="3330"/>
      <c r="B19" s="3330" t="s">
        <v>563</v>
      </c>
      <c r="C19" s="877" t="s">
        <v>564</v>
      </c>
      <c r="D19" s="878"/>
      <c r="E19" s="876">
        <v>0.9</v>
      </c>
      <c r="F19" s="879" t="s">
        <v>565</v>
      </c>
      <c r="G19" s="880"/>
      <c r="H19" s="872"/>
      <c r="I19" s="872"/>
    </row>
    <row r="20" spans="1:9" s="881" customFormat="1" ht="19.5" customHeight="1">
      <c r="A20" s="3330"/>
      <c r="B20" s="3330"/>
      <c r="C20" s="877" t="s">
        <v>566</v>
      </c>
      <c r="D20" s="878"/>
      <c r="E20" s="876">
        <v>1.1000000000000001</v>
      </c>
      <c r="F20" s="879" t="s">
        <v>567</v>
      </c>
      <c r="G20" s="880"/>
      <c r="H20" s="872"/>
      <c r="I20" s="872"/>
    </row>
    <row r="21" spans="1:9" s="881" customFormat="1" ht="19.5" customHeight="1">
      <c r="A21" s="3330"/>
      <c r="B21" s="3330"/>
      <c r="C21" s="877" t="s">
        <v>568</v>
      </c>
      <c r="D21" s="878"/>
      <c r="E21" s="876">
        <v>0.8</v>
      </c>
      <c r="F21" s="879" t="s">
        <v>569</v>
      </c>
      <c r="G21" s="880"/>
      <c r="H21" s="872"/>
      <c r="I21" s="872"/>
    </row>
    <row r="22" spans="1:9" s="881" customFormat="1" ht="19.5" customHeight="1">
      <c r="A22" s="3330"/>
      <c r="B22" s="3330"/>
      <c r="C22" s="877" t="s">
        <v>570</v>
      </c>
      <c r="D22" s="878"/>
      <c r="E22" s="876">
        <v>0.5</v>
      </c>
      <c r="F22" s="879"/>
      <c r="G22" s="880"/>
      <c r="H22" s="872"/>
      <c r="I22" s="872"/>
    </row>
    <row r="23" spans="1:9" s="881" customFormat="1" ht="19.5" customHeight="1">
      <c r="A23" s="3330" t="s">
        <v>184</v>
      </c>
      <c r="B23" s="876" t="s">
        <v>560</v>
      </c>
      <c r="C23" s="877" t="s">
        <v>571</v>
      </c>
      <c r="D23" s="878"/>
      <c r="E23" s="876">
        <v>1</v>
      </c>
      <c r="F23" s="879" t="s">
        <v>572</v>
      </c>
      <c r="G23" s="880"/>
      <c r="H23" s="872"/>
      <c r="I23" s="872"/>
    </row>
    <row r="24" spans="1:9" s="881" customFormat="1" ht="19.5" customHeight="1">
      <c r="A24" s="3330"/>
      <c r="B24" s="3330" t="s">
        <v>563</v>
      </c>
      <c r="C24" s="877" t="s">
        <v>573</v>
      </c>
      <c r="D24" s="878"/>
      <c r="E24" s="876">
        <v>0.5</v>
      </c>
      <c r="F24" s="879"/>
      <c r="G24" s="880"/>
      <c r="H24" s="872"/>
      <c r="I24" s="872"/>
    </row>
    <row r="25" spans="1:9" s="881" customFormat="1" ht="19.5" customHeight="1">
      <c r="A25" s="3330"/>
      <c r="B25" s="3330"/>
      <c r="C25" s="877" t="s">
        <v>574</v>
      </c>
      <c r="D25" s="878"/>
      <c r="E25" s="876">
        <v>1.1000000000000001</v>
      </c>
      <c r="F25" s="879"/>
      <c r="G25" s="880"/>
      <c r="H25" s="872"/>
      <c r="I25" s="872"/>
    </row>
    <row r="26" spans="1:9" s="881" customFormat="1" ht="19.5" customHeight="1">
      <c r="A26" s="3330"/>
      <c r="B26" s="3330"/>
      <c r="C26" s="877" t="s">
        <v>575</v>
      </c>
      <c r="D26" s="878"/>
      <c r="E26" s="876">
        <v>1.1000000000000001</v>
      </c>
      <c r="F26" s="879"/>
      <c r="G26" s="880"/>
      <c r="H26" s="872"/>
      <c r="I26" s="872"/>
    </row>
    <row r="27" spans="1:9" s="881" customFormat="1" ht="19.5" customHeight="1">
      <c r="A27" s="3330"/>
      <c r="B27" s="3330"/>
      <c r="C27" s="877" t="s">
        <v>576</v>
      </c>
      <c r="D27" s="878"/>
      <c r="E27" s="876">
        <v>0.9</v>
      </c>
      <c r="F27" s="879" t="s">
        <v>577</v>
      </c>
      <c r="G27" s="880"/>
      <c r="H27" s="872"/>
      <c r="I27" s="872"/>
    </row>
    <row r="28" spans="1:9" s="881" customFormat="1" ht="19.5" customHeight="1">
      <c r="A28" s="3330"/>
      <c r="B28" s="3330"/>
      <c r="C28" s="877" t="s">
        <v>578</v>
      </c>
      <c r="D28" s="878"/>
      <c r="E28" s="876">
        <v>0.9</v>
      </c>
      <c r="F28" s="879" t="s">
        <v>579</v>
      </c>
      <c r="G28" s="880"/>
      <c r="H28" s="872"/>
      <c r="I28" s="872"/>
    </row>
    <row r="29" spans="1:9" s="881" customFormat="1" ht="19.5" customHeight="1">
      <c r="A29" s="3330"/>
      <c r="B29" s="3330"/>
      <c r="C29" s="877" t="s">
        <v>580</v>
      </c>
      <c r="D29" s="878"/>
      <c r="E29" s="876">
        <v>0.9</v>
      </c>
      <c r="F29" s="879" t="s">
        <v>581</v>
      </c>
      <c r="G29" s="880"/>
      <c r="H29" s="872"/>
      <c r="I29" s="872"/>
    </row>
    <row r="30" spans="1:9" s="881" customFormat="1" ht="19.5" customHeight="1">
      <c r="A30" s="3330"/>
      <c r="B30" s="3330"/>
      <c r="C30" s="877" t="s">
        <v>582</v>
      </c>
      <c r="D30" s="878"/>
      <c r="E30" s="876">
        <v>0.9</v>
      </c>
      <c r="F30" s="879" t="s">
        <v>583</v>
      </c>
      <c r="G30" s="880"/>
      <c r="H30" s="872"/>
      <c r="I30" s="872"/>
    </row>
    <row r="31" spans="1:9" s="881" customFormat="1" ht="19.5" customHeight="1">
      <c r="A31" s="3330"/>
      <c r="B31" s="3330"/>
      <c r="C31" s="877" t="s">
        <v>584</v>
      </c>
      <c r="D31" s="878"/>
      <c r="E31" s="876">
        <v>0.8</v>
      </c>
      <c r="F31" s="879" t="s">
        <v>585</v>
      </c>
      <c r="G31" s="880"/>
      <c r="H31" s="872"/>
      <c r="I31" s="872"/>
    </row>
    <row r="32" spans="1:9" s="881" customFormat="1" ht="19.5" customHeight="1">
      <c r="A32" s="3330"/>
      <c r="B32" s="3330"/>
      <c r="C32" s="877" t="s">
        <v>586</v>
      </c>
      <c r="D32" s="878"/>
      <c r="E32" s="876">
        <v>0.8</v>
      </c>
      <c r="F32" s="879" t="s">
        <v>587</v>
      </c>
      <c r="G32" s="880"/>
      <c r="H32" s="872"/>
      <c r="I32" s="872"/>
    </row>
    <row r="33" spans="1:9" s="881" customFormat="1" ht="19.5" customHeight="1">
      <c r="A33" s="3330" t="s">
        <v>185</v>
      </c>
      <c r="B33" s="876" t="s">
        <v>560</v>
      </c>
      <c r="C33" s="877" t="s">
        <v>588</v>
      </c>
      <c r="D33" s="878"/>
      <c r="E33" s="876">
        <v>1</v>
      </c>
      <c r="F33" s="879" t="s">
        <v>589</v>
      </c>
      <c r="G33" s="880"/>
      <c r="H33" s="872"/>
      <c r="I33" s="872"/>
    </row>
    <row r="34" spans="1:9" s="881" customFormat="1" ht="19.5" customHeight="1">
      <c r="A34" s="3330"/>
      <c r="B34" s="876" t="s">
        <v>563</v>
      </c>
      <c r="C34" s="877" t="s">
        <v>590</v>
      </c>
      <c r="D34" s="878"/>
      <c r="E34" s="876">
        <v>1.5</v>
      </c>
      <c r="F34" s="879" t="s">
        <v>591</v>
      </c>
      <c r="G34" s="880"/>
      <c r="H34" s="872"/>
      <c r="I34" s="872"/>
    </row>
    <row r="35" spans="1:9" s="881" customFormat="1" ht="19.5" customHeight="1">
      <c r="A35" s="3330" t="s">
        <v>186</v>
      </c>
      <c r="B35" s="876" t="s">
        <v>560</v>
      </c>
      <c r="C35" s="877" t="s">
        <v>592</v>
      </c>
      <c r="D35" s="878"/>
      <c r="E35" s="876">
        <v>1</v>
      </c>
      <c r="F35" s="879" t="s">
        <v>593</v>
      </c>
      <c r="G35" s="880"/>
      <c r="H35" s="872"/>
      <c r="I35" s="872"/>
    </row>
    <row r="36" spans="1:9" s="881" customFormat="1" ht="19.5" customHeight="1">
      <c r="A36" s="3330"/>
      <c r="B36" s="3330" t="s">
        <v>563</v>
      </c>
      <c r="C36" s="877" t="s">
        <v>594</v>
      </c>
      <c r="D36" s="878"/>
      <c r="E36" s="876">
        <v>1</v>
      </c>
      <c r="F36" s="879" t="s">
        <v>595</v>
      </c>
      <c r="G36" s="880"/>
      <c r="H36" s="872"/>
      <c r="I36" s="872"/>
    </row>
    <row r="37" spans="1:9" s="881" customFormat="1" ht="19.5" customHeight="1">
      <c r="A37" s="3330"/>
      <c r="B37" s="3330"/>
      <c r="C37" s="877" t="s">
        <v>596</v>
      </c>
      <c r="D37" s="878"/>
      <c r="E37" s="876">
        <v>1.5</v>
      </c>
      <c r="F37" s="879" t="s">
        <v>597</v>
      </c>
      <c r="G37" s="880"/>
      <c r="H37" s="872"/>
      <c r="I37" s="872"/>
    </row>
    <row r="38" spans="1:9" s="881" customFormat="1" ht="19.5" customHeight="1">
      <c r="A38" s="3330"/>
      <c r="B38" s="3330"/>
      <c r="C38" s="877" t="s">
        <v>598</v>
      </c>
      <c r="D38" s="878"/>
      <c r="E38" s="876">
        <v>1</v>
      </c>
      <c r="F38" s="879" t="s">
        <v>599</v>
      </c>
      <c r="G38" s="880"/>
      <c r="H38" s="872"/>
      <c r="I38" s="872"/>
    </row>
    <row r="39" spans="1:9" s="881" customFormat="1" ht="19.5" customHeight="1">
      <c r="A39" s="3330"/>
      <c r="B39" s="3330"/>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30" t="s">
        <v>614</v>
      </c>
      <c r="C61" s="812" t="s">
        <v>615</v>
      </c>
      <c r="D61" s="812" t="s">
        <v>616</v>
      </c>
      <c r="E61" s="889">
        <v>0.5</v>
      </c>
      <c r="F61" s="876">
        <v>80</v>
      </c>
    </row>
    <row r="62" spans="1:8" s="872" customFormat="1" ht="24">
      <c r="A62" s="876">
        <v>2</v>
      </c>
      <c r="B62" s="3330"/>
      <c r="C62" s="812" t="s">
        <v>617</v>
      </c>
      <c r="D62" s="812" t="s">
        <v>618</v>
      </c>
      <c r="E62" s="889">
        <v>0.5</v>
      </c>
      <c r="F62" s="876">
        <v>80</v>
      </c>
    </row>
    <row r="63" spans="1:8" s="872" customFormat="1" ht="36">
      <c r="A63" s="876">
        <v>3</v>
      </c>
      <c r="B63" s="3330"/>
      <c r="C63" s="812" t="s">
        <v>619</v>
      </c>
      <c r="D63" s="812" t="s">
        <v>620</v>
      </c>
      <c r="E63" s="889">
        <v>0.5</v>
      </c>
      <c r="F63" s="876">
        <v>80</v>
      </c>
    </row>
    <row r="64" spans="1:8" s="872" customFormat="1" ht="36">
      <c r="A64" s="876">
        <v>4</v>
      </c>
      <c r="B64" s="3330"/>
      <c r="C64" s="812" t="s">
        <v>621</v>
      </c>
      <c r="D64" s="812" t="s">
        <v>622</v>
      </c>
      <c r="E64" s="889">
        <v>0.4</v>
      </c>
      <c r="F64" s="876">
        <v>60</v>
      </c>
    </row>
    <row r="65" spans="1:6" s="872" customFormat="1" ht="36">
      <c r="A65" s="876">
        <v>5</v>
      </c>
      <c r="B65" s="3330"/>
      <c r="C65" s="812" t="s">
        <v>623</v>
      </c>
      <c r="D65" s="812" t="s">
        <v>624</v>
      </c>
      <c r="E65" s="889">
        <v>0.2</v>
      </c>
      <c r="F65" s="876">
        <v>30</v>
      </c>
    </row>
    <row r="66" spans="1:6" s="872" customFormat="1" ht="36">
      <c r="A66" s="876">
        <v>6</v>
      </c>
      <c r="B66" s="3330"/>
      <c r="C66" s="812" t="s">
        <v>625</v>
      </c>
      <c r="D66" s="812" t="s">
        <v>626</v>
      </c>
      <c r="E66" s="889">
        <v>0.3</v>
      </c>
      <c r="F66" s="876">
        <v>50</v>
      </c>
    </row>
    <row r="67" spans="1:6" s="872" customFormat="1" ht="36">
      <c r="A67" s="876">
        <v>7</v>
      </c>
      <c r="B67" s="3330"/>
      <c r="C67" s="812" t="s">
        <v>627</v>
      </c>
      <c r="D67" s="812" t="s">
        <v>628</v>
      </c>
      <c r="E67" s="889">
        <v>0.2</v>
      </c>
      <c r="F67" s="876">
        <v>30</v>
      </c>
    </row>
    <row r="68" spans="1:6" s="872" customFormat="1" ht="36">
      <c r="A68" s="876">
        <v>8</v>
      </c>
      <c r="B68" s="3330"/>
      <c r="C68" s="812" t="s">
        <v>629</v>
      </c>
      <c r="D68" s="812" t="s">
        <v>630</v>
      </c>
      <c r="E68" s="889">
        <v>0.2</v>
      </c>
      <c r="F68" s="876">
        <v>30</v>
      </c>
    </row>
    <row r="69" spans="1:6" s="872" customFormat="1" ht="36">
      <c r="A69" s="876">
        <v>9</v>
      </c>
      <c r="B69" s="3330"/>
      <c r="C69" s="812" t="s">
        <v>631</v>
      </c>
      <c r="D69" s="812" t="s">
        <v>632</v>
      </c>
      <c r="E69" s="889">
        <v>0.2</v>
      </c>
      <c r="F69" s="876">
        <v>30</v>
      </c>
    </row>
    <row r="70" spans="1:6" s="872" customFormat="1" ht="48">
      <c r="A70" s="876">
        <v>10</v>
      </c>
      <c r="B70" s="3330"/>
      <c r="C70" s="812" t="s">
        <v>633</v>
      </c>
      <c r="D70" s="812" t="s">
        <v>634</v>
      </c>
      <c r="E70" s="889">
        <v>0.2</v>
      </c>
      <c r="F70" s="876">
        <v>30</v>
      </c>
    </row>
    <row r="71" spans="1:6" s="872" customFormat="1" ht="48">
      <c r="A71" s="876">
        <v>11</v>
      </c>
      <c r="B71" s="3330"/>
      <c r="C71" s="812" t="s">
        <v>635</v>
      </c>
      <c r="D71" s="812" t="s">
        <v>636</v>
      </c>
      <c r="E71" s="889">
        <v>0.2</v>
      </c>
      <c r="F71" s="876">
        <v>30</v>
      </c>
    </row>
    <row r="72" spans="1:6" s="872" customFormat="1" ht="36">
      <c r="A72" s="876">
        <v>12</v>
      </c>
      <c r="B72" s="3330"/>
      <c r="C72" s="812" t="s">
        <v>637</v>
      </c>
      <c r="D72" s="812" t="s">
        <v>638</v>
      </c>
      <c r="E72" s="889">
        <v>0.5</v>
      </c>
      <c r="F72" s="876">
        <v>80</v>
      </c>
    </row>
    <row r="73" spans="1:6" s="872" customFormat="1" ht="24">
      <c r="A73" s="876">
        <v>13</v>
      </c>
      <c r="B73" s="3330"/>
      <c r="C73" s="812" t="s">
        <v>639</v>
      </c>
      <c r="D73" s="812" t="s">
        <v>640</v>
      </c>
      <c r="E73" s="889">
        <v>0.4</v>
      </c>
      <c r="F73" s="876">
        <v>60</v>
      </c>
    </row>
    <row r="74" spans="1:6" s="872" customFormat="1" ht="24">
      <c r="A74" s="876">
        <v>14</v>
      </c>
      <c r="B74" s="3330"/>
      <c r="C74" s="812" t="s">
        <v>641</v>
      </c>
      <c r="D74" s="812" t="s">
        <v>642</v>
      </c>
      <c r="E74" s="889">
        <v>0.2</v>
      </c>
      <c r="F74" s="876">
        <v>30</v>
      </c>
    </row>
    <row r="75" spans="1:6" s="872" customFormat="1" ht="24">
      <c r="A75" s="876">
        <v>15</v>
      </c>
      <c r="B75" s="3330"/>
      <c r="C75" s="812" t="s">
        <v>643</v>
      </c>
      <c r="D75" s="812" t="s">
        <v>644</v>
      </c>
      <c r="E75" s="889">
        <v>0.2</v>
      </c>
      <c r="F75" s="876">
        <v>30</v>
      </c>
    </row>
    <row r="76" spans="1:6" s="872" customFormat="1" ht="24">
      <c r="A76" s="876">
        <v>16</v>
      </c>
      <c r="B76" s="3330" t="s">
        <v>645</v>
      </c>
      <c r="C76" s="812" t="s">
        <v>646</v>
      </c>
      <c r="D76" s="812" t="s">
        <v>647</v>
      </c>
      <c r="E76" s="889">
        <v>0.5</v>
      </c>
      <c r="F76" s="876">
        <v>80</v>
      </c>
    </row>
    <row r="77" spans="1:6" s="872" customFormat="1" ht="24">
      <c r="A77" s="876">
        <v>17</v>
      </c>
      <c r="B77" s="3330"/>
      <c r="C77" s="812" t="s">
        <v>648</v>
      </c>
      <c r="D77" s="812" t="s">
        <v>649</v>
      </c>
      <c r="E77" s="889">
        <v>0.5</v>
      </c>
      <c r="F77" s="876">
        <v>80</v>
      </c>
    </row>
    <row r="78" spans="1:6" s="872" customFormat="1" ht="24">
      <c r="A78" s="876">
        <v>18</v>
      </c>
      <c r="B78" s="3330"/>
      <c r="C78" s="812" t="s">
        <v>650</v>
      </c>
      <c r="D78" s="812" t="s">
        <v>651</v>
      </c>
      <c r="E78" s="889">
        <v>0.2</v>
      </c>
      <c r="F78" s="876">
        <v>30</v>
      </c>
    </row>
    <row r="79" spans="1:6" s="872" customFormat="1" ht="24">
      <c r="A79" s="876">
        <v>19</v>
      </c>
      <c r="B79" s="3330"/>
      <c r="C79" s="812" t="s">
        <v>652</v>
      </c>
      <c r="D79" s="812" t="s">
        <v>653</v>
      </c>
      <c r="E79" s="889">
        <v>0.5</v>
      </c>
      <c r="F79" s="876">
        <v>80</v>
      </c>
    </row>
    <row r="80" spans="1:6" s="872" customFormat="1" ht="36">
      <c r="A80" s="876">
        <v>20</v>
      </c>
      <c r="B80" s="3330"/>
      <c r="C80" s="812" t="s">
        <v>654</v>
      </c>
      <c r="D80" s="812" t="s">
        <v>655</v>
      </c>
      <c r="E80" s="889">
        <v>0.2</v>
      </c>
      <c r="F80" s="876">
        <v>30</v>
      </c>
    </row>
    <row r="81" spans="1:6" s="872" customFormat="1" ht="36">
      <c r="A81" s="876">
        <v>21</v>
      </c>
      <c r="B81" s="3330"/>
      <c r="C81" s="812" t="s">
        <v>656</v>
      </c>
      <c r="D81" s="812" t="s">
        <v>657</v>
      </c>
      <c r="E81" s="889">
        <v>0.2</v>
      </c>
      <c r="F81" s="876">
        <v>30</v>
      </c>
    </row>
    <row r="82" spans="1:6" s="872" customFormat="1" ht="48">
      <c r="A82" s="876">
        <v>22</v>
      </c>
      <c r="B82" s="3330"/>
      <c r="C82" s="812" t="s">
        <v>658</v>
      </c>
      <c r="D82" s="812" t="s">
        <v>659</v>
      </c>
      <c r="E82" s="889">
        <v>0.2</v>
      </c>
      <c r="F82" s="876">
        <v>30</v>
      </c>
    </row>
    <row r="83" spans="1:6" s="872" customFormat="1" ht="48">
      <c r="A83" s="876">
        <v>23</v>
      </c>
      <c r="B83" s="3330"/>
      <c r="C83" s="812" t="s">
        <v>660</v>
      </c>
      <c r="D83" s="812" t="s">
        <v>661</v>
      </c>
      <c r="E83" s="889">
        <v>0.2</v>
      </c>
      <c r="F83" s="876">
        <v>30</v>
      </c>
    </row>
    <row r="84" spans="1:6" s="872" customFormat="1" ht="36">
      <c r="A84" s="876">
        <v>24</v>
      </c>
      <c r="B84" s="3330"/>
      <c r="C84" s="812" t="s">
        <v>662</v>
      </c>
      <c r="D84" s="812" t="s">
        <v>663</v>
      </c>
      <c r="E84" s="889">
        <v>0.2</v>
      </c>
      <c r="F84" s="876">
        <v>30</v>
      </c>
    </row>
    <row r="85" spans="1:6" s="872" customFormat="1" ht="36">
      <c r="A85" s="876">
        <v>25</v>
      </c>
      <c r="B85" s="3330"/>
      <c r="C85" s="812" t="s">
        <v>664</v>
      </c>
      <c r="D85" s="812" t="s">
        <v>665</v>
      </c>
      <c r="E85" s="889">
        <v>0.5</v>
      </c>
      <c r="F85" s="876">
        <v>80</v>
      </c>
    </row>
    <row r="86" spans="1:6" s="872" customFormat="1" ht="36">
      <c r="A86" s="876">
        <v>26</v>
      </c>
      <c r="B86" s="3330"/>
      <c r="C86" s="812" t="s">
        <v>666</v>
      </c>
      <c r="D86" s="812" t="s">
        <v>667</v>
      </c>
      <c r="E86" s="889">
        <v>0.2</v>
      </c>
      <c r="F86" s="876">
        <v>30</v>
      </c>
    </row>
    <row r="87" spans="1:6" s="872" customFormat="1" ht="36">
      <c r="A87" s="876">
        <v>27</v>
      </c>
      <c r="B87" s="3330"/>
      <c r="C87" s="812" t="s">
        <v>668</v>
      </c>
      <c r="D87" s="812" t="s">
        <v>669</v>
      </c>
      <c r="E87" s="889">
        <v>0.2</v>
      </c>
      <c r="F87" s="876">
        <v>30</v>
      </c>
    </row>
    <row r="88" spans="1:6" s="872" customFormat="1" ht="36">
      <c r="A88" s="876">
        <v>28</v>
      </c>
      <c r="B88" s="3330"/>
      <c r="C88" s="812" t="s">
        <v>670</v>
      </c>
      <c r="D88" s="812" t="s">
        <v>671</v>
      </c>
      <c r="E88" s="889">
        <v>0.2</v>
      </c>
      <c r="F88" s="876">
        <v>30</v>
      </c>
    </row>
    <row r="89" spans="1:6" s="872" customFormat="1" ht="24">
      <c r="A89" s="876">
        <v>29</v>
      </c>
      <c r="B89" s="3330"/>
      <c r="C89" s="812" t="s">
        <v>672</v>
      </c>
      <c r="D89" s="812" t="s">
        <v>673</v>
      </c>
      <c r="E89" s="889">
        <v>0.2</v>
      </c>
      <c r="F89" s="876">
        <v>30</v>
      </c>
    </row>
    <row r="90" spans="1:6" s="872" customFormat="1" ht="24">
      <c r="A90" s="876">
        <v>30</v>
      </c>
      <c r="B90" s="3330"/>
      <c r="C90" s="812" t="s">
        <v>674</v>
      </c>
      <c r="D90" s="812" t="s">
        <v>675</v>
      </c>
      <c r="E90" s="889">
        <v>0.2</v>
      </c>
      <c r="F90" s="876">
        <v>30</v>
      </c>
    </row>
    <row r="91" spans="1:6" s="872" customFormat="1" ht="36">
      <c r="A91" s="876">
        <v>31</v>
      </c>
      <c r="B91" s="3330"/>
      <c r="C91" s="812" t="s">
        <v>676</v>
      </c>
      <c r="D91" s="812" t="s">
        <v>677</v>
      </c>
      <c r="E91" s="889">
        <v>0.2</v>
      </c>
      <c r="F91" s="876">
        <v>30</v>
      </c>
    </row>
    <row r="92" spans="1:6" s="872" customFormat="1" ht="24">
      <c r="A92" s="876">
        <v>32</v>
      </c>
      <c r="B92" s="3330" t="s">
        <v>678</v>
      </c>
      <c r="C92" s="876" t="s">
        <v>679</v>
      </c>
      <c r="D92" s="812" t="s">
        <v>680</v>
      </c>
      <c r="E92" s="889">
        <v>0.2</v>
      </c>
      <c r="F92" s="876">
        <v>30</v>
      </c>
    </row>
    <row r="93" spans="1:6" s="872" customFormat="1" ht="36">
      <c r="A93" s="876">
        <v>33</v>
      </c>
      <c r="B93" s="3330"/>
      <c r="C93" s="876" t="s">
        <v>681</v>
      </c>
      <c r="D93" s="812" t="s">
        <v>682</v>
      </c>
      <c r="E93" s="889">
        <v>0.2</v>
      </c>
      <c r="F93" s="876">
        <v>30</v>
      </c>
    </row>
    <row r="94" spans="1:6" s="872" customFormat="1" ht="48">
      <c r="A94" s="876">
        <v>34</v>
      </c>
      <c r="B94" s="3330"/>
      <c r="C94" s="876" t="s">
        <v>683</v>
      </c>
      <c r="D94" s="812" t="s">
        <v>684</v>
      </c>
      <c r="E94" s="889">
        <v>0.2</v>
      </c>
      <c r="F94" s="876">
        <v>30</v>
      </c>
    </row>
    <row r="95" spans="1:6" s="872" customFormat="1" ht="36">
      <c r="A95" s="876">
        <v>35</v>
      </c>
      <c r="B95" s="3330"/>
      <c r="C95" s="876" t="s">
        <v>685</v>
      </c>
      <c r="D95" s="812" t="s">
        <v>686</v>
      </c>
      <c r="E95" s="889">
        <v>0.2</v>
      </c>
      <c r="F95" s="876">
        <v>30</v>
      </c>
    </row>
    <row r="96" spans="1:6" s="872" customFormat="1" ht="48">
      <c r="A96" s="876">
        <v>36</v>
      </c>
      <c r="B96" s="3330"/>
      <c r="C96" s="812" t="s">
        <v>687</v>
      </c>
      <c r="D96" s="812" t="s">
        <v>688</v>
      </c>
      <c r="E96" s="889">
        <v>0.2</v>
      </c>
      <c r="F96" s="876">
        <v>30</v>
      </c>
    </row>
    <row r="97" spans="1:6" s="872" customFormat="1" ht="36">
      <c r="A97" s="876">
        <v>37</v>
      </c>
      <c r="B97" s="3330"/>
      <c r="C97" s="876" t="s">
        <v>689</v>
      </c>
      <c r="D97" s="812" t="s">
        <v>690</v>
      </c>
      <c r="E97" s="889">
        <v>0.2</v>
      </c>
      <c r="F97" s="876">
        <v>30</v>
      </c>
    </row>
    <row r="98" spans="1:6" s="872" customFormat="1" ht="36">
      <c r="A98" s="876">
        <v>38</v>
      </c>
      <c r="B98" s="3330"/>
      <c r="C98" s="876" t="s">
        <v>691</v>
      </c>
      <c r="D98" s="812" t="s">
        <v>692</v>
      </c>
      <c r="E98" s="889">
        <v>0.2</v>
      </c>
      <c r="F98" s="876">
        <v>30</v>
      </c>
    </row>
    <row r="99" spans="1:6" s="872" customFormat="1" ht="36">
      <c r="A99" s="876">
        <v>39</v>
      </c>
      <c r="B99" s="3330" t="s">
        <v>693</v>
      </c>
      <c r="C99" s="876" t="s">
        <v>694</v>
      </c>
      <c r="D99" s="812" t="s">
        <v>695</v>
      </c>
      <c r="E99" s="889">
        <v>0.3</v>
      </c>
      <c r="F99" s="876">
        <v>50</v>
      </c>
    </row>
    <row r="100" spans="1:6" s="872" customFormat="1" ht="24">
      <c r="A100" s="876">
        <v>40</v>
      </c>
      <c r="B100" s="3330"/>
      <c r="C100" s="876" t="s">
        <v>696</v>
      </c>
      <c r="D100" s="812" t="s">
        <v>697</v>
      </c>
      <c r="E100" s="889">
        <v>0.2</v>
      </c>
      <c r="F100" s="876">
        <v>30</v>
      </c>
    </row>
    <row r="101" spans="1:6" s="872" customFormat="1" ht="36">
      <c r="A101" s="876">
        <v>41</v>
      </c>
      <c r="B101" s="3330"/>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30" t="s">
        <v>708</v>
      </c>
      <c r="C105" s="876" t="s">
        <v>709</v>
      </c>
      <c r="D105" s="812" t="s">
        <v>710</v>
      </c>
      <c r="E105" s="889">
        <v>0.2</v>
      </c>
      <c r="F105" s="876">
        <v>30</v>
      </c>
    </row>
    <row r="106" spans="1:6" s="872" customFormat="1" ht="36">
      <c r="A106" s="876">
        <v>46</v>
      </c>
      <c r="B106" s="3330"/>
      <c r="C106" s="876" t="s">
        <v>711</v>
      </c>
      <c r="D106" s="812" t="s">
        <v>712</v>
      </c>
      <c r="E106" s="889">
        <v>0.2</v>
      </c>
      <c r="F106" s="876">
        <v>30</v>
      </c>
    </row>
    <row r="107" spans="1:6" s="872" customFormat="1" ht="36">
      <c r="A107" s="876">
        <v>47</v>
      </c>
      <c r="B107" s="3330" t="s">
        <v>713</v>
      </c>
      <c r="C107" s="876" t="s">
        <v>714</v>
      </c>
      <c r="D107" s="812" t="s">
        <v>715</v>
      </c>
      <c r="E107" s="889">
        <v>0.3</v>
      </c>
      <c r="F107" s="876">
        <v>50</v>
      </c>
    </row>
    <row r="108" spans="1:6" s="872" customFormat="1" ht="36">
      <c r="A108" s="876">
        <v>48</v>
      </c>
      <c r="B108" s="3330"/>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30" t="s">
        <v>724</v>
      </c>
      <c r="C111" s="876" t="s">
        <v>725</v>
      </c>
      <c r="D111" s="812" t="s">
        <v>726</v>
      </c>
      <c r="E111" s="889">
        <v>0.2</v>
      </c>
      <c r="F111" s="876">
        <v>30</v>
      </c>
    </row>
    <row r="112" spans="1:6" s="872" customFormat="1" ht="24">
      <c r="A112" s="876">
        <v>52</v>
      </c>
      <c r="B112" s="3330"/>
      <c r="C112" s="876" t="s">
        <v>727</v>
      </c>
      <c r="D112" s="812" t="s">
        <v>728</v>
      </c>
      <c r="E112" s="889">
        <v>0.2</v>
      </c>
      <c r="F112" s="876">
        <v>30</v>
      </c>
    </row>
    <row r="113" spans="1:6" s="872" customFormat="1" ht="24">
      <c r="A113" s="876">
        <v>53</v>
      </c>
      <c r="B113" s="3330"/>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30" t="s">
        <v>737</v>
      </c>
      <c r="C116" s="876" t="s">
        <v>738</v>
      </c>
      <c r="D116" s="812" t="s">
        <v>739</v>
      </c>
      <c r="E116" s="889">
        <v>0.2</v>
      </c>
      <c r="F116" s="876">
        <v>30</v>
      </c>
    </row>
    <row r="117" spans="1:6" ht="36">
      <c r="A117" s="876">
        <v>57</v>
      </c>
      <c r="B117" s="3330"/>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2992</v>
      </c>
    </row>
    <row r="2" spans="1:5" ht="15.75">
      <c r="A2" s="2904" t="s">
        <v>2984</v>
      </c>
      <c r="B2" s="2905" t="e">
        <f ca="1">SUMIF(B6:B13,"&lt;&gt;#ref!",B6:B13)</f>
        <v>#DIV/0!</v>
      </c>
      <c r="C2" s="2904" t="s">
        <v>2985</v>
      </c>
      <c r="D2" s="2904" t="s">
        <v>2986</v>
      </c>
      <c r="E2" s="2905">
        <f ca="1">SUMIF(E6:E13,"&lt;&gt;#ref!",E6:E13)</f>
        <v>0</v>
      </c>
    </row>
    <row r="3" spans="1:5" ht="15.75">
      <c r="A3" s="2904" t="s">
        <v>2987</v>
      </c>
      <c r="B3" s="2905" t="e">
        <f ca="1">ROUND(B2*10000/E2,0)</f>
        <v>#DIV/0!</v>
      </c>
      <c r="C3" s="2904" t="s">
        <v>2993</v>
      </c>
      <c r="D3" s="2906"/>
      <c r="E3" s="2906"/>
    </row>
    <row r="4" spans="1:5" ht="15.75">
      <c r="A4" s="2907"/>
      <c r="B4" s="2906"/>
      <c r="C4" s="2906"/>
      <c r="D4" s="2906"/>
      <c r="E4" s="2906"/>
    </row>
    <row r="5" spans="1:5" ht="28.5">
      <c r="A5" s="2908" t="s">
        <v>2988</v>
      </c>
      <c r="B5" s="2904" t="s">
        <v>2989</v>
      </c>
      <c r="C5" s="2905"/>
      <c r="D5" s="2906"/>
      <c r="E5" s="2904" t="s">
        <v>2990</v>
      </c>
    </row>
    <row r="6" spans="1:5" ht="15.75">
      <c r="A6" s="2909" t="s">
        <v>2991</v>
      </c>
      <c r="B6" s="2905" t="e">
        <f ca="1">SUMIF(INDIRECT("'"&amp;A6&amp;"'"&amp;"!A:A"),"总价",INDIRECT("'"&amp;A6&amp;"'"&amp;"!B:B"))</f>
        <v>#DIV/0!</v>
      </c>
      <c r="C6" s="2904" t="s">
        <v>2985</v>
      </c>
      <c r="D6" s="2906"/>
      <c r="E6" s="2569">
        <f ca="1">SUMIF(INDIRECT("'"&amp;A6&amp;"'"&amp;"!C:C"),"建筑面积",INDIRECT("'"&amp;A6&amp;"'"&amp;"!D:D"))</f>
        <v>0</v>
      </c>
    </row>
    <row r="7" spans="1:5" ht="15.75">
      <c r="A7" s="2909"/>
      <c r="B7" s="2905" t="e">
        <f ca="1">SUMIF(INDIRECT("'"&amp;A7&amp;"'"&amp;"!A:A"),"总价",INDIRECT("'"&amp;A7&amp;"'"&amp;"!B:B"))</f>
        <v>#REF!</v>
      </c>
      <c r="C7" s="2904" t="s">
        <v>2985</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2985</v>
      </c>
      <c r="D8" s="2906"/>
      <c r="E8" s="2569" t="e">
        <f t="shared" ca="1" si="0"/>
        <v>#REF!</v>
      </c>
    </row>
    <row r="9" spans="1:5" ht="15.75">
      <c r="A9" s="2909"/>
      <c r="B9" s="2905" t="e">
        <f t="shared" ca="1" si="1"/>
        <v>#REF!</v>
      </c>
      <c r="C9" s="2904" t="s">
        <v>2985</v>
      </c>
      <c r="D9" s="2906"/>
      <c r="E9" s="2569" t="e">
        <f t="shared" ca="1" si="0"/>
        <v>#REF!</v>
      </c>
    </row>
    <row r="10" spans="1:5" ht="15.75">
      <c r="A10" s="2909"/>
      <c r="B10" s="2905" t="e">
        <f t="shared" ca="1" si="1"/>
        <v>#REF!</v>
      </c>
      <c r="C10" s="2904" t="s">
        <v>2985</v>
      </c>
      <c r="D10" s="2906"/>
      <c r="E10" s="2569" t="e">
        <f t="shared" ca="1" si="0"/>
        <v>#REF!</v>
      </c>
    </row>
    <row r="11" spans="1:5" ht="15.75">
      <c r="A11" s="2909"/>
      <c r="B11" s="2905" t="e">
        <f t="shared" ca="1" si="1"/>
        <v>#REF!</v>
      </c>
      <c r="C11" s="2904" t="s">
        <v>2985</v>
      </c>
      <c r="D11" s="2906"/>
      <c r="E11" s="2569" t="e">
        <f t="shared" ca="1" si="0"/>
        <v>#REF!</v>
      </c>
    </row>
    <row r="12" spans="1:5" ht="15.75">
      <c r="A12" s="2909"/>
      <c r="B12" s="2905" t="e">
        <f t="shared" ca="1" si="1"/>
        <v>#REF!</v>
      </c>
      <c r="C12" s="2904" t="s">
        <v>2985</v>
      </c>
      <c r="D12" s="2906"/>
      <c r="E12" s="2569" t="e">
        <f t="shared" ca="1" si="0"/>
        <v>#REF!</v>
      </c>
    </row>
    <row r="13" spans="1:5" ht="15.75">
      <c r="A13" s="2909"/>
      <c r="B13" s="2905" t="e">
        <f t="shared" ca="1" si="1"/>
        <v>#REF!</v>
      </c>
      <c r="C13" s="2904" t="s">
        <v>2985</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36" t="s">
        <v>1150</v>
      </c>
      <c r="C1" s="3336"/>
      <c r="D1" s="3336"/>
      <c r="E1" s="3336"/>
      <c r="F1" s="3336"/>
      <c r="G1" s="3335" t="s">
        <v>1151</v>
      </c>
      <c r="H1" s="3335"/>
      <c r="I1" s="3335"/>
      <c r="J1" s="3335"/>
      <c r="K1" s="3335"/>
      <c r="L1" s="3335"/>
      <c r="N1" s="3335" t="s">
        <v>1152</v>
      </c>
      <c r="O1" s="3335"/>
      <c r="P1" s="3335"/>
      <c r="Q1" s="3335"/>
      <c r="R1" s="1443"/>
      <c r="S1" s="3335" t="s">
        <v>1153</v>
      </c>
      <c r="T1" s="3335"/>
      <c r="U1" s="3335"/>
      <c r="V1" s="3335"/>
      <c r="X1" s="3334" t="s">
        <v>1154</v>
      </c>
      <c r="Y1" s="3335"/>
      <c r="Z1" s="3335"/>
      <c r="AA1" s="3335"/>
      <c r="AB1" s="3335"/>
      <c r="AD1" s="3334" t="s">
        <v>1155</v>
      </c>
      <c r="AE1" s="3335"/>
      <c r="AF1" s="3335"/>
      <c r="AG1" s="3335"/>
      <c r="AH1" s="3335"/>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3027</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3034</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5">
        <v>2018</v>
      </c>
      <c r="H5" s="1726">
        <v>3</v>
      </c>
      <c r="I5" s="2918">
        <v>0</v>
      </c>
      <c r="J5" s="2918">
        <v>0</v>
      </c>
      <c r="K5" s="2918">
        <v>0</v>
      </c>
      <c r="L5" s="2918">
        <v>0</v>
      </c>
      <c r="N5" s="1464">
        <f>I5/100</f>
        <v>0</v>
      </c>
      <c r="O5" s="1464">
        <f t="shared" ref="O5" si="7">J5/100</f>
        <v>0</v>
      </c>
      <c r="P5" s="1464">
        <f t="shared" ref="P5" si="8">K5/100</f>
        <v>0</v>
      </c>
      <c r="Q5" s="1464">
        <f t="shared" ref="Q5" si="9">L5/100</f>
        <v>0</v>
      </c>
      <c r="R5" s="1728"/>
      <c r="S5" s="1729"/>
      <c r="T5" s="1728"/>
      <c r="U5" s="1728"/>
      <c r="V5" s="1728"/>
      <c r="W5" s="2922" t="s">
        <v>3028</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3035</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3"/>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3" customFormat="1" ht="13.5" thickBot="1">
      <c r="A7" s="1458" t="s">
        <v>3026</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3"/>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c r="A8" s="1458" t="s">
        <v>3023</v>
      </c>
      <c r="B8" s="1466">
        <v>439</v>
      </c>
      <c r="C8" s="1466">
        <v>327</v>
      </c>
      <c r="D8" s="1466">
        <f>C8</f>
        <v>327</v>
      </c>
      <c r="E8" s="1466">
        <v>627</v>
      </c>
      <c r="F8" s="1467">
        <v>283</v>
      </c>
      <c r="G8" s="2920">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3024</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6"/>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5"/>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50"/>
      <c r="AD10" s="1785">
        <f>ROUND(AVERAGE(I10:I$23)/100,4)</f>
        <v>2.46E-2</v>
      </c>
      <c r="AE10" s="1785">
        <f>ROUND(AVERAGE(J10:J$23)/100,4)</f>
        <v>1.6E-2</v>
      </c>
      <c r="AF10" s="1785">
        <f t="shared" si="1"/>
        <v>1.6E-2</v>
      </c>
      <c r="AG10" s="1785">
        <f>ROUND(AVERAGE(K10:K$23)/100,4)</f>
        <v>2.75E-2</v>
      </c>
      <c r="AH10" s="1785">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16"/>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c r="A12" s="1458" t="s">
        <v>154</v>
      </c>
      <c r="B12" s="1466">
        <v>392</v>
      </c>
      <c r="C12" s="1466">
        <v>302</v>
      </c>
      <c r="D12" s="1466">
        <f>C12</f>
        <v>302</v>
      </c>
      <c r="E12" s="1466">
        <v>553</v>
      </c>
      <c r="F12" s="1467">
        <v>266</v>
      </c>
      <c r="G12" s="3337">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32"/>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32"/>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33"/>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31">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32"/>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32"/>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33"/>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31">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32"/>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32"/>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33"/>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8" t="s">
        <v>1163</v>
      </c>
      <c r="B24" s="1466">
        <v>299</v>
      </c>
      <c r="C24" s="1466">
        <v>252</v>
      </c>
      <c r="D24" s="1466">
        <f t="shared" si="54"/>
        <v>252</v>
      </c>
      <c r="E24" s="1466">
        <v>409</v>
      </c>
      <c r="F24" s="1467">
        <v>227</v>
      </c>
      <c r="G24" s="3338">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39"/>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39"/>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40"/>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331">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332"/>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332"/>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333"/>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331">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32">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332">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333">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331">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32">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332">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333">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331">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32">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332">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333">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331">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32">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332">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333">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331">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32">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332">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333">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331">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32">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332">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333">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331">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32">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332">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333">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331">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32">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332">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333">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331">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332">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332">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333">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331">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332">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332">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333">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1641</v>
      </c>
      <c r="B2" s="3036" t="s">
        <v>1642</v>
      </c>
      <c r="C2" s="3036" t="s">
        <v>1643</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
      <c r="A3" s="3030"/>
      <c r="B3" s="3030"/>
      <c r="C3" s="3030"/>
      <c r="D3" s="1041" t="s">
        <v>1638</v>
      </c>
      <c r="E3" s="1041" t="s">
        <v>1644</v>
      </c>
      <c r="F3" s="1041" t="s">
        <v>1638</v>
      </c>
      <c r="G3" s="1041" t="s">
        <v>1639</v>
      </c>
      <c r="H3" s="1041" t="s">
        <v>1638</v>
      </c>
      <c r="I3" s="1041" t="s">
        <v>1639</v>
      </c>
    </row>
    <row r="4" spans="1:9" ht="60">
      <c r="A4" s="1969" t="str">
        <f>项目基本情况!S2</f>
        <v>重庆市江北区观音桥组团I分区I29-3-/02地块“隆鑫中心”项目出让国有建设用地使用权及在建建筑物房地产</v>
      </c>
      <c r="B4" s="1041">
        <f>项目基本情况!C17</f>
        <v>378335.58999999997</v>
      </c>
      <c r="C4" s="1041">
        <f>项目基本情况!C18</f>
        <v>25136</v>
      </c>
      <c r="D4" s="1041">
        <f ca="1">结果表!D118</f>
        <v>270777</v>
      </c>
      <c r="E4" s="1041">
        <f ca="1">结果表!E118</f>
        <v>7157</v>
      </c>
      <c r="F4" s="1041">
        <f ca="1">结果表!F118</f>
        <v>126256</v>
      </c>
      <c r="G4" s="1041">
        <f ca="1">结果表!G118</f>
        <v>3337</v>
      </c>
      <c r="H4" s="1041">
        <f ca="1">结果表!H118</f>
        <v>397033</v>
      </c>
      <c r="I4" s="1041">
        <f ca="1">结果表!I118</f>
        <v>10494</v>
      </c>
    </row>
    <row r="5" spans="1:9" ht="30" customHeight="1">
      <c r="A5" s="3030" t="s">
        <v>1640</v>
      </c>
      <c r="B5" s="3030"/>
      <c r="C5" s="3030"/>
      <c r="D5" s="3031" t="str">
        <f ca="1">结果表!D119</f>
        <v>贰拾柒亿零柒佰柒拾柒万元整</v>
      </c>
      <c r="E5" s="3031"/>
      <c r="F5" s="3031" t="str">
        <f ca="1">结果表!F119</f>
        <v>壹拾贰亿陆仟贰佰伍拾陆万元整</v>
      </c>
      <c r="G5" s="3031"/>
      <c r="H5" s="3031" t="str">
        <f ca="1">结果表!H119</f>
        <v>叁拾玖亿柒仟零叁拾叁万元整</v>
      </c>
      <c r="I5" s="3031"/>
    </row>
    <row r="6" spans="1:9" ht="15.75">
      <c r="A6" s="3029" t="str">
        <f>结果表!A120</f>
        <v>估价师知悉的法定优先受偿款</v>
      </c>
      <c r="B6" s="3029"/>
      <c r="C6" s="3029"/>
      <c r="D6" s="3029">
        <f>结果表!D120</f>
        <v>4478</v>
      </c>
      <c r="E6" s="3029"/>
      <c r="F6" s="3029"/>
      <c r="G6" s="3029"/>
      <c r="H6" s="3029"/>
      <c r="I6" s="3029"/>
    </row>
    <row r="7" spans="1:9" ht="15">
      <c r="A7" s="3030" t="s">
        <v>1640</v>
      </c>
      <c r="B7" s="3030"/>
      <c r="C7" s="3030"/>
      <c r="D7" s="3032" t="str">
        <f>结果表!D121</f>
        <v>肆仟肆佰柒拾捌万元整</v>
      </c>
      <c r="E7" s="3033"/>
      <c r="F7" s="3033"/>
      <c r="G7" s="3033"/>
      <c r="H7" s="3033"/>
      <c r="I7" s="3034"/>
    </row>
    <row r="8" spans="1:9" ht="15.75">
      <c r="A8" s="3029" t="str">
        <f>结果表!A122</f>
        <v>房地产抵押价值</v>
      </c>
      <c r="B8" s="3029"/>
      <c r="C8" s="3029"/>
      <c r="D8" s="3029">
        <f ca="1">结果表!D122</f>
        <v>392555</v>
      </c>
      <c r="E8" s="3029"/>
      <c r="F8" s="3029"/>
      <c r="G8" s="3029"/>
      <c r="H8" s="3029"/>
      <c r="I8" s="3029"/>
    </row>
    <row r="9" spans="1:9" ht="15">
      <c r="A9" s="3030" t="s">
        <v>1640</v>
      </c>
      <c r="B9" s="3030"/>
      <c r="C9" s="3030"/>
      <c r="D9" s="3031" t="str">
        <f ca="1">结果表!D123</f>
        <v>叁拾玖亿贰仟伍佰伍拾伍万元整</v>
      </c>
      <c r="E9" s="3031"/>
      <c r="F9" s="3031"/>
      <c r="G9" s="3031"/>
      <c r="H9" s="3031"/>
      <c r="I9" s="3031"/>
    </row>
    <row r="10" spans="1:9" ht="15.75">
      <c r="A10" s="3029" t="str">
        <f>结果表!A124</f>
        <v/>
      </c>
      <c r="B10" s="3029"/>
      <c r="C10" s="3029"/>
      <c r="D10" s="3029" t="str">
        <f>结果表!D124</f>
        <v>——</v>
      </c>
      <c r="E10" s="3029"/>
      <c r="F10" s="3029"/>
      <c r="G10" s="3029"/>
      <c r="H10" s="3029"/>
      <c r="I10" s="3029"/>
    </row>
    <row r="11" spans="1:9" ht="15">
      <c r="A11" s="3030" t="s">
        <v>1640</v>
      </c>
      <c r="B11" s="3030"/>
      <c r="C11" s="3030"/>
      <c r="D11" s="3031" t="e">
        <f>结果表!D125</f>
        <v>#VALUE!</v>
      </c>
      <c r="E11" s="3031"/>
      <c r="F11" s="3031"/>
      <c r="G11" s="3031"/>
      <c r="H11" s="3031"/>
      <c r="I11" s="3031"/>
    </row>
    <row r="12" spans="1:9" ht="15.75">
      <c r="A12" s="3029" t="str">
        <f>结果表!A126</f>
        <v/>
      </c>
      <c r="B12" s="3029"/>
      <c r="C12" s="3029"/>
      <c r="D12" s="3029" t="str">
        <f>结果表!D126</f>
        <v>——</v>
      </c>
      <c r="E12" s="3029"/>
      <c r="F12" s="3029"/>
      <c r="G12" s="3029"/>
      <c r="H12" s="3029"/>
      <c r="I12" s="3029"/>
    </row>
    <row r="13" spans="1:9" ht="15.75" thickBot="1">
      <c r="A13" s="3026" t="s">
        <v>1640</v>
      </c>
      <c r="B13" s="3026"/>
      <c r="C13" s="3026"/>
      <c r="D13" s="3027" t="e">
        <f>结果表!D127</f>
        <v>#VALUE!</v>
      </c>
      <c r="E13" s="3027"/>
      <c r="F13" s="3027"/>
      <c r="G13" s="3027"/>
      <c r="H13" s="3027"/>
      <c r="I13" s="3027"/>
    </row>
    <row r="14" spans="1:9" ht="15" thickTop="1">
      <c r="A14" s="3028" t="s">
        <v>1645</v>
      </c>
      <c r="B14" s="3028"/>
      <c r="C14" s="3028"/>
      <c r="D14" s="3028"/>
      <c r="E14" s="3028"/>
      <c r="F14" s="3028"/>
      <c r="G14" s="3028"/>
      <c r="H14" s="3028"/>
      <c r="I14" s="3028"/>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2994</v>
      </c>
      <c r="C1" s="3342" t="s">
        <v>2995</v>
      </c>
      <c r="D1" s="3343"/>
      <c r="E1" s="3343"/>
      <c r="F1" s="3343"/>
      <c r="G1" s="3343"/>
      <c r="H1" s="3343"/>
      <c r="I1" s="3343"/>
      <c r="J1" s="3343"/>
      <c r="K1" s="3343"/>
      <c r="L1" s="3343"/>
      <c r="M1" s="3343"/>
      <c r="N1" s="3343"/>
      <c r="O1" s="3343"/>
      <c r="P1" s="3343"/>
      <c r="Q1" s="3343"/>
      <c r="R1" s="3343"/>
      <c r="S1" s="3344"/>
      <c r="T1" s="1201" t="s">
        <v>2996</v>
      </c>
    </row>
    <row r="2" spans="1:45" s="707" customFormat="1">
      <c r="A2" s="1202"/>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2998</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2999</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3000</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3004</v>
      </c>
      <c r="B17" s="2911" t="s">
        <v>3005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2" t="s">
        <v>3006</v>
      </c>
      <c r="E19" s="1788"/>
      <c r="F19" s="1788"/>
      <c r="G19" s="1788"/>
      <c r="H19" s="1277"/>
      <c r="I19" s="168"/>
      <c r="J19" s="168"/>
      <c r="K19" s="168"/>
      <c r="L19" s="168"/>
      <c r="M19" s="168"/>
      <c r="N19" s="168"/>
      <c r="O19" s="168"/>
      <c r="P19" s="168"/>
      <c r="Q19" s="168"/>
      <c r="R19" s="788"/>
      <c r="S19" s="138"/>
    </row>
    <row r="20" spans="1:45" ht="16.5" thickBot="1">
      <c r="A20" s="715" t="s">
        <v>3007</v>
      </c>
      <c r="B20" s="338" t="e">
        <f ca="1">IF(D20="——",S22,S22-F20)</f>
        <v>#REF!</v>
      </c>
      <c r="C20" s="168"/>
      <c r="D20" s="2913" t="s">
        <v>3008</v>
      </c>
      <c r="E20" s="1789"/>
      <c r="F20" s="1201" t="e">
        <f ca="1">SUMIF(INDIRECT("'"&amp;H20&amp;"'"&amp;"!A:A"),"承租人权益价值",INDIRECT("'"&amp;H20&amp;"'"&amp;"!c:c"))</f>
        <v>#REF!</v>
      </c>
      <c r="G20" s="1201" t="s">
        <v>3009</v>
      </c>
      <c r="H20" s="2914"/>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200" t="s">
        <v>33</v>
      </c>
      <c r="D22" s="3201"/>
      <c r="E22" s="3201"/>
      <c r="F22" s="3201"/>
      <c r="G22" s="3201"/>
      <c r="H22" s="3201"/>
      <c r="I22" s="3201"/>
      <c r="J22" s="3201"/>
      <c r="K22" s="3201"/>
      <c r="L22" s="3201"/>
      <c r="M22" s="3201"/>
      <c r="N22" s="3201"/>
      <c r="O22" s="3201"/>
      <c r="P22" s="3201"/>
      <c r="Q22" s="3341"/>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149904</v>
      </c>
      <c r="C2" s="2" t="s">
        <v>133</v>
      </c>
      <c r="D2" s="243"/>
      <c r="E2" s="243"/>
      <c r="F2" s="243"/>
      <c r="G2" s="243"/>
    </row>
    <row r="3" spans="1:7" s="244" customFormat="1" ht="18" customHeight="1" thickBot="1">
      <c r="A3" s="247" t="s">
        <v>85</v>
      </c>
      <c r="B3" s="248">
        <f ca="1">ROUND(B2*10000/'数据-汇总表'!E3,0)</f>
        <v>3962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2510</v>
      </c>
      <c r="D9" s="1029">
        <f>'数据-汇总表'!E5</f>
        <v>86542.98</v>
      </c>
      <c r="E9" s="269">
        <f>'数据-取费表'!B27</f>
        <v>290</v>
      </c>
      <c r="F9" s="265"/>
      <c r="G9" s="270"/>
    </row>
    <row r="10" spans="1:7" s="258" customFormat="1" ht="13.5" customHeight="1">
      <c r="A10" s="947" t="s">
        <v>801</v>
      </c>
      <c r="B10" s="268" t="s">
        <v>94</v>
      </c>
      <c r="C10" s="269">
        <f>ROUND(D10*E10/10000,0)</f>
        <v>8462</v>
      </c>
      <c r="D10" s="1029">
        <f>'数据-汇总表'!E6</f>
        <v>291792.61</v>
      </c>
      <c r="E10" s="269">
        <f>'数据-取费表'!B28</f>
        <v>290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7567</v>
      </c>
      <c r="D19" s="1033">
        <f>'数据-汇总表'!E3</f>
        <v>378335.58999999997</v>
      </c>
      <c r="E19" s="255">
        <f>'数据-取费表'!B31</f>
        <v>200</v>
      </c>
      <c r="F19" s="275"/>
      <c r="G19" s="1" t="s">
        <v>1074</v>
      </c>
    </row>
    <row r="20" spans="1:7" s="258" customFormat="1" ht="13.5" customHeight="1">
      <c r="A20" s="945" t="s">
        <v>1057</v>
      </c>
      <c r="B20" s="254" t="s">
        <v>104</v>
      </c>
      <c r="C20" s="276">
        <f>ROUND((C5+C19)*F20,0)</f>
        <v>564</v>
      </c>
      <c r="D20" s="276"/>
      <c r="E20" s="276"/>
      <c r="F20" s="277">
        <f>'数据-取费表'!B37</f>
        <v>0.02</v>
      </c>
      <c r="G20" s="1286" t="s">
        <v>1068</v>
      </c>
    </row>
    <row r="21" spans="1:7" s="258" customFormat="1" ht="13.5" customHeight="1">
      <c r="A21" s="945" t="s">
        <v>1059</v>
      </c>
      <c r="B21" s="254" t="s">
        <v>105</v>
      </c>
      <c r="C21" s="279">
        <f>F21</f>
        <v>0.05</v>
      </c>
      <c r="D21" s="280" t="s">
        <v>126</v>
      </c>
      <c r="E21" s="276"/>
      <c r="F21" s="277">
        <f>'数据-取费表'!B38</f>
        <v>0.05</v>
      </c>
      <c r="G21" s="278" t="s">
        <v>106</v>
      </c>
    </row>
    <row r="22" spans="1:7" s="258" customFormat="1" ht="13.5" customHeight="1">
      <c r="A22" s="945" t="s">
        <v>786</v>
      </c>
      <c r="B22" s="254" t="s">
        <v>107</v>
      </c>
      <c r="C22" s="1351">
        <f ca="1">ROUND(SUM(C23:C25),0)</f>
        <v>2767</v>
      </c>
      <c r="D22" s="279">
        <f ca="1">C26</f>
        <v>2.3999999999999998E-3</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736</v>
      </c>
      <c r="D24" s="282"/>
      <c r="E24" s="282"/>
      <c r="F24" s="283"/>
      <c r="G24" s="284" t="s">
        <v>109</v>
      </c>
    </row>
    <row r="25" spans="1:7" s="258" customFormat="1" ht="24">
      <c r="A25" s="948" t="s">
        <v>793</v>
      </c>
      <c r="B25" s="259" t="s">
        <v>1058</v>
      </c>
      <c r="C25" s="1352">
        <f ca="1">ROUND(IF('数据-取费表'!B22&lt;=1,C20*F22*'数据-取费表'!B23/2,C20*(POWER((1+F22),'数据-取费表'!B23/2)-1)),0)</f>
        <v>27</v>
      </c>
      <c r="D25" s="282"/>
      <c r="E25" s="285"/>
      <c r="F25" s="283"/>
      <c r="G25" s="286" t="s">
        <v>110</v>
      </c>
    </row>
    <row r="26" spans="1:7" s="258" customFormat="1">
      <c r="A26" s="948" t="s">
        <v>795</v>
      </c>
      <c r="B26" s="259" t="s">
        <v>1060</v>
      </c>
      <c r="C26" s="282">
        <f ca="1">ROUND(IF('数据-取费表'!B22&lt;=1,F21*F22*'数据-取费表'!B23/2,F21*(POWER((1+F22),'数据-取费表'!B23/2)-1)),4)</f>
        <v>2.3999999999999998E-3</v>
      </c>
      <c r="D26" s="282"/>
      <c r="E26" s="285"/>
      <c r="F26" s="283"/>
      <c r="G26" s="287"/>
    </row>
    <row r="27" spans="1:7" s="258" customFormat="1" ht="24.75">
      <c r="A27" s="945" t="s">
        <v>787</v>
      </c>
      <c r="B27" s="288" t="s">
        <v>112</v>
      </c>
      <c r="C27" s="289">
        <f>C28</f>
        <v>2464</v>
      </c>
      <c r="D27" s="279">
        <f>C29</f>
        <v>4.3E-3</v>
      </c>
      <c r="E27" s="280" t="s">
        <v>126</v>
      </c>
      <c r="F27" s="290">
        <f>'数据-取费表'!Q16</f>
        <v>0.15</v>
      </c>
      <c r="G27" s="291" t="s">
        <v>1069</v>
      </c>
    </row>
    <row r="28" spans="1:7" s="258" customFormat="1" ht="13.5" customHeight="1">
      <c r="A28" s="948" t="s">
        <v>794</v>
      </c>
      <c r="B28" s="292" t="s">
        <v>1062</v>
      </c>
      <c r="C28" s="293">
        <f>ROUND((C5+C19+C20)*F27*'数据-取费表'!B21/'数据-取费表'!B20,0)</f>
        <v>2464</v>
      </c>
      <c r="D28" s="279"/>
      <c r="E28" s="280"/>
      <c r="F28" s="290"/>
      <c r="G28" s="291"/>
    </row>
    <row r="29" spans="1:7" s="258" customFormat="1" ht="13.5" customHeight="1">
      <c r="A29" s="948" t="s">
        <v>792</v>
      </c>
      <c r="B29" s="292" t="s">
        <v>1063</v>
      </c>
      <c r="C29" s="282">
        <f>ROUND(C21*F27*'数据-取费表'!B21/'数据-取费表'!B20,4)</f>
        <v>4.3E-3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38172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81117</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74047</v>
      </c>
      <c r="D34" s="261"/>
      <c r="E34" s="264"/>
      <c r="F34" s="301">
        <f>IF('数据-取费表'!B24=0,1,'数据-取费表'!N16)</f>
        <v>0.49399999999999999</v>
      </c>
      <c r="G34" s="263" t="s">
        <v>116</v>
      </c>
    </row>
    <row r="35" spans="1:7" ht="13.5" customHeight="1">
      <c r="A35" s="948" t="s">
        <v>796</v>
      </c>
      <c r="B35" s="259" t="s">
        <v>60</v>
      </c>
      <c r="C35" s="264">
        <f>ROUND(C34*F35,0)</f>
        <v>2221</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48" t="s">
        <v>798</v>
      </c>
      <c r="B37" s="259" t="s">
        <v>118</v>
      </c>
      <c r="C37" s="293">
        <f>ROUND(E37*D37*F34/10000,0)</f>
        <v>3738</v>
      </c>
      <c r="D37" s="261">
        <f>'数据-汇总表'!E3</f>
        <v>378335.58999999997</v>
      </c>
      <c r="E37" s="293">
        <f>'数据-取费表'!B35</f>
        <v>200</v>
      </c>
      <c r="F37" s="303"/>
      <c r="G37" s="305" t="s">
        <v>119</v>
      </c>
    </row>
    <row r="38" spans="1:7" ht="13.5" customHeight="1">
      <c r="A38" s="948" t="s">
        <v>799</v>
      </c>
      <c r="B38" s="259" t="s">
        <v>63</v>
      </c>
      <c r="C38" s="264">
        <f>ROUND(C34*F38,0)</f>
        <v>1111</v>
      </c>
      <c r="D38" s="264"/>
      <c r="E38" s="264"/>
      <c r="F38" s="303">
        <f>'数据-取费表'!B36</f>
        <v>1.4999999999999999E-2</v>
      </c>
      <c r="G38" s="263" t="s">
        <v>117</v>
      </c>
    </row>
    <row r="39" spans="1:7" s="258" customFormat="1" ht="13.5" customHeight="1">
      <c r="A39" s="945" t="s">
        <v>783</v>
      </c>
      <c r="B39" s="254" t="s">
        <v>104</v>
      </c>
      <c r="C39" s="276">
        <f>ROUND(C33*F20,0)</f>
        <v>1622</v>
      </c>
      <c r="D39" s="276"/>
      <c r="E39" s="276"/>
      <c r="F39" s="277"/>
      <c r="G39" s="1286" t="s">
        <v>1071</v>
      </c>
    </row>
    <row r="40" spans="1:7" s="258" customFormat="1" ht="13.5" customHeight="1">
      <c r="A40" s="945" t="s">
        <v>784</v>
      </c>
      <c r="B40" s="254" t="s">
        <v>105</v>
      </c>
      <c r="C40" s="306">
        <f>F21</f>
        <v>0.05</v>
      </c>
      <c r="D40" s="280" t="s">
        <v>129</v>
      </c>
      <c r="E40" s="276"/>
      <c r="F40" s="277"/>
      <c r="G40" s="278" t="s">
        <v>120</v>
      </c>
    </row>
    <row r="41" spans="1:7" s="258" customFormat="1" ht="13.5" customHeight="1">
      <c r="A41" s="945" t="s">
        <v>785</v>
      </c>
      <c r="B41" s="254" t="s">
        <v>107</v>
      </c>
      <c r="C41" s="276">
        <f ca="1">ROUND(SUM(C42:C43),0)</f>
        <v>3930</v>
      </c>
      <c r="D41" s="279">
        <f ca="1">C44</f>
        <v>2.3999999999999998E-3</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3853</v>
      </c>
      <c r="D42" s="282"/>
      <c r="E42" s="282"/>
      <c r="F42" s="283"/>
      <c r="G42" s="3205" t="s">
        <v>121</v>
      </c>
    </row>
    <row r="43" spans="1:7" ht="13.5" customHeight="1">
      <c r="A43" s="948" t="s">
        <v>792</v>
      </c>
      <c r="B43" s="259" t="s">
        <v>1064</v>
      </c>
      <c r="C43" s="282">
        <f ca="1">ROUND(IF('数据-取费表'!B22&lt;=1,C39*F22*'数据-取费表'!B21/2,C39*(POWER((1+F22),'数据-取费表'!B21/2)-1)),0)</f>
        <v>77</v>
      </c>
      <c r="D43" s="282"/>
      <c r="E43" s="282"/>
      <c r="F43" s="283"/>
      <c r="G43" s="3206"/>
    </row>
    <row r="44" spans="1:7" ht="13.5" customHeight="1">
      <c r="A44" s="948" t="s">
        <v>793</v>
      </c>
      <c r="B44" s="259" t="s">
        <v>1066</v>
      </c>
      <c r="C44" s="282">
        <f ca="1">ROUND(IF('数据-取费表'!B22&lt;=1,C40*F22*'数据-取费表'!B21/2,C40*(POWER((1+F22),'数据-取费表'!B21/2)-1)),4)</f>
        <v>2.3999999999999998E-3</v>
      </c>
      <c r="D44" s="282"/>
      <c r="E44" s="282"/>
      <c r="F44" s="283"/>
      <c r="G44" s="3207"/>
    </row>
    <row r="45" spans="1:7" s="258" customFormat="1" ht="13.5" customHeight="1">
      <c r="A45" s="945" t="s">
        <v>786</v>
      </c>
      <c r="B45" s="288" t="s">
        <v>112</v>
      </c>
      <c r="C45" s="289">
        <f>C46</f>
        <v>12411</v>
      </c>
      <c r="D45" s="279">
        <f>C47</f>
        <v>7.4999999999999997E-3</v>
      </c>
      <c r="E45" s="280" t="s">
        <v>129</v>
      </c>
      <c r="F45" s="290"/>
      <c r="G45" s="291" t="s">
        <v>1072</v>
      </c>
    </row>
    <row r="46" spans="1:7" s="258" customFormat="1" ht="13.5" customHeight="1">
      <c r="A46" s="948" t="s">
        <v>794</v>
      </c>
      <c r="B46" s="292" t="s">
        <v>1065</v>
      </c>
      <c r="C46" s="293">
        <f>ROUND((C33+C39)*F27,0)</f>
        <v>12411</v>
      </c>
      <c r="D46" s="307"/>
      <c r="E46" s="280"/>
      <c r="F46" s="290"/>
      <c r="G46" s="291"/>
    </row>
    <row r="47" spans="1:7" s="258" customFormat="1" ht="13.5" customHeight="1">
      <c r="A47" s="948" t="s">
        <v>792</v>
      </c>
      <c r="B47" s="292" t="s">
        <v>1067</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111732</v>
      </c>
      <c r="D49" s="276"/>
      <c r="E49" s="276"/>
      <c r="F49" s="308"/>
      <c r="G49" s="278" t="s">
        <v>1073</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111732</v>
      </c>
      <c r="D51" s="276"/>
      <c r="E51" s="276"/>
      <c r="F51" s="308"/>
      <c r="G51" s="278" t="s">
        <v>64</v>
      </c>
    </row>
    <row r="52" spans="1:7" s="252" customFormat="1" ht="16.5" thickBot="1">
      <c r="A52" s="309" t="s">
        <v>65</v>
      </c>
      <c r="B52" s="310"/>
      <c r="C52" s="311">
        <f ca="1">C31+C51</f>
        <v>149904</v>
      </c>
      <c r="D52" s="310"/>
      <c r="E52" s="310"/>
      <c r="F52" s="310"/>
      <c r="G52" s="312"/>
    </row>
    <row r="55" spans="1:7" ht="15">
      <c r="B55" s="314" t="s">
        <v>66</v>
      </c>
      <c r="C55" s="315"/>
    </row>
    <row r="56" spans="1:7">
      <c r="B56" s="317" t="s">
        <v>67</v>
      </c>
      <c r="C56" s="318">
        <f ca="1">ROUND(C51/C52,3)</f>
        <v>0.745</v>
      </c>
    </row>
    <row r="57" spans="1:7">
      <c r="B57" s="317" t="s">
        <v>68</v>
      </c>
      <c r="C57" s="319">
        <f ca="1">1-C56</f>
        <v>0.255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45" t="s">
        <v>156</v>
      </c>
      <c r="B1" s="3345"/>
      <c r="C1" s="3345"/>
      <c r="D1" s="3345"/>
      <c r="E1" s="3345"/>
      <c r="F1" s="334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6" t="s">
        <v>169</v>
      </c>
      <c r="B2" s="3346"/>
      <c r="C2" s="3346"/>
      <c r="D2" s="3346"/>
      <c r="E2" s="3346"/>
      <c r="F2" s="334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5" t="s">
        <v>871</v>
      </c>
      <c r="B1" s="3345"/>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43332</v>
      </c>
      <c r="D1" s="1696" t="s">
        <v>1301</v>
      </c>
      <c r="E1" s="1691">
        <f>'数据-取费表'!B22</f>
        <v>3.5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6</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43" t="s">
        <v>1662</v>
      </c>
      <c r="B1" s="3043"/>
      <c r="C1" s="3043"/>
      <c r="D1" s="3043"/>
    </row>
    <row r="2" spans="1:4" ht="18">
      <c r="A2" s="3044" t="s">
        <v>1646</v>
      </c>
      <c r="B2" s="3044"/>
      <c r="C2" s="3044"/>
      <c r="D2" s="3044"/>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3044" t="s">
        <v>1652</v>
      </c>
      <c r="B6" s="3044"/>
      <c r="C6" s="3044"/>
      <c r="D6" s="3044"/>
    </row>
    <row r="7" spans="1:4" ht="18.75">
      <c r="A7" s="1973" t="s">
        <v>1647</v>
      </c>
      <c r="B7" s="1975" t="s">
        <v>1653</v>
      </c>
      <c r="C7" s="1973" t="s">
        <v>1649</v>
      </c>
      <c r="D7" s="1973" t="s">
        <v>1650</v>
      </c>
    </row>
    <row r="8" spans="1:4" ht="56.25" customHeight="1">
      <c r="A8" s="1979" t="s">
        <v>869</v>
      </c>
      <c r="B8" s="1979" t="s">
        <v>1</v>
      </c>
      <c r="C8" s="1976"/>
      <c r="D8" s="1977" t="s">
        <v>1651</v>
      </c>
    </row>
    <row r="9" spans="1:4">
      <c r="A9" s="728"/>
      <c r="B9" s="728"/>
      <c r="C9" s="728"/>
      <c r="D9" s="728"/>
    </row>
    <row r="10" spans="1:4" ht="18.75">
      <c r="A10" s="1980" t="s">
        <v>1654</v>
      </c>
      <c r="B10" s="728"/>
      <c r="C10" s="728"/>
      <c r="D10" s="728"/>
    </row>
    <row r="11" spans="1:4" ht="30" customHeight="1">
      <c r="A11" s="3045" t="s">
        <v>1655</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1656</v>
      </c>
      <c r="B16" s="3039"/>
      <c r="C16" s="3039"/>
      <c r="D16" s="3039"/>
    </row>
    <row r="17" spans="1:4" ht="144" customHeight="1">
      <c r="A17" s="3039" t="s">
        <v>1657</v>
      </c>
      <c r="B17" s="3039"/>
      <c r="C17" s="3039"/>
      <c r="D17" s="3039"/>
    </row>
    <row r="18" spans="1:4" ht="15.75" customHeight="1">
      <c r="A18" s="3037" t="str">
        <f>IF(项目基本情况!B8="抵押",结果表!K120,"——")</f>
        <v>故，本次评估估价师知悉的法定优先受偿款为人民币4478万元整。</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1658</v>
      </c>
      <c r="B22" s="3041"/>
      <c r="C22" s="3041"/>
      <c r="D22" s="3041"/>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51" t="s">
        <v>1669</v>
      </c>
      <c r="B15" s="3046" t="s">
        <v>136</v>
      </c>
      <c r="C15" s="3047"/>
    </row>
    <row r="16" spans="1:7" ht="13.5">
      <c r="A16" s="3052"/>
      <c r="B16" s="3046" t="s">
        <v>69</v>
      </c>
      <c r="C16" s="3047"/>
    </row>
    <row r="17" spans="1:3" ht="13.5">
      <c r="A17" s="3052"/>
      <c r="B17" s="3049" t="s">
        <v>1670</v>
      </c>
      <c r="C17" s="1996" t="s">
        <v>1669</v>
      </c>
    </row>
    <row r="18" spans="1:3" ht="13.5">
      <c r="A18" s="3052"/>
      <c r="B18" s="3049"/>
      <c r="C18" s="1996" t="s">
        <v>1671</v>
      </c>
    </row>
    <row r="19" spans="1:3" ht="13.5">
      <c r="A19" s="3052"/>
      <c r="B19" s="3049"/>
      <c r="C19" s="1996" t="s">
        <v>1672</v>
      </c>
    </row>
    <row r="20" spans="1:3" ht="13.5">
      <c r="A20" s="3053"/>
      <c r="B20" s="3048" t="s">
        <v>1673</v>
      </c>
      <c r="C20" s="3047"/>
    </row>
    <row r="21" spans="1:3" ht="13.5">
      <c r="A21" s="1997" t="s">
        <v>1674</v>
      </c>
      <c r="B21" s="1998"/>
      <c r="C21" s="1999"/>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1996" t="s">
        <v>1680</v>
      </c>
    </row>
    <row r="26" spans="1:3" ht="13.5">
      <c r="A26" s="3050"/>
      <c r="B26" s="3049"/>
      <c r="C26" s="1996" t="s">
        <v>1681</v>
      </c>
    </row>
    <row r="27" spans="1:3" ht="13.5">
      <c r="A27" s="3050"/>
      <c r="B27" s="3049"/>
      <c r="C27" s="1996" t="s">
        <v>1682</v>
      </c>
    </row>
    <row r="28" spans="1:3" ht="13.5">
      <c r="A28" s="3050"/>
      <c r="B28" s="3049"/>
      <c r="C28" s="1996" t="s">
        <v>1683</v>
      </c>
    </row>
    <row r="29" spans="1:3" ht="13.5">
      <c r="A29" s="3050"/>
      <c r="B29" s="3049"/>
      <c r="C29" s="1996" t="s">
        <v>1684</v>
      </c>
    </row>
    <row r="30" spans="1:3" ht="13.5">
      <c r="A30" s="3050"/>
      <c r="B30" s="3049"/>
      <c r="C30" s="1996" t="s">
        <v>1685</v>
      </c>
    </row>
    <row r="31" spans="1:3" ht="13.5">
      <c r="A31" s="3050"/>
      <c r="B31" s="3049"/>
      <c r="C31" s="1996" t="s">
        <v>1686</v>
      </c>
    </row>
    <row r="32" spans="1:3" ht="13.5">
      <c r="A32" s="3050"/>
      <c r="B32" s="3049"/>
      <c r="C32" s="1996" t="s">
        <v>1687</v>
      </c>
    </row>
    <row r="33" spans="1:3" ht="13.5">
      <c r="A33" s="3050"/>
      <c r="B33" s="3049"/>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43332</v>
      </c>
      <c r="C2" s="1016" t="s">
        <v>826</v>
      </c>
      <c r="D2" s="1016"/>
    </row>
    <row r="3" spans="1:6" ht="24" customHeight="1">
      <c r="A3" s="1017" t="s">
        <v>827</v>
      </c>
      <c r="B3" s="1018" t="s">
        <v>828</v>
      </c>
      <c r="C3" s="2339" t="s">
        <v>829</v>
      </c>
      <c r="D3" s="2342" t="s">
        <v>830</v>
      </c>
      <c r="E3" s="1019" t="s">
        <v>831</v>
      </c>
      <c r="F3" s="1018" t="s">
        <v>829</v>
      </c>
    </row>
    <row r="4" spans="1:6" ht="24" customHeight="1">
      <c r="A4" s="1698" t="s">
        <v>832</v>
      </c>
      <c r="B4" s="1019">
        <f ca="1">IF(C4&lt;B2,"已过期",1119970066)</f>
        <v>1119970066</v>
      </c>
      <c r="C4" s="2340">
        <v>43849</v>
      </c>
      <c r="D4" s="2343" t="s">
        <v>832</v>
      </c>
      <c r="E4" s="1019">
        <f ca="1">IF(F4&lt;B2,"已过期",96010014)</f>
        <v>96010014</v>
      </c>
      <c r="F4" s="1027">
        <v>47118</v>
      </c>
    </row>
    <row r="5" spans="1:6" ht="24" customHeight="1">
      <c r="A5" s="1698" t="s">
        <v>833</v>
      </c>
      <c r="B5" s="1019">
        <f ca="1">IF(C5&lt;B2,"已过期",1119970074)</f>
        <v>1119970074</v>
      </c>
      <c r="C5" s="2340">
        <v>43849</v>
      </c>
      <c r="D5" s="2343" t="s">
        <v>833</v>
      </c>
      <c r="E5" s="1019">
        <f ca="1">IF(F5&lt;B2,"已过期",2002110027)</f>
        <v>2002110027</v>
      </c>
      <c r="F5" s="1027">
        <v>46752</v>
      </c>
    </row>
    <row r="6" spans="1:6" ht="24" customHeight="1">
      <c r="A6" s="1698" t="s">
        <v>834</v>
      </c>
      <c r="B6" s="1019">
        <f ca="1">IF(C6&lt;B2,"已过期",1119970111)</f>
        <v>1119970111</v>
      </c>
      <c r="C6" s="2340">
        <v>43849</v>
      </c>
      <c r="D6" s="2343" t="s">
        <v>834</v>
      </c>
      <c r="E6" s="1019">
        <f ca="1">IF(F6&lt;B2,"已过期",94010078)</f>
        <v>94010078</v>
      </c>
      <c r="F6" s="1027">
        <v>46387</v>
      </c>
    </row>
    <row r="7" spans="1:6" ht="24" customHeight="1">
      <c r="A7" s="1698" t="s">
        <v>835</v>
      </c>
      <c r="B7" s="1019">
        <f ca="1">IF(C7&lt;B2,"已过期",1120050019)</f>
        <v>1120050019</v>
      </c>
      <c r="C7" s="2340">
        <v>44395</v>
      </c>
      <c r="D7" s="2343" t="s">
        <v>835</v>
      </c>
      <c r="E7" s="1019">
        <f ca="1">IF(F7&lt;B2,"已过期",2002110030)</f>
        <v>2002110030</v>
      </c>
      <c r="F7" s="1027">
        <v>46387</v>
      </c>
    </row>
    <row r="8" spans="1:6" ht="24" customHeight="1">
      <c r="A8" s="1698" t="s">
        <v>836</v>
      </c>
      <c r="B8" s="1019">
        <f ca="1">IF(C8&lt;B2,"已过期",1120000080)</f>
        <v>1120000080</v>
      </c>
      <c r="C8" s="2340">
        <v>43849</v>
      </c>
      <c r="D8" s="2343" t="s">
        <v>836</v>
      </c>
      <c r="E8" s="1019">
        <f ca="1">IF(F8&lt;B2,"已过期",2000110082)</f>
        <v>2000110082</v>
      </c>
      <c r="F8" s="1027">
        <v>46387</v>
      </c>
    </row>
    <row r="9" spans="1:6" ht="24" customHeight="1">
      <c r="A9" s="1698" t="s">
        <v>837</v>
      </c>
      <c r="B9" s="1019">
        <f ca="1">IF(C9&lt;B2,"已过期",1419970001)</f>
        <v>1419970001</v>
      </c>
      <c r="C9" s="2340">
        <v>43867</v>
      </c>
      <c r="D9" s="2343" t="s">
        <v>837</v>
      </c>
      <c r="E9" s="1019">
        <f ca="1">IF(F9&lt;B2,"已过期",2002110125)</f>
        <v>2002110125</v>
      </c>
      <c r="F9" s="1027">
        <v>47118</v>
      </c>
    </row>
    <row r="10" spans="1:6" ht="24" customHeight="1">
      <c r="A10" s="1698" t="s">
        <v>838</v>
      </c>
      <c r="B10" s="1019">
        <f ca="1">IF(C10&lt;B2,"已过期",1120060040)</f>
        <v>1120060040</v>
      </c>
      <c r="C10" s="2340">
        <v>43483</v>
      </c>
      <c r="D10" s="2343" t="s">
        <v>838</v>
      </c>
      <c r="E10" s="1019">
        <f ca="1">IF(F10&lt;B2,"已过期",2004110096)</f>
        <v>2004110096</v>
      </c>
      <c r="F10" s="1027">
        <v>47118</v>
      </c>
    </row>
    <row r="11" spans="1:6" ht="24" customHeight="1">
      <c r="A11" s="1698" t="s">
        <v>839</v>
      </c>
      <c r="B11" s="1019">
        <f ca="1">IF(C11&lt;B2,"已过期",1120100036)</f>
        <v>1120100036</v>
      </c>
      <c r="C11" s="2340">
        <v>43622</v>
      </c>
      <c r="D11" s="2343" t="s">
        <v>839</v>
      </c>
      <c r="E11" s="1019">
        <f ca="1">IF(F11&lt;B2,"已过期",2010110070)</f>
        <v>2010110070</v>
      </c>
      <c r="F11" s="1027">
        <v>47907</v>
      </c>
    </row>
    <row r="12" spans="1:6" ht="24" customHeight="1">
      <c r="A12" s="1698" t="s">
        <v>3033</v>
      </c>
      <c r="B12" s="1019">
        <v>1120110054</v>
      </c>
      <c r="C12" s="2934">
        <v>43937</v>
      </c>
      <c r="D12" s="1698" t="s">
        <v>3033</v>
      </c>
      <c r="E12" s="1019">
        <v>2008110060</v>
      </c>
      <c r="F12" s="1027">
        <v>47177</v>
      </c>
    </row>
    <row r="13" spans="1:6" ht="24" customHeight="1">
      <c r="A13" s="1698" t="s">
        <v>840</v>
      </c>
      <c r="B13" s="1019">
        <f ca="1">IF(C13&lt;B2,"已过期",1120070131)</f>
        <v>1120070131</v>
      </c>
      <c r="C13" s="2340">
        <v>43814</v>
      </c>
      <c r="D13" s="2343" t="s">
        <v>840</v>
      </c>
      <c r="E13" s="1019">
        <v>2014110011</v>
      </c>
      <c r="F13" s="1027">
        <v>49302</v>
      </c>
    </row>
    <row r="14" spans="1:6" ht="24" customHeight="1">
      <c r="A14" s="1698" t="s">
        <v>841</v>
      </c>
      <c r="B14" s="1019">
        <f ca="1">IF(C14&lt;B2,"已过期",1120130020)</f>
        <v>1120130020</v>
      </c>
      <c r="C14" s="2340">
        <v>43622</v>
      </c>
      <c r="D14" s="2343"/>
      <c r="E14" s="1019"/>
      <c r="F14" s="1019"/>
    </row>
    <row r="15" spans="1:6" ht="24" customHeight="1">
      <c r="A15" s="1699" t="s">
        <v>1149</v>
      </c>
      <c r="B15" s="1019">
        <v>1120070085</v>
      </c>
      <c r="C15" s="2340">
        <v>43814</v>
      </c>
      <c r="D15" s="2344" t="s">
        <v>1149</v>
      </c>
      <c r="E15" s="1019">
        <v>2004110128</v>
      </c>
      <c r="F15" s="1020">
        <v>47118</v>
      </c>
    </row>
    <row r="16" spans="1:6" ht="24" customHeight="1">
      <c r="A16" s="1698" t="s">
        <v>842</v>
      </c>
      <c r="B16" s="1019">
        <f ca="1">IF(C16&lt;B2,"已过期",1120140022)</f>
        <v>1120140022</v>
      </c>
      <c r="C16" s="2340">
        <v>44029</v>
      </c>
      <c r="D16" s="2343" t="s">
        <v>842</v>
      </c>
      <c r="E16" s="1019">
        <f ca="1">IF(F16&lt;B2,"已过期",2008110059)</f>
        <v>2008110059</v>
      </c>
      <c r="F16" s="1027">
        <v>47177</v>
      </c>
    </row>
    <row r="17" spans="1:7" ht="24" customHeight="1">
      <c r="A17" s="1698"/>
      <c r="B17" s="1019"/>
      <c r="C17" s="2340"/>
      <c r="D17" s="2343"/>
      <c r="E17" s="1019"/>
      <c r="F17" s="1027"/>
    </row>
    <row r="18" spans="1:7" ht="24" customHeight="1">
      <c r="A18" s="1698"/>
      <c r="B18" s="1019"/>
      <c r="C18" s="2340"/>
      <c r="D18" s="2343"/>
      <c r="E18" s="1019"/>
      <c r="F18" s="1027"/>
    </row>
    <row r="19" spans="1:7" ht="24" customHeight="1">
      <c r="A19" s="1698"/>
      <c r="B19" s="1019"/>
      <c r="C19" s="2340"/>
      <c r="D19" s="2343"/>
      <c r="E19" s="1019"/>
      <c r="F19" s="1019"/>
    </row>
    <row r="20" spans="1:7" ht="24" customHeight="1">
      <c r="A20" s="1698"/>
      <c r="B20" s="1019"/>
      <c r="C20" s="2340"/>
      <c r="D20" s="2343"/>
      <c r="E20" s="1019"/>
      <c r="F20" s="1019"/>
    </row>
    <row r="21" spans="1:7" ht="24" customHeight="1">
      <c r="A21" s="1698"/>
      <c r="B21" s="1019"/>
      <c r="C21" s="2340"/>
      <c r="D21" s="2343" t="s">
        <v>843</v>
      </c>
      <c r="E21" s="1019">
        <f ca="1">IF(F21&lt;B2,"已过期",2011110090)</f>
        <v>2011110090</v>
      </c>
      <c r="F21" s="1027">
        <v>48302</v>
      </c>
    </row>
    <row r="22" spans="1:7" ht="24" customHeight="1">
      <c r="A22" s="1698" t="s">
        <v>844</v>
      </c>
      <c r="B22" s="1019">
        <f ca="1">IF(C22&lt;B2,"已过期",1120020033)</f>
        <v>1120020033</v>
      </c>
      <c r="C22" s="2934">
        <v>44339</v>
      </c>
      <c r="D22" s="2343" t="s">
        <v>844</v>
      </c>
      <c r="E22" s="1019">
        <f ca="1">IF(F22&lt;B2,"已过期",2000110137)</f>
        <v>2000110137</v>
      </c>
      <c r="F22" s="1027">
        <v>46387</v>
      </c>
    </row>
    <row r="23" spans="1:7" ht="24" customHeight="1">
      <c r="A23" s="1698" t="s">
        <v>845</v>
      </c>
      <c r="B23" s="1019">
        <f ca="1">IF(C23&lt;B2,"已过期",1120130048)</f>
        <v>1120130048</v>
      </c>
      <c r="C23" s="2340">
        <v>43686</v>
      </c>
      <c r="D23" s="2343"/>
      <c r="E23" s="1019"/>
      <c r="F23" s="1019"/>
    </row>
    <row r="24" spans="1:7" s="1021" customFormat="1" ht="24" customHeight="1">
      <c r="A24" s="1699" t="s">
        <v>1333</v>
      </c>
      <c r="B24" s="1699" t="s">
        <v>1333</v>
      </c>
      <c r="C24" s="2341" t="s">
        <v>1333</v>
      </c>
      <c r="D24" s="2344" t="s">
        <v>1333</v>
      </c>
      <c r="E24" s="1699" t="s">
        <v>1333</v>
      </c>
      <c r="F24" s="1699" t="s">
        <v>1333</v>
      </c>
    </row>
    <row r="25" spans="1:7" ht="24" customHeight="1">
      <c r="A25" s="3054" t="s">
        <v>846</v>
      </c>
      <c r="B25" s="3054"/>
      <c r="C25" s="3054"/>
      <c r="D25" s="3054"/>
      <c r="E25" s="3054"/>
      <c r="F25" s="3054"/>
      <c r="G25" s="3054"/>
    </row>
    <row r="26" spans="1:7" s="1022" customFormat="1" ht="24" customHeight="1">
      <c r="A26" s="3055" t="s">
        <v>847</v>
      </c>
      <c r="B26" s="3055"/>
      <c r="C26" s="3056"/>
      <c r="D26" s="3057" t="s">
        <v>848</v>
      </c>
      <c r="E26" s="3055"/>
      <c r="F26" s="3055"/>
    </row>
    <row r="27" spans="1:7" s="1024" customFormat="1" ht="24" customHeight="1">
      <c r="A27" s="1023" t="s">
        <v>849</v>
      </c>
      <c r="B27" s="1018" t="s">
        <v>850</v>
      </c>
      <c r="C27" s="2339" t="s">
        <v>851</v>
      </c>
      <c r="D27" s="2347" t="s">
        <v>849</v>
      </c>
      <c r="E27" s="1018" t="s">
        <v>850</v>
      </c>
      <c r="F27" s="1018" t="s">
        <v>851</v>
      </c>
    </row>
    <row r="28" spans="1:7" s="1024" customFormat="1" ht="24" customHeight="1">
      <c r="A28" s="1025" t="s">
        <v>852</v>
      </c>
      <c r="B28" s="1026" t="s">
        <v>853</v>
      </c>
      <c r="C28" s="2345">
        <v>43725</v>
      </c>
      <c r="D28" s="2348" t="s">
        <v>854</v>
      </c>
      <c r="E28" s="1025" t="s">
        <v>855</v>
      </c>
      <c r="F28" s="1055">
        <v>44377</v>
      </c>
    </row>
    <row r="29" spans="1:7" s="1024" customFormat="1" ht="24" customHeight="1">
      <c r="A29" s="1025"/>
      <c r="B29" s="1025"/>
      <c r="C29" s="2346"/>
      <c r="D29" s="2348"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50" priority="66">
      <formula>AND($C28-TODAY()&lt;30,TODAY()&lt;$C28)</formula>
    </cfRule>
  </conditionalFormatting>
  <conditionalFormatting sqref="C28 F4">
    <cfRule type="cellIs" dxfId="249" priority="68" stopIfTrue="1" operator="lessThan">
      <formula>$B$2</formula>
    </cfRule>
  </conditionalFormatting>
  <conditionalFormatting sqref="C5">
    <cfRule type="expression" dxfId="248" priority="63">
      <formula>AND($C5-TODAY()&lt;30,TODAY()&lt;$C5)</formula>
    </cfRule>
  </conditionalFormatting>
  <conditionalFormatting sqref="C5 F5">
    <cfRule type="cellIs" dxfId="247" priority="64" stopIfTrue="1" operator="lessThan">
      <formula>$B$2</formula>
    </cfRule>
  </conditionalFormatting>
  <conditionalFormatting sqref="F6 F8 F10">
    <cfRule type="cellIs" dxfId="246" priority="62" stopIfTrue="1" operator="lessThan">
      <formula>$B$2</formula>
    </cfRule>
  </conditionalFormatting>
  <conditionalFormatting sqref="C4:C11 C13:C21 C23">
    <cfRule type="expression" dxfId="245" priority="60">
      <formula>AND($C4-TODAY()&lt;30,TODAY()&lt;$C4)</formula>
    </cfRule>
  </conditionalFormatting>
  <conditionalFormatting sqref="F7 F9 F11 C4:C11 C13:C21 C23">
    <cfRule type="cellIs" dxfId="244" priority="61" stopIfTrue="1" operator="lessThan">
      <formula>$B$2</formula>
    </cfRule>
  </conditionalFormatting>
  <conditionalFormatting sqref="C14">
    <cfRule type="expression" dxfId="243" priority="54">
      <formula>AND($C14-TODAY()&lt;30,TODAY()&lt;$C14)</formula>
    </cfRule>
  </conditionalFormatting>
  <conditionalFormatting sqref="C14">
    <cfRule type="cellIs" dxfId="242" priority="55" stopIfTrue="1" operator="lessThan">
      <formula>$B$2</formula>
    </cfRule>
  </conditionalFormatting>
  <conditionalFormatting sqref="C16">
    <cfRule type="expression" dxfId="241" priority="52">
      <formula>AND($C16-TODAY()&lt;30,TODAY()&lt;$C16)</formula>
    </cfRule>
  </conditionalFormatting>
  <conditionalFormatting sqref="C16">
    <cfRule type="cellIs" dxfId="240" priority="53" stopIfTrue="1" operator="lessThan">
      <formula>$B$2</formula>
    </cfRule>
  </conditionalFormatting>
  <conditionalFormatting sqref="C18">
    <cfRule type="expression" dxfId="239" priority="50">
      <formula>AND($C18-TODAY()&lt;30,TODAY()&lt;$C18)</formula>
    </cfRule>
  </conditionalFormatting>
  <conditionalFormatting sqref="C18">
    <cfRule type="cellIs" dxfId="238" priority="51" stopIfTrue="1" operator="lessThan">
      <formula>$B$2</formula>
    </cfRule>
  </conditionalFormatting>
  <conditionalFormatting sqref="C20">
    <cfRule type="expression" dxfId="237" priority="48">
      <formula>AND($C20-TODAY()&lt;30,TODAY()&lt;$C20)</formula>
    </cfRule>
  </conditionalFormatting>
  <conditionalFormatting sqref="C20">
    <cfRule type="cellIs" dxfId="236" priority="49" stopIfTrue="1" operator="lessThan">
      <formula>$B$2</formula>
    </cfRule>
  </conditionalFormatting>
  <conditionalFormatting sqref="C15">
    <cfRule type="expression" dxfId="235" priority="44">
      <formula>AND($C15-TODAY()&lt;30,TODAY()&lt;$C15)</formula>
    </cfRule>
  </conditionalFormatting>
  <conditionalFormatting sqref="C15">
    <cfRule type="cellIs" dxfId="234" priority="45" stopIfTrue="1" operator="lessThan">
      <formula>$B$2</formula>
    </cfRule>
  </conditionalFormatting>
  <conditionalFormatting sqref="C17">
    <cfRule type="expression" dxfId="233" priority="42">
      <formula>AND($C17-TODAY()&lt;30,TODAY()&lt;$C17)</formula>
    </cfRule>
  </conditionalFormatting>
  <conditionalFormatting sqref="C17">
    <cfRule type="cellIs" dxfId="232" priority="43" stopIfTrue="1" operator="lessThan">
      <formula>$B$2</formula>
    </cfRule>
  </conditionalFormatting>
  <conditionalFormatting sqref="C19">
    <cfRule type="expression" dxfId="231" priority="40">
      <formula>AND($C19-TODAY()&lt;30,TODAY()&lt;$C19)</formula>
    </cfRule>
  </conditionalFormatting>
  <conditionalFormatting sqref="C19">
    <cfRule type="cellIs" dxfId="230" priority="41" stopIfTrue="1" operator="lessThan">
      <formula>$B$2</formula>
    </cfRule>
  </conditionalFormatting>
  <conditionalFormatting sqref="C21">
    <cfRule type="expression" dxfId="229" priority="38">
      <formula>AND($C21-TODAY()&lt;30,TODAY()&lt;$C21)</formula>
    </cfRule>
  </conditionalFormatting>
  <conditionalFormatting sqref="C21">
    <cfRule type="cellIs" dxfId="228" priority="39" stopIfTrue="1" operator="lessThan">
      <formula>$B$2</formula>
    </cfRule>
  </conditionalFormatting>
  <conditionalFormatting sqref="C23">
    <cfRule type="expression" dxfId="227" priority="36">
      <formula>AND($C23-TODAY()&lt;30,TODAY()&lt;$C23)</formula>
    </cfRule>
  </conditionalFormatting>
  <conditionalFormatting sqref="C23">
    <cfRule type="cellIs" dxfId="226" priority="37" stopIfTrue="1" operator="lessThan">
      <formula>$B$2</formula>
    </cfRule>
  </conditionalFormatting>
  <conditionalFormatting sqref="F16">
    <cfRule type="cellIs" dxfId="225" priority="34" stopIfTrue="1" operator="lessThan">
      <formula>$B$2</formula>
    </cfRule>
  </conditionalFormatting>
  <conditionalFormatting sqref="F18">
    <cfRule type="cellIs" dxfId="224" priority="33" stopIfTrue="1" operator="lessThan">
      <formula>$B$2</formula>
    </cfRule>
  </conditionalFormatting>
  <conditionalFormatting sqref="F22">
    <cfRule type="cellIs" dxfId="223" priority="32" stopIfTrue="1" operator="lessThan">
      <formula>$B$2</formula>
    </cfRule>
  </conditionalFormatting>
  <conditionalFormatting sqref="F21">
    <cfRule type="cellIs" dxfId="222" priority="31" stopIfTrue="1" operator="lessThan">
      <formula>$B$2</formula>
    </cfRule>
  </conditionalFormatting>
  <conditionalFormatting sqref="F17">
    <cfRule type="cellIs" dxfId="221" priority="30" stopIfTrue="1" operator="lessThan">
      <formula>$B$2</formula>
    </cfRule>
  </conditionalFormatting>
  <conditionalFormatting sqref="B4:B11 E4:E11 B16:B23 E16:E23 B13:B14 E13:E14">
    <cfRule type="cellIs" dxfId="220" priority="29" stopIfTrue="1" operator="equal">
      <formula>"已过期"</formula>
    </cfRule>
  </conditionalFormatting>
  <conditionalFormatting sqref="A24:F24">
    <cfRule type="cellIs" dxfId="219" priority="25" stopIfTrue="1" operator="equal">
      <formula>"已过期"</formula>
    </cfRule>
  </conditionalFormatting>
  <conditionalFormatting sqref="F28">
    <cfRule type="expression" dxfId="218" priority="23">
      <formula>AND($E28-TODAY()&lt;30,TODAY()&lt;$E28)</formula>
    </cfRule>
  </conditionalFormatting>
  <conditionalFormatting sqref="F28">
    <cfRule type="cellIs" dxfId="217" priority="24" stopIfTrue="1" operator="lessThan">
      <formula>$B$2</formula>
    </cfRule>
  </conditionalFormatting>
  <conditionalFormatting sqref="F29">
    <cfRule type="expression" dxfId="216" priority="19" stopIfTrue="1">
      <formula>AND($E29-TODAY()&lt;30,TODAY()&lt;$E29)</formula>
    </cfRule>
  </conditionalFormatting>
  <conditionalFormatting sqref="F29">
    <cfRule type="cellIs" dxfId="215" priority="20" stopIfTrue="1" operator="lessThan">
      <formula>$B$2</formula>
    </cfRule>
  </conditionalFormatting>
  <conditionalFormatting sqref="B15">
    <cfRule type="cellIs" dxfId="214" priority="17" stopIfTrue="1" operator="equal">
      <formula>"已过期"</formula>
    </cfRule>
  </conditionalFormatting>
  <conditionalFormatting sqref="A15">
    <cfRule type="cellIs" dxfId="213" priority="16" stopIfTrue="1" operator="equal">
      <formula>"已过期"</formula>
    </cfRule>
  </conditionalFormatting>
  <conditionalFormatting sqref="C15">
    <cfRule type="expression" dxfId="212" priority="15">
      <formula>AND($C15-TODAY()&lt;30,TODAY()&lt;$C15)</formula>
    </cfRule>
  </conditionalFormatting>
  <conditionalFormatting sqref="E15">
    <cfRule type="cellIs" dxfId="211" priority="14" stopIfTrue="1" operator="equal">
      <formula>"已过期"</formula>
    </cfRule>
  </conditionalFormatting>
  <conditionalFormatting sqref="D15">
    <cfRule type="cellIs" dxfId="210" priority="13" stopIfTrue="1" operator="equal">
      <formula>"已过期"</formula>
    </cfRule>
  </conditionalFormatting>
  <conditionalFormatting sqref="F13">
    <cfRule type="cellIs" dxfId="209" priority="12" stopIfTrue="1" operator="lessThan">
      <formula>$B$2</formula>
    </cfRule>
  </conditionalFormatting>
  <conditionalFormatting sqref="C12">
    <cfRule type="expression" dxfId="208" priority="10">
      <formula>AND($C12-TODAY()&lt;30,TODAY()&lt;$C12)</formula>
    </cfRule>
  </conditionalFormatting>
  <conditionalFormatting sqref="C12">
    <cfRule type="cellIs" dxfId="207" priority="11" stopIfTrue="1" operator="lessThan">
      <formula>$B$2</formula>
    </cfRule>
  </conditionalFormatting>
  <conditionalFormatting sqref="C12">
    <cfRule type="expression" dxfId="206" priority="8">
      <formula>AND($C12-TODAY()&lt;30,TODAY()&lt;$C12)</formula>
    </cfRule>
  </conditionalFormatting>
  <conditionalFormatting sqref="C12">
    <cfRule type="cellIs" dxfId="205" priority="9" stopIfTrue="1" operator="lessThan">
      <formula>$B$2</formula>
    </cfRule>
  </conditionalFormatting>
  <conditionalFormatting sqref="B12">
    <cfRule type="cellIs" dxfId="204" priority="7" stopIfTrue="1" operator="equal">
      <formula>"已过期"</formula>
    </cfRule>
  </conditionalFormatting>
  <conditionalFormatting sqref="E12">
    <cfRule type="cellIs" dxfId="203" priority="6" stopIfTrue="1" operator="equal">
      <formula>"已过期"</formula>
    </cfRule>
  </conditionalFormatting>
  <conditionalFormatting sqref="F12">
    <cfRule type="cellIs" dxfId="202" priority="5" stopIfTrue="1" operator="lessThan">
      <formula>$B$2</formula>
    </cfRule>
  </conditionalFormatting>
  <conditionalFormatting sqref="C22">
    <cfRule type="expression" dxfId="201" priority="3">
      <formula>AND($C22-TODAY()&lt;30,TODAY()&lt;$C22)</formula>
    </cfRule>
  </conditionalFormatting>
  <conditionalFormatting sqref="C22">
    <cfRule type="cellIs" dxfId="200" priority="4" stopIfTrue="1" operator="lessThan">
      <formula>$B$2</formula>
    </cfRule>
  </conditionalFormatting>
  <conditionalFormatting sqref="C22">
    <cfRule type="expression" dxfId="199" priority="1">
      <formula>AND($C22-TODAY()&lt;30,TODAY()&lt;$C22)</formula>
    </cfRule>
  </conditionalFormatting>
  <conditionalFormatting sqref="C22">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171</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经济技术指标</vt:lpstr>
      <vt:lpstr>预测（地下商业、车库）</vt:lpstr>
      <vt:lpstr>预测（T1-3）</vt:lpstr>
      <vt:lpstr>数据-汇总表</vt:lpstr>
      <vt:lpstr>数据-取费表</vt:lpstr>
      <vt:lpstr>估价对象房地状况</vt:lpstr>
      <vt:lpstr>系统读取表</vt:lpstr>
      <vt:lpstr>结果表</vt:lpstr>
      <vt:lpstr>成本法</vt:lpstr>
      <vt:lpstr>成本法 (元)</vt:lpstr>
      <vt:lpstr>土地比较法-住宅</vt:lpstr>
      <vt:lpstr>土地案例（住宅）</vt:lpstr>
      <vt:lpstr>土地比较法-商业</vt:lpstr>
      <vt:lpstr>土地案例（商业）</vt:lpstr>
      <vt:lpstr>地价增长、案例位置</vt:lpstr>
      <vt:lpstr>假设开发法</vt:lpstr>
      <vt:lpstr>收益法（地上商业）</vt:lpstr>
      <vt:lpstr>收益法（地下商业）</vt:lpstr>
      <vt:lpstr>比较法-公寓</vt:lpstr>
      <vt:lpstr>比较法-住宅 (2)</vt:lpstr>
      <vt:lpstr>比较法-办公</vt:lpstr>
      <vt:lpstr>比较法-住宅</vt:lpstr>
      <vt:lpstr>收益法 (元)</vt:lpstr>
      <vt:lpstr>收益法（汇总）</vt:lpstr>
      <vt:lpstr>酒店收入计算</vt:lpstr>
      <vt:lpstr>收益法（地下车位）</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估价师及机构信息!Print_Area</vt:lpstr>
      <vt:lpstr>'收益法 (元)'!Print_Area</vt:lpstr>
      <vt:lpstr>'收益法（地上商业）'!Print_Area</vt:lpstr>
      <vt:lpstr>'收益法（地下车位）'!Print_Area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'比较法-住宅 (2)'!住宅朝向</vt:lpstr>
      <vt:lpstr>住宅朝向</vt:lpstr>
      <vt:lpstr>'比较法-公寓'!住宅房型</vt:lpstr>
      <vt:lpstr>'比较法-住宅 (2)'!住宅房型</vt:lpstr>
      <vt:lpstr>住宅房型</vt:lpstr>
      <vt:lpstr>'比较法-公寓'!住宅公共部分装修</vt:lpstr>
      <vt:lpstr>'比较法-住宅 (2)'!住宅公共部分装修</vt:lpstr>
      <vt:lpstr>住宅公共部分装修</vt:lpstr>
      <vt:lpstr>'比较法-公寓'!住宅基础设施水平</vt:lpstr>
      <vt:lpstr>'比较法-住宅 (2)'!住宅基础设施水平</vt:lpstr>
      <vt:lpstr>住宅基础设施水平</vt:lpstr>
      <vt:lpstr>'比较法-公寓'!住宅建筑结构</vt:lpstr>
      <vt:lpstr>'比较法-住宅 (2)'!住宅建筑结构</vt:lpstr>
      <vt:lpstr>住宅建筑结构</vt:lpstr>
      <vt:lpstr>'比较法-公寓'!住宅建筑类型</vt:lpstr>
      <vt:lpstr>'比较法-住宅 (2)'!住宅建筑类型</vt:lpstr>
      <vt:lpstr>住宅建筑类型</vt:lpstr>
      <vt:lpstr>'比较法-公寓'!住宅建筑品质</vt:lpstr>
      <vt:lpstr>'比较法-住宅 (2)'!住宅建筑品质</vt:lpstr>
      <vt:lpstr>住宅建筑品质</vt:lpstr>
      <vt:lpstr>'比较法-公寓'!住宅交易情况</vt:lpstr>
      <vt:lpstr>'比较法-住宅 (2)'!住宅交易情况</vt:lpstr>
      <vt:lpstr>住宅交易情况</vt:lpstr>
      <vt:lpstr>'比较法-公寓'!住宅楼层</vt:lpstr>
      <vt:lpstr>'比较法-住宅 (2)'!住宅楼层</vt:lpstr>
      <vt:lpstr>住宅楼层</vt:lpstr>
      <vt:lpstr>'比较法-公寓'!住宅内部装修</vt:lpstr>
      <vt:lpstr>'比较法-住宅 (2)'!住宅内部装修</vt:lpstr>
      <vt:lpstr>住宅内部装修</vt:lpstr>
      <vt:lpstr>'比较法-公寓'!住宅物业管理</vt:lpstr>
      <vt:lpstr>'比较法-住宅 (2)'!住宅物业管理</vt:lpstr>
      <vt:lpstr>住宅物业管理</vt:lpstr>
      <vt:lpstr>'比较法-公寓'!住宅用途</vt:lpstr>
      <vt:lpstr>'比较法-住宅 (2)'!住宅用途</vt:lpstr>
      <vt:lpstr>住宅用途</vt:lpstr>
      <vt:lpstr>'比较法-公寓'!住宅主力户型面积</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2018-08-20T13:13:23Z</dcterms:modified>
</cp:coreProperties>
</file>