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15" yWindow="-195" windowWidth="14385" windowHeight="12510" tabRatio="899"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基准地价修正" sheetId="43"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 i="49" l="1"/>
  <c r="B11" i="49"/>
  <c r="E4" i="4"/>
  <c r="B5" i="62"/>
  <c r="B9" i="49"/>
  <c r="C4" i="4"/>
  <c r="B4" i="62"/>
  <c r="D4" i="73"/>
  <c r="E20" i="43"/>
  <c r="N28" i="43"/>
  <c r="G20" i="43"/>
  <c r="C20" i="43"/>
  <c r="C29" i="43"/>
  <c r="E29" i="43"/>
  <c r="C33" i="43"/>
  <c r="E33" i="43"/>
  <c r="C34" i="43"/>
  <c r="E34" i="43"/>
  <c r="C35" i="43"/>
  <c r="E35" i="43"/>
  <c r="C36" i="43"/>
  <c r="E36" i="43"/>
  <c r="C37" i="43"/>
  <c r="E37" i="43"/>
  <c r="E41" i="43"/>
  <c r="C41" i="43"/>
  <c r="C38" i="43"/>
  <c r="E38" i="43"/>
  <c r="C39" i="43"/>
  <c r="E39" i="43"/>
  <c r="C26" i="43"/>
  <c r="B2" i="43"/>
  <c r="C6" i="68"/>
  <c r="C7" i="68"/>
  <c r="D9" i="68"/>
  <c r="C9" i="68"/>
  <c r="D10" i="68"/>
  <c r="C10" i="68"/>
  <c r="C8" i="68"/>
  <c r="C5" i="68"/>
  <c r="D19" i="68"/>
  <c r="C19" i="68"/>
  <c r="C20" i="68"/>
  <c r="D5" i="73"/>
  <c r="G1" i="73"/>
  <c r="B40" i="1"/>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D19" i="9"/>
  <c r="G19" i="9"/>
  <c r="C32" i="9"/>
  <c r="B3" i="68"/>
  <c r="C57" i="68"/>
  <c r="D35" i="9"/>
  <c r="C35" i="9"/>
  <c r="F118" i="9"/>
  <c r="F119" i="9"/>
  <c r="F5" i="52"/>
  <c r="G118" i="9"/>
  <c r="G4" i="52"/>
  <c r="F4" i="52"/>
  <c r="C34" i="9"/>
  <c r="D118" i="9"/>
  <c r="D119" i="9"/>
  <c r="D5" i="52"/>
  <c r="H118" i="9"/>
  <c r="I118" i="9"/>
  <c r="E118" i="9"/>
  <c r="E4" i="52"/>
  <c r="D4" i="52"/>
  <c r="H101" i="9"/>
  <c r="H107" i="9"/>
  <c r="D13" i="53"/>
  <c r="D14" i="53"/>
  <c r="H108" i="9"/>
  <c r="D15" i="53"/>
  <c r="D5" i="53"/>
  <c r="D6" i="53"/>
  <c r="H102" i="9"/>
  <c r="D7" i="53"/>
  <c r="A19" i="51"/>
  <c r="A18" i="51"/>
  <c r="K4" i="4"/>
  <c r="B46" i="48"/>
  <c r="A13" i="51"/>
  <c r="B40" i="48"/>
  <c r="A10" i="51"/>
  <c r="A7" i="51"/>
  <c r="D59" i="43"/>
  <c r="E59" i="43"/>
  <c r="B57" i="43"/>
  <c r="C24" i="43"/>
  <c r="X5" i="71"/>
  <c r="Y5" i="71"/>
  <c r="Z5" i="71"/>
  <c r="AA5" i="71"/>
  <c r="AB5" i="71"/>
  <c r="C19" i="43"/>
  <c r="F20" i="68"/>
  <c r="F21" i="68"/>
  <c r="C21" i="68"/>
  <c r="C40" i="68"/>
  <c r="T48" i="34"/>
  <c r="H7" i="34"/>
  <c r="AB7" i="34"/>
  <c r="H27" i="34"/>
  <c r="AB27" i="34"/>
  <c r="H34" i="34"/>
  <c r="AB34" i="34"/>
  <c r="T49" i="34"/>
  <c r="R48" i="34"/>
  <c r="F34" i="34"/>
  <c r="AA34" i="34"/>
  <c r="F7" i="34"/>
  <c r="AA7" i="34"/>
  <c r="R49" i="34"/>
  <c r="J7" i="34"/>
  <c r="AC7" i="34"/>
  <c r="J34" i="34"/>
  <c r="AC34" i="34"/>
  <c r="V49" i="34"/>
  <c r="R50" i="34"/>
  <c r="C50" i="34"/>
  <c r="U6" i="1"/>
  <c r="F20" i="15"/>
  <c r="F21" i="15"/>
  <c r="L27" i="9"/>
  <c r="Y6" i="1"/>
  <c r="N6" i="1"/>
  <c r="BB13" i="3"/>
  <c r="BA13" i="3"/>
  <c r="AZ13" i="3"/>
  <c r="BB14" i="3"/>
  <c r="BA14" i="3"/>
  <c r="AZ14" i="3"/>
  <c r="BB15" i="3"/>
  <c r="BA15" i="3"/>
  <c r="AZ15" i="3"/>
  <c r="BB16" i="3"/>
  <c r="BA16" i="3"/>
  <c r="AZ16" i="3"/>
  <c r="BB17" i="3"/>
  <c r="BA17" i="3"/>
  <c r="AZ17" i="3"/>
  <c r="BB18" i="3"/>
  <c r="BA18" i="3"/>
  <c r="AZ18" i="3"/>
  <c r="BB19" i="3"/>
  <c r="BA19" i="3"/>
  <c r="AZ19" i="3"/>
  <c r="BB20" i="3"/>
  <c r="BA20" i="3"/>
  <c r="AZ20" i="3"/>
  <c r="BB21" i="3"/>
  <c r="BA21" i="3"/>
  <c r="AZ21" i="3"/>
  <c r="BB22" i="3"/>
  <c r="BA22" i="3"/>
  <c r="AZ22" i="3"/>
  <c r="BB23" i="3"/>
  <c r="BA23" i="3"/>
  <c r="AZ23" i="3"/>
  <c r="BB24" i="3"/>
  <c r="BA24" i="3"/>
  <c r="AZ24" i="3"/>
  <c r="BB25" i="3"/>
  <c r="BA25" i="3"/>
  <c r="AZ25" i="3"/>
  <c r="BB26" i="3"/>
  <c r="BA26" i="3"/>
  <c r="AZ26" i="3"/>
  <c r="BB27" i="3"/>
  <c r="BA27" i="3"/>
  <c r="AZ27" i="3"/>
  <c r="BB28" i="3"/>
  <c r="BA28" i="3"/>
  <c r="AZ28" i="3"/>
  <c r="BB29" i="3"/>
  <c r="BA29" i="3"/>
  <c r="AZ29" i="3"/>
  <c r="BB30" i="3"/>
  <c r="BA30" i="3"/>
  <c r="AZ30" i="3"/>
  <c r="BB31" i="3"/>
  <c r="BA31" i="3"/>
  <c r="AZ31" i="3"/>
  <c r="BB32" i="3"/>
  <c r="BA32" i="3"/>
  <c r="AZ32" i="3"/>
  <c r="BB33" i="3"/>
  <c r="BA33" i="3"/>
  <c r="AZ33" i="3"/>
  <c r="BB34" i="3"/>
  <c r="BA34" i="3"/>
  <c r="AZ34" i="3"/>
  <c r="BB35" i="3"/>
  <c r="BA35" i="3"/>
  <c r="AZ35" i="3"/>
  <c r="BB36" i="3"/>
  <c r="BA36" i="3"/>
  <c r="AZ36" i="3"/>
  <c r="BB37" i="3"/>
  <c r="BA37" i="3"/>
  <c r="AZ37" i="3"/>
  <c r="BB38" i="3"/>
  <c r="BA38" i="3"/>
  <c r="AZ38" i="3"/>
  <c r="BB39" i="3"/>
  <c r="BA39" i="3"/>
  <c r="AZ39" i="3"/>
  <c r="BB40" i="3"/>
  <c r="BA40" i="3"/>
  <c r="AZ40" i="3"/>
  <c r="BB41" i="3"/>
  <c r="BA41" i="3"/>
  <c r="AZ41" i="3"/>
  <c r="BB42" i="3"/>
  <c r="BA42" i="3"/>
  <c r="AZ42" i="3"/>
  <c r="BB43" i="3"/>
  <c r="BA43" i="3"/>
  <c r="AZ43" i="3"/>
  <c r="BB44" i="3"/>
  <c r="BA44" i="3"/>
  <c r="AZ44" i="3"/>
  <c r="BB45" i="3"/>
  <c r="BA45" i="3"/>
  <c r="AZ45" i="3"/>
  <c r="BB46" i="3"/>
  <c r="BA46" i="3"/>
  <c r="AZ46" i="3"/>
  <c r="BB47" i="3"/>
  <c r="BA47" i="3"/>
  <c r="AZ47" i="3"/>
  <c r="BB48" i="3"/>
  <c r="BA48" i="3"/>
  <c r="AZ48" i="3"/>
  <c r="BB49" i="3"/>
  <c r="BA49" i="3"/>
  <c r="AZ49" i="3"/>
  <c r="BB50" i="3"/>
  <c r="BA50" i="3"/>
  <c r="AZ50" i="3"/>
  <c r="BB51" i="3"/>
  <c r="BA51" i="3"/>
  <c r="AZ51" i="3"/>
  <c r="BB52" i="3"/>
  <c r="BA52" i="3"/>
  <c r="AZ52" i="3"/>
  <c r="BB53" i="3"/>
  <c r="BA53" i="3"/>
  <c r="AZ53" i="3"/>
  <c r="BB54" i="3"/>
  <c r="BA54" i="3"/>
  <c r="AZ54" i="3"/>
  <c r="BB55" i="3"/>
  <c r="BA55" i="3"/>
  <c r="AZ55" i="3"/>
  <c r="BB56" i="3"/>
  <c r="BA56" i="3"/>
  <c r="AZ56" i="3"/>
  <c r="BB57" i="3"/>
  <c r="BA57" i="3"/>
  <c r="AZ57" i="3"/>
  <c r="BB58" i="3"/>
  <c r="BA58" i="3"/>
  <c r="AZ58" i="3"/>
  <c r="BB59" i="3"/>
  <c r="BA59" i="3"/>
  <c r="AZ59" i="3"/>
  <c r="BB60" i="3"/>
  <c r="BA60" i="3"/>
  <c r="AZ60" i="3"/>
  <c r="BB61" i="3"/>
  <c r="BA61" i="3"/>
  <c r="AZ61" i="3"/>
  <c r="BB62" i="3"/>
  <c r="BA62" i="3"/>
  <c r="AZ62" i="3"/>
  <c r="BB63" i="3"/>
  <c r="BA63" i="3"/>
  <c r="AZ63" i="3"/>
  <c r="BB64" i="3"/>
  <c r="BA64" i="3"/>
  <c r="AZ64" i="3"/>
  <c r="BB65" i="3"/>
  <c r="BA65" i="3"/>
  <c r="AZ65" i="3"/>
  <c r="BB66" i="3"/>
  <c r="BA66" i="3"/>
  <c r="AZ66" i="3"/>
  <c r="BB67" i="3"/>
  <c r="BA67" i="3"/>
  <c r="AZ67" i="3"/>
  <c r="BB68" i="3"/>
  <c r="BA68" i="3"/>
  <c r="AZ68" i="3"/>
  <c r="BB69" i="3"/>
  <c r="BA69" i="3"/>
  <c r="AZ69" i="3"/>
  <c r="BB70" i="3"/>
  <c r="BA70" i="3"/>
  <c r="AZ70" i="3"/>
  <c r="BB71" i="3"/>
  <c r="BA71" i="3"/>
  <c r="AZ71" i="3"/>
  <c r="BB72" i="3"/>
  <c r="BA72" i="3"/>
  <c r="AZ72" i="3"/>
  <c r="BB73" i="3"/>
  <c r="BA73" i="3"/>
  <c r="AZ73" i="3"/>
  <c r="BB74" i="3"/>
  <c r="BA74" i="3"/>
  <c r="AZ74" i="3"/>
  <c r="BB75" i="3"/>
  <c r="BA75" i="3"/>
  <c r="AZ75" i="3"/>
  <c r="BB76" i="3"/>
  <c r="BA76" i="3"/>
  <c r="AZ76" i="3"/>
  <c r="BB77" i="3"/>
  <c r="BA77" i="3"/>
  <c r="AZ77" i="3"/>
  <c r="BB78" i="3"/>
  <c r="BA78" i="3"/>
  <c r="AZ78" i="3"/>
  <c r="BB79" i="3"/>
  <c r="BA79" i="3"/>
  <c r="AZ79" i="3"/>
  <c r="BB80" i="3"/>
  <c r="BA80" i="3"/>
  <c r="AZ80" i="3"/>
  <c r="BB81" i="3"/>
  <c r="BA81" i="3"/>
  <c r="AZ81" i="3"/>
  <c r="BB82" i="3"/>
  <c r="BA82" i="3"/>
  <c r="AZ82" i="3"/>
  <c r="BB83" i="3"/>
  <c r="BA83" i="3"/>
  <c r="AZ83" i="3"/>
  <c r="BB84" i="3"/>
  <c r="BA84" i="3"/>
  <c r="AZ84" i="3"/>
  <c r="BB85" i="3"/>
  <c r="BA85" i="3"/>
  <c r="AZ85" i="3"/>
  <c r="BB86" i="3"/>
  <c r="BA86" i="3"/>
  <c r="AZ86" i="3"/>
  <c r="BB87" i="3"/>
  <c r="BA87" i="3"/>
  <c r="AZ87" i="3"/>
  <c r="BB88" i="3"/>
  <c r="BA88" i="3"/>
  <c r="AZ88" i="3"/>
  <c r="BB89" i="3"/>
  <c r="BA89" i="3"/>
  <c r="AZ89" i="3"/>
  <c r="BB90" i="3"/>
  <c r="BA90" i="3"/>
  <c r="AZ90" i="3"/>
  <c r="BB91" i="3"/>
  <c r="BA91" i="3"/>
  <c r="AZ91" i="3"/>
  <c r="BB92" i="3"/>
  <c r="BA92" i="3"/>
  <c r="AZ92" i="3"/>
  <c r="BB93" i="3"/>
  <c r="BA93" i="3"/>
  <c r="AZ93" i="3"/>
  <c r="BB94" i="3"/>
  <c r="BA94" i="3"/>
  <c r="AZ94" i="3"/>
  <c r="BB95" i="3"/>
  <c r="BA95" i="3"/>
  <c r="AZ95" i="3"/>
  <c r="BB96" i="3"/>
  <c r="BA96" i="3"/>
  <c r="AZ96" i="3"/>
  <c r="BB97" i="3"/>
  <c r="BA97" i="3"/>
  <c r="AZ97" i="3"/>
  <c r="BB98" i="3"/>
  <c r="BA98" i="3"/>
  <c r="AZ98" i="3"/>
  <c r="BB99" i="3"/>
  <c r="BA99" i="3"/>
  <c r="AZ99" i="3"/>
  <c r="BB100" i="3"/>
  <c r="BA100" i="3"/>
  <c r="AZ100" i="3"/>
  <c r="BB101" i="3"/>
  <c r="BA101" i="3"/>
  <c r="AZ101" i="3"/>
  <c r="BB102" i="3"/>
  <c r="BA102" i="3"/>
  <c r="AZ102" i="3"/>
  <c r="BB103" i="3"/>
  <c r="BA103" i="3"/>
  <c r="AZ103" i="3"/>
  <c r="BB104" i="3"/>
  <c r="BA104" i="3"/>
  <c r="AZ104" i="3"/>
  <c r="BB105" i="3"/>
  <c r="BA105" i="3"/>
  <c r="AZ105" i="3"/>
  <c r="BB106" i="3"/>
  <c r="BA106" i="3"/>
  <c r="AZ106" i="3"/>
  <c r="BB107" i="3"/>
  <c r="BA107" i="3"/>
  <c r="AZ107" i="3"/>
  <c r="BB108" i="3"/>
  <c r="BA108" i="3"/>
  <c r="AZ108" i="3"/>
  <c r="BB109" i="3"/>
  <c r="BA109" i="3"/>
  <c r="AZ109" i="3"/>
  <c r="BB110" i="3"/>
  <c r="BA110" i="3"/>
  <c r="AZ110" i="3"/>
  <c r="BB111" i="3"/>
  <c r="BA111" i="3"/>
  <c r="AZ111" i="3"/>
  <c r="BB112" i="3"/>
  <c r="BA112" i="3"/>
  <c r="AZ112" i="3"/>
  <c r="BB113" i="3"/>
  <c r="BA113" i="3"/>
  <c r="AZ113" i="3"/>
  <c r="BB114" i="3"/>
  <c r="BA114" i="3"/>
  <c r="AZ114" i="3"/>
  <c r="BB115" i="3"/>
  <c r="BA115" i="3"/>
  <c r="AZ115" i="3"/>
  <c r="BB116" i="3"/>
  <c r="BA116" i="3"/>
  <c r="AZ116" i="3"/>
  <c r="BB117" i="3"/>
  <c r="BA117" i="3"/>
  <c r="AZ117" i="3"/>
  <c r="BB118" i="3"/>
  <c r="BA118" i="3"/>
  <c r="AZ118" i="3"/>
  <c r="BB119" i="3"/>
  <c r="BA119" i="3"/>
  <c r="AZ119" i="3"/>
  <c r="BB120" i="3"/>
  <c r="BA120" i="3"/>
  <c r="AZ120" i="3"/>
  <c r="BB121" i="3"/>
  <c r="BA121" i="3"/>
  <c r="AZ121" i="3"/>
  <c r="BB122" i="3"/>
  <c r="BA122" i="3"/>
  <c r="AZ122" i="3"/>
  <c r="BB123" i="3"/>
  <c r="BA123" i="3"/>
  <c r="AZ123" i="3"/>
  <c r="BB124" i="3"/>
  <c r="BA124" i="3"/>
  <c r="AZ124" i="3"/>
  <c r="BB125" i="3"/>
  <c r="BA125" i="3"/>
  <c r="AZ125" i="3"/>
  <c r="BB126" i="3"/>
  <c r="BA126" i="3"/>
  <c r="AZ126" i="3"/>
  <c r="BB127" i="3"/>
  <c r="BA127" i="3"/>
  <c r="AZ127" i="3"/>
  <c r="BB128" i="3"/>
  <c r="BA128" i="3"/>
  <c r="AZ128" i="3"/>
  <c r="BB129" i="3"/>
  <c r="BA129" i="3"/>
  <c r="AZ129" i="3"/>
  <c r="BB130" i="3"/>
  <c r="BA130" i="3"/>
  <c r="AZ130" i="3"/>
  <c r="BB131" i="3"/>
  <c r="BA131" i="3"/>
  <c r="AZ131" i="3"/>
  <c r="BB132" i="3"/>
  <c r="BA132" i="3"/>
  <c r="AZ132" i="3"/>
  <c r="BB133" i="3"/>
  <c r="BA133" i="3"/>
  <c r="AZ133" i="3"/>
  <c r="BB134" i="3"/>
  <c r="BA134" i="3"/>
  <c r="AZ134" i="3"/>
  <c r="BB135" i="3"/>
  <c r="BA135" i="3"/>
  <c r="AZ135" i="3"/>
  <c r="BB136" i="3"/>
  <c r="BA136" i="3"/>
  <c r="AZ136" i="3"/>
  <c r="BB137" i="3"/>
  <c r="BA137" i="3"/>
  <c r="AZ137" i="3"/>
  <c r="BB138" i="3"/>
  <c r="BA138" i="3"/>
  <c r="AZ138" i="3"/>
  <c r="BB139" i="3"/>
  <c r="BA139" i="3"/>
  <c r="AZ139" i="3"/>
  <c r="BB140" i="3"/>
  <c r="BA140" i="3"/>
  <c r="AZ140" i="3"/>
  <c r="BB141" i="3"/>
  <c r="BA141" i="3"/>
  <c r="AZ141" i="3"/>
  <c r="BB142" i="3"/>
  <c r="BA142" i="3"/>
  <c r="AZ142" i="3"/>
  <c r="BB143" i="3"/>
  <c r="BA143" i="3"/>
  <c r="AZ143" i="3"/>
  <c r="BB144" i="3"/>
  <c r="BA144" i="3"/>
  <c r="AZ144" i="3"/>
  <c r="BB145" i="3"/>
  <c r="BA145" i="3"/>
  <c r="AZ145" i="3"/>
  <c r="BB146" i="3"/>
  <c r="BA146" i="3"/>
  <c r="AZ146" i="3"/>
  <c r="BB147" i="3"/>
  <c r="BA147" i="3"/>
  <c r="AZ147" i="3"/>
  <c r="BB148" i="3"/>
  <c r="BA148" i="3"/>
  <c r="AZ148" i="3"/>
  <c r="BB149" i="3"/>
  <c r="BA149" i="3"/>
  <c r="AZ149" i="3"/>
  <c r="BB150" i="3"/>
  <c r="BA150" i="3"/>
  <c r="AZ150" i="3"/>
  <c r="BB151" i="3"/>
  <c r="BA151" i="3"/>
  <c r="AZ151" i="3"/>
  <c r="BB152" i="3"/>
  <c r="BA152" i="3"/>
  <c r="AZ152" i="3"/>
  <c r="BB153" i="3"/>
  <c r="BA153" i="3"/>
  <c r="AZ153" i="3"/>
  <c r="BB154" i="3"/>
  <c r="BA154" i="3"/>
  <c r="AZ154" i="3"/>
  <c r="BB155" i="3"/>
  <c r="BA155" i="3"/>
  <c r="AZ155" i="3"/>
  <c r="BB156" i="3"/>
  <c r="BA156" i="3"/>
  <c r="AZ156" i="3"/>
  <c r="BB157" i="3"/>
  <c r="BA157" i="3"/>
  <c r="AZ157" i="3"/>
  <c r="BB158" i="3"/>
  <c r="BA158" i="3"/>
  <c r="AZ158" i="3"/>
  <c r="BB159" i="3"/>
  <c r="BA159" i="3"/>
  <c r="AZ159" i="3"/>
  <c r="BB160" i="3"/>
  <c r="BA160" i="3"/>
  <c r="AZ160" i="3"/>
  <c r="BB161" i="3"/>
  <c r="BA161" i="3"/>
  <c r="AZ161" i="3"/>
  <c r="BB162" i="3"/>
  <c r="BA162" i="3"/>
  <c r="AZ162" i="3"/>
  <c r="BB163" i="3"/>
  <c r="BA163" i="3"/>
  <c r="AZ163" i="3"/>
  <c r="BB164" i="3"/>
  <c r="BA164" i="3"/>
  <c r="AZ164" i="3"/>
  <c r="BB165" i="3"/>
  <c r="BA165" i="3"/>
  <c r="AZ165" i="3"/>
  <c r="BB166" i="3"/>
  <c r="BA166" i="3"/>
  <c r="AZ166" i="3"/>
  <c r="BB167" i="3"/>
  <c r="BA167" i="3"/>
  <c r="AZ167" i="3"/>
  <c r="BB168" i="3"/>
  <c r="BA168" i="3"/>
  <c r="AZ168" i="3"/>
  <c r="BB169" i="3"/>
  <c r="BA169" i="3"/>
  <c r="AZ169" i="3"/>
  <c r="BB170" i="3"/>
  <c r="BA170" i="3"/>
  <c r="AZ170" i="3"/>
  <c r="BB171" i="3"/>
  <c r="BA171" i="3"/>
  <c r="AZ171" i="3"/>
  <c r="BB172" i="3"/>
  <c r="BA172" i="3"/>
  <c r="AZ172" i="3"/>
  <c r="BB173" i="3"/>
  <c r="BA173" i="3"/>
  <c r="AZ173" i="3"/>
  <c r="BB174" i="3"/>
  <c r="BA174" i="3"/>
  <c r="AZ174" i="3"/>
  <c r="BB175" i="3"/>
  <c r="BA175" i="3"/>
  <c r="AZ175" i="3"/>
  <c r="BB176" i="3"/>
  <c r="BA176" i="3"/>
  <c r="AZ176" i="3"/>
  <c r="BB177" i="3"/>
  <c r="BA177" i="3"/>
  <c r="AZ177" i="3"/>
  <c r="BB178" i="3"/>
  <c r="BA178" i="3"/>
  <c r="AZ178" i="3"/>
  <c r="BB179" i="3"/>
  <c r="BA179" i="3"/>
  <c r="AZ179" i="3"/>
  <c r="BB180" i="3"/>
  <c r="BA180" i="3"/>
  <c r="AZ180" i="3"/>
  <c r="BB181" i="3"/>
  <c r="BA181" i="3"/>
  <c r="AZ181" i="3"/>
  <c r="BB182" i="3"/>
  <c r="BA182" i="3"/>
  <c r="AZ182" i="3"/>
  <c r="BB183" i="3"/>
  <c r="BA183" i="3"/>
  <c r="AZ183" i="3"/>
  <c r="BB184" i="3"/>
  <c r="BA184" i="3"/>
  <c r="AZ184" i="3"/>
  <c r="BB185" i="3"/>
  <c r="BA185" i="3"/>
  <c r="AZ185" i="3"/>
  <c r="BB186" i="3"/>
  <c r="BA186" i="3"/>
  <c r="AZ186" i="3"/>
  <c r="BB187" i="3"/>
  <c r="BA187" i="3"/>
  <c r="AZ187" i="3"/>
  <c r="BB188" i="3"/>
  <c r="BA188" i="3"/>
  <c r="AZ188" i="3"/>
  <c r="BB189" i="3"/>
  <c r="BA189" i="3"/>
  <c r="AZ189" i="3"/>
  <c r="BB190" i="3"/>
  <c r="BA190" i="3"/>
  <c r="AZ190" i="3"/>
  <c r="BB191" i="3"/>
  <c r="BA191" i="3"/>
  <c r="AZ191" i="3"/>
  <c r="BB192" i="3"/>
  <c r="BA192" i="3"/>
  <c r="AZ192" i="3"/>
  <c r="BB193" i="3"/>
  <c r="BA193" i="3"/>
  <c r="AZ193" i="3"/>
  <c r="BB194" i="3"/>
  <c r="BA194" i="3"/>
  <c r="AZ194" i="3"/>
  <c r="BB195" i="3"/>
  <c r="BA195" i="3"/>
  <c r="AZ195" i="3"/>
  <c r="BB196" i="3"/>
  <c r="BA196" i="3"/>
  <c r="AZ196" i="3"/>
  <c r="BB197" i="3"/>
  <c r="BA197" i="3"/>
  <c r="AZ197" i="3"/>
  <c r="BB198" i="3"/>
  <c r="BA198" i="3"/>
  <c r="AZ198" i="3"/>
  <c r="BB199" i="3"/>
  <c r="BA199" i="3"/>
  <c r="AZ199" i="3"/>
  <c r="BB200" i="3"/>
  <c r="BA200" i="3"/>
  <c r="AZ200" i="3"/>
  <c r="BB201" i="3"/>
  <c r="BA201" i="3"/>
  <c r="AZ201" i="3"/>
  <c r="BB202" i="3"/>
  <c r="BA202" i="3"/>
  <c r="AZ202" i="3"/>
  <c r="BB203" i="3"/>
  <c r="BA203" i="3"/>
  <c r="AZ203" i="3"/>
  <c r="BB204" i="3"/>
  <c r="BA204" i="3"/>
  <c r="AZ204" i="3"/>
  <c r="BB205" i="3"/>
  <c r="BA205" i="3"/>
  <c r="AZ205" i="3"/>
  <c r="BB206" i="3"/>
  <c r="BA206" i="3"/>
  <c r="AZ206" i="3"/>
  <c r="BB207" i="3"/>
  <c r="BA207" i="3"/>
  <c r="AZ207" i="3"/>
  <c r="BB208" i="3"/>
  <c r="BA208" i="3"/>
  <c r="AZ208" i="3"/>
  <c r="BB209" i="3"/>
  <c r="BA209" i="3"/>
  <c r="AZ209" i="3"/>
  <c r="BB210" i="3"/>
  <c r="BA210" i="3"/>
  <c r="AZ210" i="3"/>
  <c r="BB211" i="3"/>
  <c r="BA211" i="3"/>
  <c r="AZ211" i="3"/>
  <c r="BB212" i="3"/>
  <c r="BA212" i="3"/>
  <c r="AZ212" i="3"/>
  <c r="BB213" i="3"/>
  <c r="BA213" i="3"/>
  <c r="AZ213" i="3"/>
  <c r="BB214" i="3"/>
  <c r="BA214" i="3"/>
  <c r="AZ214" i="3"/>
  <c r="BB215" i="3"/>
  <c r="BA215" i="3"/>
  <c r="AZ215" i="3"/>
  <c r="BB216" i="3"/>
  <c r="BA216" i="3"/>
  <c r="AZ216" i="3"/>
  <c r="BB217" i="3"/>
  <c r="BA217" i="3"/>
  <c r="AZ217" i="3"/>
  <c r="BB218" i="3"/>
  <c r="BA218" i="3"/>
  <c r="AZ218" i="3"/>
  <c r="BB219" i="3"/>
  <c r="BA219" i="3"/>
  <c r="AZ219" i="3"/>
  <c r="BB220" i="3"/>
  <c r="BA220" i="3"/>
  <c r="AZ220" i="3"/>
  <c r="BB221" i="3"/>
  <c r="BA221" i="3"/>
  <c r="AZ221" i="3"/>
  <c r="BB222" i="3"/>
  <c r="BA222" i="3"/>
  <c r="AZ222" i="3"/>
  <c r="BB223" i="3"/>
  <c r="BA223" i="3"/>
  <c r="AZ223" i="3"/>
  <c r="BB224" i="3"/>
  <c r="BA224" i="3"/>
  <c r="AZ224" i="3"/>
  <c r="BB225" i="3"/>
  <c r="BA225" i="3"/>
  <c r="AZ225" i="3"/>
  <c r="BB226" i="3"/>
  <c r="BA226" i="3"/>
  <c r="AZ226" i="3"/>
  <c r="BB227" i="3"/>
  <c r="BA227" i="3"/>
  <c r="AZ227" i="3"/>
  <c r="BB228" i="3"/>
  <c r="BA228" i="3"/>
  <c r="AZ228" i="3"/>
  <c r="BB229" i="3"/>
  <c r="BA229" i="3"/>
  <c r="AZ229" i="3"/>
  <c r="BB230" i="3"/>
  <c r="BA230" i="3"/>
  <c r="AZ230" i="3"/>
  <c r="BB231" i="3"/>
  <c r="BA231" i="3"/>
  <c r="AZ231" i="3"/>
  <c r="BB232" i="3"/>
  <c r="BA232" i="3"/>
  <c r="AZ232" i="3"/>
  <c r="BB233" i="3"/>
  <c r="BA233" i="3"/>
  <c r="AZ233" i="3"/>
  <c r="BB234" i="3"/>
  <c r="BA234" i="3"/>
  <c r="AZ234" i="3"/>
  <c r="BB235" i="3"/>
  <c r="BA235" i="3"/>
  <c r="AZ235" i="3"/>
  <c r="BB236" i="3"/>
  <c r="BA236" i="3"/>
  <c r="AZ236" i="3"/>
  <c r="BB237" i="3"/>
  <c r="BA237" i="3"/>
  <c r="AZ237" i="3"/>
  <c r="BB238" i="3"/>
  <c r="BA238" i="3"/>
  <c r="AZ238" i="3"/>
  <c r="BB239" i="3"/>
  <c r="BA239" i="3"/>
  <c r="AZ239" i="3"/>
  <c r="BB240" i="3"/>
  <c r="BA240" i="3"/>
  <c r="AZ240" i="3"/>
  <c r="BB241" i="3"/>
  <c r="BA241" i="3"/>
  <c r="AZ241" i="3"/>
  <c r="BB242" i="3"/>
  <c r="BA242" i="3"/>
  <c r="AZ242" i="3"/>
  <c r="BB243" i="3"/>
  <c r="BA243" i="3"/>
  <c r="AZ243" i="3"/>
  <c r="BB244" i="3"/>
  <c r="BA244" i="3"/>
  <c r="AZ244" i="3"/>
  <c r="BB245" i="3"/>
  <c r="BA245" i="3"/>
  <c r="AZ245" i="3"/>
  <c r="BB246" i="3"/>
  <c r="BA246" i="3"/>
  <c r="AZ246" i="3"/>
  <c r="BB247" i="3"/>
  <c r="BA247" i="3"/>
  <c r="AZ247" i="3"/>
  <c r="BB248" i="3"/>
  <c r="BA248" i="3"/>
  <c r="AZ248" i="3"/>
  <c r="BB249" i="3"/>
  <c r="BA249" i="3"/>
  <c r="AZ249" i="3"/>
  <c r="BB250" i="3"/>
  <c r="BA250" i="3"/>
  <c r="AZ250" i="3"/>
  <c r="BB251" i="3"/>
  <c r="BA251" i="3"/>
  <c r="AZ251" i="3"/>
  <c r="BB252" i="3"/>
  <c r="BA252" i="3"/>
  <c r="AZ252" i="3"/>
  <c r="BB253" i="3"/>
  <c r="BA253" i="3"/>
  <c r="AZ253" i="3"/>
  <c r="BB254" i="3"/>
  <c r="BA254" i="3"/>
  <c r="AZ254" i="3"/>
  <c r="BB255" i="3"/>
  <c r="BA255" i="3"/>
  <c r="AZ255" i="3"/>
  <c r="BB256" i="3"/>
  <c r="BA256" i="3"/>
  <c r="AZ256" i="3"/>
  <c r="BB257" i="3"/>
  <c r="BA257" i="3"/>
  <c r="AZ257" i="3"/>
  <c r="BB258" i="3"/>
  <c r="BA258" i="3"/>
  <c r="AZ258" i="3"/>
  <c r="BB259" i="3"/>
  <c r="BA259" i="3"/>
  <c r="AZ259" i="3"/>
  <c r="BB260" i="3"/>
  <c r="BA260" i="3"/>
  <c r="AZ260" i="3"/>
  <c r="BB261" i="3"/>
  <c r="BA261" i="3"/>
  <c r="AZ261" i="3"/>
  <c r="BB262" i="3"/>
  <c r="BA262" i="3"/>
  <c r="AZ262" i="3"/>
  <c r="BB263" i="3"/>
  <c r="BA263" i="3"/>
  <c r="AZ263" i="3"/>
  <c r="BB264" i="3"/>
  <c r="BA264" i="3"/>
  <c r="AZ264" i="3"/>
  <c r="BB265" i="3"/>
  <c r="BA265" i="3"/>
  <c r="AZ265" i="3"/>
  <c r="BB266" i="3"/>
  <c r="BA266" i="3"/>
  <c r="AZ266" i="3"/>
  <c r="BB267" i="3"/>
  <c r="BA267" i="3"/>
  <c r="AZ267" i="3"/>
  <c r="BB268" i="3"/>
  <c r="BA268" i="3"/>
  <c r="AZ268" i="3"/>
  <c r="BB269" i="3"/>
  <c r="BA269" i="3"/>
  <c r="AZ269" i="3"/>
  <c r="BB270" i="3"/>
  <c r="BA270" i="3"/>
  <c r="AZ270" i="3"/>
  <c r="BB271" i="3"/>
  <c r="BA271" i="3"/>
  <c r="AZ271" i="3"/>
  <c r="BB272" i="3"/>
  <c r="BA272" i="3"/>
  <c r="AZ272" i="3"/>
  <c r="BB273" i="3"/>
  <c r="BA273" i="3"/>
  <c r="AZ273" i="3"/>
  <c r="BB274" i="3"/>
  <c r="BA274" i="3"/>
  <c r="AZ274" i="3"/>
  <c r="BB275" i="3"/>
  <c r="BA275" i="3"/>
  <c r="AZ275" i="3"/>
  <c r="BB276" i="3"/>
  <c r="BA276" i="3"/>
  <c r="AZ276" i="3"/>
  <c r="BB277" i="3"/>
  <c r="BA277" i="3"/>
  <c r="AZ277" i="3"/>
  <c r="BB278" i="3"/>
  <c r="BA278" i="3"/>
  <c r="AZ278" i="3"/>
  <c r="BB279" i="3"/>
  <c r="BA279" i="3"/>
  <c r="AZ279" i="3"/>
  <c r="BB280" i="3"/>
  <c r="BA280" i="3"/>
  <c r="AZ280" i="3"/>
  <c r="BB281" i="3"/>
  <c r="BA281" i="3"/>
  <c r="AZ281" i="3"/>
  <c r="BB282" i="3"/>
  <c r="BA282" i="3"/>
  <c r="AZ282" i="3"/>
  <c r="BB283" i="3"/>
  <c r="BA283" i="3"/>
  <c r="AZ283" i="3"/>
  <c r="BB284" i="3"/>
  <c r="BA284" i="3"/>
  <c r="AZ284" i="3"/>
  <c r="BB285" i="3"/>
  <c r="BA285" i="3"/>
  <c r="AZ285" i="3"/>
  <c r="BB286" i="3"/>
  <c r="BA286" i="3"/>
  <c r="AZ286" i="3"/>
  <c r="BB287" i="3"/>
  <c r="BA287" i="3"/>
  <c r="AZ287" i="3"/>
  <c r="BB288" i="3"/>
  <c r="BA288" i="3"/>
  <c r="AZ288" i="3"/>
  <c r="BB289" i="3"/>
  <c r="BA289" i="3"/>
  <c r="AZ289" i="3"/>
  <c r="BB290" i="3"/>
  <c r="BA290" i="3"/>
  <c r="AZ290" i="3"/>
  <c r="BB291" i="3"/>
  <c r="BA291" i="3"/>
  <c r="AZ291" i="3"/>
  <c r="BB292" i="3"/>
  <c r="BA292" i="3"/>
  <c r="AZ292" i="3"/>
  <c r="BB293" i="3"/>
  <c r="BA293" i="3"/>
  <c r="AZ293" i="3"/>
  <c r="BB294" i="3"/>
  <c r="BA294" i="3"/>
  <c r="AZ294" i="3"/>
  <c r="BB295" i="3"/>
  <c r="BA295" i="3"/>
  <c r="AZ295" i="3"/>
  <c r="BB296" i="3"/>
  <c r="BA296" i="3"/>
  <c r="AZ296" i="3"/>
  <c r="BB297" i="3"/>
  <c r="BA297" i="3"/>
  <c r="AZ297" i="3"/>
  <c r="BB298" i="3"/>
  <c r="BA298" i="3"/>
  <c r="AZ298" i="3"/>
  <c r="BB299" i="3"/>
  <c r="BA299" i="3"/>
  <c r="AZ299" i="3"/>
  <c r="BB300" i="3"/>
  <c r="BA300" i="3"/>
  <c r="AZ300" i="3"/>
  <c r="BB301" i="3"/>
  <c r="BA301" i="3"/>
  <c r="AZ301" i="3"/>
  <c r="BB302" i="3"/>
  <c r="BA302" i="3"/>
  <c r="AZ302" i="3"/>
  <c r="BB303" i="3"/>
  <c r="BA303" i="3"/>
  <c r="AZ303" i="3"/>
  <c r="BB304" i="3"/>
  <c r="BA304" i="3"/>
  <c r="AZ304" i="3"/>
  <c r="BB305" i="3"/>
  <c r="BA305" i="3"/>
  <c r="AZ305" i="3"/>
  <c r="BB306" i="3"/>
  <c r="BA306" i="3"/>
  <c r="AZ306" i="3"/>
  <c r="BB307" i="3"/>
  <c r="BA307" i="3"/>
  <c r="AZ307" i="3"/>
  <c r="BB308" i="3"/>
  <c r="BA308" i="3"/>
  <c r="AZ308" i="3"/>
  <c r="BB309" i="3"/>
  <c r="BA309" i="3"/>
  <c r="AZ309" i="3"/>
  <c r="BB310" i="3"/>
  <c r="BA310" i="3"/>
  <c r="AZ310" i="3"/>
  <c r="BB311" i="3"/>
  <c r="BA311" i="3"/>
  <c r="AZ311" i="3"/>
  <c r="BB312" i="3"/>
  <c r="BA312" i="3"/>
  <c r="AZ312" i="3"/>
  <c r="BB313" i="3"/>
  <c r="BA313" i="3"/>
  <c r="AZ313" i="3"/>
  <c r="BB314" i="3"/>
  <c r="BA314" i="3"/>
  <c r="AZ314" i="3"/>
  <c r="BB315" i="3"/>
  <c r="BA315" i="3"/>
  <c r="AZ315" i="3"/>
  <c r="BB316" i="3"/>
  <c r="BA316" i="3"/>
  <c r="AZ316" i="3"/>
  <c r="BB317" i="3"/>
  <c r="BA317" i="3"/>
  <c r="AZ317" i="3"/>
  <c r="BB318" i="3"/>
  <c r="BA318" i="3"/>
  <c r="AZ318" i="3"/>
  <c r="BB319" i="3"/>
  <c r="BA319" i="3"/>
  <c r="AZ319" i="3"/>
  <c r="BB320" i="3"/>
  <c r="BA320" i="3"/>
  <c r="AZ320" i="3"/>
  <c r="BB321" i="3"/>
  <c r="BA321" i="3"/>
  <c r="AZ321" i="3"/>
  <c r="BB322" i="3"/>
  <c r="BA322" i="3"/>
  <c r="AZ322" i="3"/>
  <c r="BB323" i="3"/>
  <c r="BA323" i="3"/>
  <c r="AZ323" i="3"/>
  <c r="BB324" i="3"/>
  <c r="BA324" i="3"/>
  <c r="AZ324" i="3"/>
  <c r="BB325" i="3"/>
  <c r="BA325" i="3"/>
  <c r="AZ325" i="3"/>
  <c r="BB326" i="3"/>
  <c r="BA326" i="3"/>
  <c r="AZ326" i="3"/>
  <c r="BB327" i="3"/>
  <c r="BA327" i="3"/>
  <c r="AZ327" i="3"/>
  <c r="BB328" i="3"/>
  <c r="BA328" i="3"/>
  <c r="AZ328" i="3"/>
  <c r="BB329" i="3"/>
  <c r="BA329" i="3"/>
  <c r="AZ329" i="3"/>
  <c r="BB330" i="3"/>
  <c r="BA330" i="3"/>
  <c r="AZ330" i="3"/>
  <c r="BB331" i="3"/>
  <c r="BA331" i="3"/>
  <c r="AZ331" i="3"/>
  <c r="BB332" i="3"/>
  <c r="BA332" i="3"/>
  <c r="AZ332" i="3"/>
  <c r="BB333" i="3"/>
  <c r="BA333" i="3"/>
  <c r="AZ333" i="3"/>
  <c r="BB334" i="3"/>
  <c r="BA334" i="3"/>
  <c r="AZ334" i="3"/>
  <c r="BB335" i="3"/>
  <c r="BA335" i="3"/>
  <c r="AZ335" i="3"/>
  <c r="BB336" i="3"/>
  <c r="BA336" i="3"/>
  <c r="AZ336" i="3"/>
  <c r="BB337" i="3"/>
  <c r="BA337" i="3"/>
  <c r="AZ337" i="3"/>
  <c r="BB338" i="3"/>
  <c r="BA338" i="3"/>
  <c r="AZ338" i="3"/>
  <c r="BB339" i="3"/>
  <c r="BA339" i="3"/>
  <c r="AZ339" i="3"/>
  <c r="BB340" i="3"/>
  <c r="BA340" i="3"/>
  <c r="AZ340" i="3"/>
  <c r="BB341" i="3"/>
  <c r="BA341" i="3"/>
  <c r="AZ341" i="3"/>
  <c r="BB342" i="3"/>
  <c r="BA342" i="3"/>
  <c r="AZ342" i="3"/>
  <c r="BB343" i="3"/>
  <c r="BA343" i="3"/>
  <c r="AZ343" i="3"/>
  <c r="BB344" i="3"/>
  <c r="BA344" i="3"/>
  <c r="AZ344" i="3"/>
  <c r="BB345" i="3"/>
  <c r="BA345" i="3"/>
  <c r="AZ345" i="3"/>
  <c r="BB346" i="3"/>
  <c r="BA346" i="3"/>
  <c r="AZ346" i="3"/>
  <c r="BB347" i="3"/>
  <c r="BA347" i="3"/>
  <c r="AZ347" i="3"/>
  <c r="BB348" i="3"/>
  <c r="BA348" i="3"/>
  <c r="AZ348" i="3"/>
  <c r="BB349" i="3"/>
  <c r="BA349" i="3"/>
  <c r="AZ349" i="3"/>
  <c r="BB350" i="3"/>
  <c r="BA350" i="3"/>
  <c r="AZ350" i="3"/>
  <c r="BB351" i="3"/>
  <c r="BA351" i="3"/>
  <c r="AZ351" i="3"/>
  <c r="BB352" i="3"/>
  <c r="BA352" i="3"/>
  <c r="AZ352" i="3"/>
  <c r="BB353" i="3"/>
  <c r="BA353" i="3"/>
  <c r="AZ353" i="3"/>
  <c r="BB354" i="3"/>
  <c r="BA354" i="3"/>
  <c r="AZ354" i="3"/>
  <c r="BB355" i="3"/>
  <c r="BA355" i="3"/>
  <c r="AZ355" i="3"/>
  <c r="BB356" i="3"/>
  <c r="BA356" i="3"/>
  <c r="AZ356" i="3"/>
  <c r="BB357" i="3"/>
  <c r="BA357" i="3"/>
  <c r="AZ357" i="3"/>
  <c r="AZ5" i="3"/>
  <c r="E3" i="6"/>
  <c r="C34" i="34"/>
  <c r="I5" i="3"/>
  <c r="F19" i="6"/>
  <c r="E19" i="6"/>
  <c r="K6" i="1"/>
  <c r="K7" i="1"/>
  <c r="K8" i="1"/>
  <c r="K9" i="1"/>
  <c r="K10" i="1"/>
  <c r="K11" i="1"/>
  <c r="K12" i="1"/>
  <c r="K13" i="1"/>
  <c r="K14" i="1"/>
  <c r="K15" i="1"/>
  <c r="K16" i="1"/>
  <c r="B29" i="1"/>
  <c r="I37" i="34"/>
  <c r="E37" i="34"/>
  <c r="C37" i="34"/>
  <c r="G37" i="34"/>
  <c r="G105" i="34"/>
  <c r="H105" i="34"/>
  <c r="D29" i="43"/>
  <c r="D3" i="4"/>
  <c r="AH5" i="71"/>
  <c r="AG5" i="71"/>
  <c r="AE5" i="71"/>
  <c r="AF5" i="71"/>
  <c r="AD5" i="71"/>
  <c r="Q5" i="71"/>
  <c r="Q6" i="71"/>
  <c r="Q7" i="71"/>
  <c r="P5" i="71"/>
  <c r="P6" i="71"/>
  <c r="P7" i="71"/>
  <c r="O5" i="71"/>
  <c r="O6" i="71"/>
  <c r="O7" i="71"/>
  <c r="N5" i="71"/>
  <c r="N6" i="71"/>
  <c r="N7" i="71"/>
  <c r="F7" i="71"/>
  <c r="F6" i="71"/>
  <c r="F5" i="71"/>
  <c r="E7" i="71"/>
  <c r="E6" i="71"/>
  <c r="E5" i="71"/>
  <c r="C7" i="71"/>
  <c r="C6" i="71"/>
  <c r="C5" i="71"/>
  <c r="D5" i="71"/>
  <c r="B7" i="71"/>
  <c r="B6" i="71"/>
  <c r="B5" i="71"/>
  <c r="AH6" i="71"/>
  <c r="AG6" i="71"/>
  <c r="AE6" i="71"/>
  <c r="AF6" i="71"/>
  <c r="AD6" i="71"/>
  <c r="F24" i="12"/>
  <c r="F7" i="69"/>
  <c r="F7" i="68"/>
  <c r="M15" i="45"/>
  <c r="L15" i="45"/>
  <c r="K15" i="45"/>
  <c r="J15" i="45"/>
  <c r="I15" i="45"/>
  <c r="H15" i="45"/>
  <c r="G15" i="45"/>
  <c r="F15" i="45"/>
  <c r="E15" i="45"/>
  <c r="D15" i="45"/>
  <c r="C15" i="45"/>
  <c r="B15" i="45"/>
  <c r="AH7" i="71"/>
  <c r="AG7" i="71"/>
  <c r="AE7" i="71"/>
  <c r="AF7" i="71"/>
  <c r="AD7" i="71"/>
  <c r="AB6" i="71"/>
  <c r="AA6" i="71"/>
  <c r="Y6" i="71"/>
  <c r="X6" i="71"/>
  <c r="AD8" i="71"/>
  <c r="AH8" i="71"/>
  <c r="AG8" i="71"/>
  <c r="AE8" i="71"/>
  <c r="AF8" i="71"/>
  <c r="Q8" i="71"/>
  <c r="P8" i="71"/>
  <c r="O8" i="71"/>
  <c r="N8" i="71"/>
  <c r="L3" i="71"/>
  <c r="AH3" i="71"/>
  <c r="K3" i="71"/>
  <c r="AG3" i="71"/>
  <c r="J3" i="71"/>
  <c r="AE3" i="71"/>
  <c r="I3" i="71"/>
  <c r="AH9" i="71"/>
  <c r="AG9" i="71"/>
  <c r="AE9" i="71"/>
  <c r="AF9" i="71"/>
  <c r="AD9" i="71"/>
  <c r="Q9" i="71"/>
  <c r="Q10" i="71"/>
  <c r="P9" i="71"/>
  <c r="P10" i="71"/>
  <c r="AA9" i="71"/>
  <c r="O9" i="71"/>
  <c r="O10" i="71"/>
  <c r="N9" i="71"/>
  <c r="N10" i="71"/>
  <c r="X9" i="71"/>
  <c r="N11" i="71"/>
  <c r="AH10" i="71"/>
  <c r="AG10" i="71"/>
  <c r="AE10" i="71"/>
  <c r="AF10" i="71"/>
  <c r="AD10" i="71"/>
  <c r="Q11" i="71"/>
  <c r="AB9" i="71"/>
  <c r="P11" i="71"/>
  <c r="AA10" i="71"/>
  <c r="O11" i="71"/>
  <c r="Y9" i="71"/>
  <c r="Z9" i="71"/>
  <c r="M19" i="43"/>
  <c r="D13" i="71"/>
  <c r="AH11" i="71"/>
  <c r="AG11" i="71"/>
  <c r="AE11" i="71"/>
  <c r="AF11" i="71"/>
  <c r="AD11" i="71"/>
  <c r="AD12" i="71"/>
  <c r="AG12" i="71"/>
  <c r="AH12" i="71"/>
  <c r="AE12" i="71"/>
  <c r="AF12" i="71"/>
  <c r="N12" i="71"/>
  <c r="X10" i="71"/>
  <c r="Q12" i="71"/>
  <c r="AB11" i="71"/>
  <c r="P12" i="71"/>
  <c r="AA11" i="71"/>
  <c r="O12" i="71"/>
  <c r="Y10" i="71"/>
  <c r="Z10" i="71"/>
  <c r="Y11" i="71"/>
  <c r="Z11" i="71"/>
  <c r="C12" i="71"/>
  <c r="C11" i="71"/>
  <c r="Q13" i="71"/>
  <c r="F12" i="71"/>
  <c r="F11" i="71"/>
  <c r="F10" i="71"/>
  <c r="P13" i="71"/>
  <c r="E12" i="71"/>
  <c r="E11" i="71"/>
  <c r="E10" i="71"/>
  <c r="O13" i="71"/>
  <c r="N13" i="71"/>
  <c r="B12" i="71"/>
  <c r="B11" i="71"/>
  <c r="B10" i="71"/>
  <c r="B9" i="71"/>
  <c r="B8" i="71"/>
  <c r="V12" i="71"/>
  <c r="AB12" i="71"/>
  <c r="Y12" i="71"/>
  <c r="Z12" i="71"/>
  <c r="X12" i="71"/>
  <c r="AA12" i="71"/>
  <c r="A2" i="53"/>
  <c r="B19" i="72"/>
  <c r="K59" i="67"/>
  <c r="P61" i="67"/>
  <c r="K59" i="15"/>
  <c r="P74" i="15"/>
  <c r="P74" i="67"/>
  <c r="D116" i="39"/>
  <c r="E116" i="39"/>
  <c r="F116" i="39"/>
  <c r="G116" i="39"/>
  <c r="H116" i="39"/>
  <c r="I116" i="39"/>
  <c r="J116" i="39"/>
  <c r="K116" i="39"/>
  <c r="L116" i="39"/>
  <c r="M116" i="39"/>
  <c r="C116" i="39"/>
  <c r="A21" i="62"/>
  <c r="A20" i="62"/>
  <c r="B66" i="72"/>
  <c r="A22" i="51"/>
  <c r="A21" i="51"/>
  <c r="A20" i="51"/>
  <c r="L20" i="4"/>
  <c r="L21" i="4"/>
  <c r="A15" i="62"/>
  <c r="A14" i="62"/>
  <c r="A13" i="62"/>
  <c r="B59" i="72"/>
  <c r="A19" i="62"/>
  <c r="A12" i="62"/>
  <c r="B58" i="72"/>
  <c r="A120" i="9"/>
  <c r="H2" i="52"/>
  <c r="A1" i="52"/>
  <c r="A3" i="53"/>
  <c r="Q14" i="71"/>
  <c r="P14" i="71"/>
  <c r="O14" i="71"/>
  <c r="N14" i="71"/>
  <c r="A15" i="51"/>
  <c r="B12" i="72"/>
  <c r="C76" i="9"/>
  <c r="I107" i="40"/>
  <c r="K6" i="4"/>
  <c r="M56" i="9"/>
  <c r="B22" i="31"/>
  <c r="N56" i="9"/>
  <c r="E15" i="74"/>
  <c r="F15" i="74"/>
  <c r="E16" i="74"/>
  <c r="F16" i="74"/>
  <c r="E17" i="74"/>
  <c r="F17" i="74"/>
  <c r="E18" i="74"/>
  <c r="F18" i="74"/>
  <c r="E19" i="74"/>
  <c r="F19" i="74"/>
  <c r="E20" i="74"/>
  <c r="F20" i="74"/>
  <c r="E21" i="74"/>
  <c r="F21" i="74"/>
  <c r="E22" i="74"/>
  <c r="F22" i="74"/>
  <c r="E23" i="74"/>
  <c r="F23" i="74"/>
  <c r="B3" i="74"/>
  <c r="C91" i="9"/>
  <c r="B8" i="72"/>
  <c r="O15" i="71"/>
  <c r="P15" i="71"/>
  <c r="Q15" i="71"/>
  <c r="N15"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67" i="72"/>
  <c r="B10" i="72"/>
  <c r="C53" i="10"/>
  <c r="B51" i="10"/>
  <c r="B13" i="72"/>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C42" i="71"/>
  <c r="Q41" i="71"/>
  <c r="F42" i="71"/>
  <c r="F43" i="71"/>
  <c r="F44" i="71"/>
  <c r="V44" i="71"/>
  <c r="P41" i="71"/>
  <c r="E42" i="71"/>
  <c r="O41"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AB27" i="71"/>
  <c r="Q27" i="71"/>
  <c r="P27" i="71"/>
  <c r="AA27" i="71"/>
  <c r="O27" i="71"/>
  <c r="Y27" i="71"/>
  <c r="Z27" i="71"/>
  <c r="N27" i="71"/>
  <c r="X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O16" i="71"/>
  <c r="N16" i="71"/>
  <c r="B18" i="71"/>
  <c r="B19" i="71"/>
  <c r="B20" i="71"/>
  <c r="S20" i="71"/>
  <c r="X17" i="71"/>
  <c r="E18" i="71"/>
  <c r="E19" i="71"/>
  <c r="E20" i="71"/>
  <c r="U20" i="71"/>
  <c r="AA17" i="71"/>
  <c r="B22" i="71"/>
  <c r="B23" i="71"/>
  <c r="B24" i="71"/>
  <c r="S24" i="71"/>
  <c r="X21" i="71"/>
  <c r="B26" i="71"/>
  <c r="B27" i="71"/>
  <c r="B28" i="71"/>
  <c r="S28" i="71"/>
  <c r="X25" i="71"/>
  <c r="E26" i="71"/>
  <c r="E27" i="71"/>
  <c r="E28" i="71"/>
  <c r="U28" i="71"/>
  <c r="AA25" i="71"/>
  <c r="N56" i="71"/>
  <c r="E22" i="71"/>
  <c r="E23" i="71"/>
  <c r="E24" i="71"/>
  <c r="U24" i="71"/>
  <c r="AA21" i="71"/>
  <c r="C18" i="71"/>
  <c r="Y17" i="71"/>
  <c r="Z17" i="71"/>
  <c r="AB17" i="71"/>
  <c r="X18" i="71"/>
  <c r="AA18" i="71"/>
  <c r="X19" i="71"/>
  <c r="AA19" i="71"/>
  <c r="X20" i="71"/>
  <c r="AA20" i="71"/>
  <c r="C22" i="71"/>
  <c r="C23" i="71"/>
  <c r="Y21" i="71"/>
  <c r="Z21" i="71"/>
  <c r="AB21" i="71"/>
  <c r="X22" i="71"/>
  <c r="AA22" i="71"/>
  <c r="X23" i="71"/>
  <c r="AA23" i="71"/>
  <c r="X24" i="71"/>
  <c r="AA24" i="71"/>
  <c r="C26" i="71"/>
  <c r="Y25" i="71"/>
  <c r="Z25" i="71"/>
  <c r="AB25" i="71"/>
  <c r="X26" i="71"/>
  <c r="AA26" i="71"/>
  <c r="F39" i="71"/>
  <c r="F40" i="71"/>
  <c r="V40" i="71"/>
  <c r="C16" i="71"/>
  <c r="Y3" i="71"/>
  <c r="Z3" i="71"/>
  <c r="Y13" i="71"/>
  <c r="Z13" i="71"/>
  <c r="Y14" i="71"/>
  <c r="Z14" i="71"/>
  <c r="Y15" i="71"/>
  <c r="Z15" i="71"/>
  <c r="Y16" i="71"/>
  <c r="Z16" i="71"/>
  <c r="B16" i="71"/>
  <c r="B15" i="71"/>
  <c r="B14" i="71"/>
  <c r="X13" i="71"/>
  <c r="X14" i="71"/>
  <c r="X15" i="71"/>
  <c r="X16" i="71"/>
  <c r="C19" i="71"/>
  <c r="D18" i="71"/>
  <c r="D22" i="71"/>
  <c r="C27" i="71"/>
  <c r="D26" i="71"/>
  <c r="C31" i="71"/>
  <c r="D30" i="71"/>
  <c r="C35" i="71"/>
  <c r="D35" i="71"/>
  <c r="D34" i="71"/>
  <c r="C39" i="71"/>
  <c r="D38" i="71"/>
  <c r="P16" i="71"/>
  <c r="E43" i="71"/>
  <c r="E44" i="71"/>
  <c r="U44" i="71"/>
  <c r="E47" i="71"/>
  <c r="E48" i="71"/>
  <c r="U48" i="71"/>
  <c r="E51" i="71"/>
  <c r="E52" i="71"/>
  <c r="U52" i="71"/>
  <c r="Q53" i="71"/>
  <c r="U56" i="71"/>
  <c r="E55" i="71"/>
  <c r="Q16"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AB13" i="71"/>
  <c r="AB14" i="71"/>
  <c r="AB15" i="71"/>
  <c r="AB16" i="71"/>
  <c r="E16" i="71"/>
  <c r="E15" i="71"/>
  <c r="E14" i="71"/>
  <c r="AA3" i="71"/>
  <c r="AA13" i="71"/>
  <c r="AA14" i="71"/>
  <c r="AA15" i="71"/>
  <c r="AA16"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c r="G84" i="34"/>
  <c r="F21" i="34"/>
  <c r="AA21" i="34"/>
  <c r="C21" i="34"/>
  <c r="Z21" i="33"/>
  <c r="Q21" i="33"/>
  <c r="D83" i="33"/>
  <c r="E83" i="33"/>
  <c r="C21" i="33"/>
  <c r="C21" i="21"/>
  <c r="Q21" i="21"/>
  <c r="Z21" i="21"/>
  <c r="H19" i="21"/>
  <c r="D83" i="21"/>
  <c r="F21" i="21"/>
  <c r="AA21" i="21"/>
  <c r="D81" i="21"/>
  <c r="G20" i="20"/>
  <c r="B86" i="43"/>
  <c r="C22" i="20"/>
  <c r="B75" i="43"/>
  <c r="B55" i="43"/>
  <c r="C25" i="40"/>
  <c r="S25" i="40"/>
  <c r="S29" i="39"/>
  <c r="S18" i="36"/>
  <c r="U18" i="36"/>
  <c r="F94" i="40"/>
  <c r="H25" i="40"/>
  <c r="G94" i="40"/>
  <c r="J25" i="40"/>
  <c r="F103" i="39"/>
  <c r="H29" i="39"/>
  <c r="G103" i="39"/>
  <c r="J29" i="39"/>
  <c r="G66" i="36"/>
  <c r="J18" i="36"/>
  <c r="F68" i="35"/>
  <c r="H18" i="35"/>
  <c r="S18" i="35"/>
  <c r="G68" i="35"/>
  <c r="J18" i="35"/>
  <c r="F77" i="37"/>
  <c r="H21" i="37"/>
  <c r="F21" i="37"/>
  <c r="H21" i="34"/>
  <c r="AB21"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J21" i="34"/>
  <c r="AC21" i="34"/>
  <c r="G83" i="33"/>
  <c r="J21" i="33"/>
  <c r="F83" i="21"/>
  <c r="H21" i="21"/>
  <c r="F38" i="69"/>
  <c r="E37" i="69"/>
  <c r="F36" i="69"/>
  <c r="F35" i="69"/>
  <c r="F21" i="69"/>
  <c r="C21" i="69"/>
  <c r="F20" i="69"/>
  <c r="E10" i="69"/>
  <c r="E9" i="69"/>
  <c r="C7" i="69"/>
  <c r="AC21" i="37"/>
  <c r="W21" i="37"/>
  <c r="AC21" i="33"/>
  <c r="W21" i="33"/>
  <c r="AB21" i="21"/>
  <c r="U21" i="21"/>
  <c r="G83" i="21"/>
  <c r="J21" i="21"/>
  <c r="C40" i="69"/>
  <c r="F38" i="68"/>
  <c r="E37" i="68"/>
  <c r="F36" i="68"/>
  <c r="F35" i="68"/>
  <c r="E10" i="68"/>
  <c r="E9" i="68"/>
  <c r="W21" i="21"/>
  <c r="AC21" i="21"/>
  <c r="Q72" i="67"/>
  <c r="Q59" i="67"/>
  <c r="Q58" i="67"/>
  <c r="Q51" i="67"/>
  <c r="J50" i="67"/>
  <c r="M47" i="67"/>
  <c r="D46" i="67"/>
  <c r="F33" i="67"/>
  <c r="F61" i="67"/>
  <c r="F23" i="67"/>
  <c r="D24" i="67"/>
  <c r="F21" i="67"/>
  <c r="F20" i="67"/>
  <c r="M19" i="67"/>
  <c r="F18" i="67"/>
  <c r="F17" i="67"/>
  <c r="F15" i="67"/>
  <c r="D22" i="67"/>
  <c r="S2" i="4"/>
  <c r="C51" i="10"/>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D66" i="43"/>
  <c r="M65" i="43"/>
  <c r="N65" i="43"/>
  <c r="K65" i="43"/>
  <c r="J65" i="43"/>
  <c r="M64" i="43"/>
  <c r="N64" i="43"/>
  <c r="K64" i="43"/>
  <c r="D64" i="43"/>
  <c r="M63" i="43"/>
  <c r="N63" i="43"/>
  <c r="K63" i="43"/>
  <c r="J63" i="43"/>
  <c r="M62" i="43"/>
  <c r="N62" i="43"/>
  <c r="K62" i="43"/>
  <c r="D62" i="43"/>
  <c r="M61" i="43"/>
  <c r="N61" i="43"/>
  <c r="K61" i="43"/>
  <c r="J61" i="43"/>
  <c r="M60" i="43"/>
  <c r="N60" i="43"/>
  <c r="K60" i="43"/>
  <c r="D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B2" i="1"/>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B13" i="1"/>
  <c r="E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AX104" i="3"/>
  <c r="AW104" i="3"/>
  <c r="AV104" i="3"/>
  <c r="AC104" i="3"/>
  <c r="H104" i="3"/>
  <c r="G104" i="3"/>
  <c r="BT103" i="3"/>
  <c r="BS103" i="3"/>
  <c r="BR103" i="3"/>
  <c r="BQ103" i="3"/>
  <c r="BP103" i="3"/>
  <c r="BO103" i="3"/>
  <c r="BN103" i="3"/>
  <c r="BM103" i="3"/>
  <c r="BK103" i="3"/>
  <c r="BJ103" i="3"/>
  <c r="BI103" i="3"/>
  <c r="BH103" i="3"/>
  <c r="BG103" i="3"/>
  <c r="BF103" i="3"/>
  <c r="BE103" i="3"/>
  <c r="BD103" i="3"/>
  <c r="BC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AX100" i="3"/>
  <c r="AW100" i="3"/>
  <c r="AV100" i="3"/>
  <c r="AC100" i="3"/>
  <c r="H100" i="3"/>
  <c r="G100" i="3"/>
  <c r="BT99" i="3"/>
  <c r="BS99" i="3"/>
  <c r="BR99" i="3"/>
  <c r="BQ99" i="3"/>
  <c r="BP99" i="3"/>
  <c r="BO99" i="3"/>
  <c r="BN99" i="3"/>
  <c r="BM99" i="3"/>
  <c r="BL99" i="3"/>
  <c r="BK99" i="3"/>
  <c r="BJ99" i="3"/>
  <c r="BI99" i="3"/>
  <c r="BH99" i="3"/>
  <c r="BG99" i="3"/>
  <c r="BF99" i="3"/>
  <c r="BE99" i="3"/>
  <c r="BD99" i="3"/>
  <c r="BC99" i="3"/>
  <c r="AX99" i="3"/>
  <c r="AW99" i="3"/>
  <c r="AV99" i="3"/>
  <c r="AC99" i="3"/>
  <c r="H99" i="3"/>
  <c r="G99" i="3"/>
  <c r="BT98" i="3"/>
  <c r="BS98" i="3"/>
  <c r="BR98" i="3"/>
  <c r="BQ98" i="3"/>
  <c r="BP98" i="3"/>
  <c r="BO98" i="3"/>
  <c r="BN98" i="3"/>
  <c r="BM98" i="3"/>
  <c r="BK98" i="3"/>
  <c r="BJ98" i="3"/>
  <c r="BI98" i="3"/>
  <c r="BH98" i="3"/>
  <c r="BG98" i="3"/>
  <c r="BF98" i="3"/>
  <c r="BE98" i="3"/>
  <c r="BD98" i="3"/>
  <c r="BC98" i="3"/>
  <c r="AX98" i="3"/>
  <c r="AW98" i="3"/>
  <c r="AV98" i="3"/>
  <c r="AC98" i="3"/>
  <c r="H98" i="3"/>
  <c r="G98" i="3"/>
  <c r="BT97" i="3"/>
  <c r="BS97" i="3"/>
  <c r="BR97" i="3"/>
  <c r="BQ97" i="3"/>
  <c r="BP97" i="3"/>
  <c r="BO97" i="3"/>
  <c r="BN97" i="3"/>
  <c r="BM97" i="3"/>
  <c r="BL97" i="3"/>
  <c r="BK97" i="3"/>
  <c r="BJ97" i="3"/>
  <c r="BI97" i="3"/>
  <c r="BH97" i="3"/>
  <c r="BG97" i="3"/>
  <c r="BF97" i="3"/>
  <c r="BE97" i="3"/>
  <c r="BD97" i="3"/>
  <c r="BC97" i="3"/>
  <c r="AX97" i="3"/>
  <c r="AW97" i="3"/>
  <c r="AV97" i="3"/>
  <c r="AC97" i="3"/>
  <c r="H97" i="3"/>
  <c r="G97" i="3"/>
  <c r="BT96" i="3"/>
  <c r="BS96" i="3"/>
  <c r="BR96" i="3"/>
  <c r="BQ96" i="3"/>
  <c r="BP96" i="3"/>
  <c r="BO96" i="3"/>
  <c r="BN96" i="3"/>
  <c r="BM96" i="3"/>
  <c r="BL96" i="3"/>
  <c r="BK96" i="3"/>
  <c r="BJ96" i="3"/>
  <c r="BI96" i="3"/>
  <c r="BH96" i="3"/>
  <c r="BG96" i="3"/>
  <c r="BF96" i="3"/>
  <c r="BE96" i="3"/>
  <c r="BD96" i="3"/>
  <c r="BC96" i="3"/>
  <c r="AX96" i="3"/>
  <c r="AW96" i="3"/>
  <c r="AV96" i="3"/>
  <c r="AC96" i="3"/>
  <c r="H96" i="3"/>
  <c r="G96" i="3"/>
  <c r="BT95" i="3"/>
  <c r="BS95" i="3"/>
  <c r="BR95" i="3"/>
  <c r="BQ95" i="3"/>
  <c r="BP95" i="3"/>
  <c r="BO95" i="3"/>
  <c r="BN95" i="3"/>
  <c r="BM95" i="3"/>
  <c r="BK95" i="3"/>
  <c r="BJ95" i="3"/>
  <c r="BI95" i="3"/>
  <c r="BH95" i="3"/>
  <c r="BG95" i="3"/>
  <c r="BF95" i="3"/>
  <c r="BE95" i="3"/>
  <c r="BD95" i="3"/>
  <c r="BC95" i="3"/>
  <c r="AX95" i="3"/>
  <c r="AW95" i="3"/>
  <c r="AV95" i="3"/>
  <c r="AC95" i="3"/>
  <c r="H95" i="3"/>
  <c r="G95" i="3"/>
  <c r="BT94" i="3"/>
  <c r="BS94" i="3"/>
  <c r="BR94" i="3"/>
  <c r="BQ94" i="3"/>
  <c r="BP94" i="3"/>
  <c r="BO94" i="3"/>
  <c r="BN94" i="3"/>
  <c r="BM94" i="3"/>
  <c r="BK94" i="3"/>
  <c r="BJ94" i="3"/>
  <c r="BI94" i="3"/>
  <c r="BH94" i="3"/>
  <c r="BG94" i="3"/>
  <c r="BF94" i="3"/>
  <c r="BE94" i="3"/>
  <c r="BD94" i="3"/>
  <c r="BC94" i="3"/>
  <c r="AX94" i="3"/>
  <c r="AW94" i="3"/>
  <c r="AV94" i="3"/>
  <c r="AC94" i="3"/>
  <c r="H94" i="3"/>
  <c r="G94" i="3"/>
  <c r="BT93" i="3"/>
  <c r="BS93" i="3"/>
  <c r="BR93" i="3"/>
  <c r="BQ93" i="3"/>
  <c r="BP93" i="3"/>
  <c r="BO93" i="3"/>
  <c r="BN93" i="3"/>
  <c r="BM93" i="3"/>
  <c r="BK93" i="3"/>
  <c r="BJ93" i="3"/>
  <c r="BI93" i="3"/>
  <c r="BH93" i="3"/>
  <c r="BG93" i="3"/>
  <c r="BF93" i="3"/>
  <c r="BE93" i="3"/>
  <c r="BD93" i="3"/>
  <c r="BC93" i="3"/>
  <c r="AX93" i="3"/>
  <c r="AW93" i="3"/>
  <c r="AV93" i="3"/>
  <c r="AC93" i="3"/>
  <c r="H93" i="3"/>
  <c r="G93" i="3"/>
  <c r="BT92" i="3"/>
  <c r="BS92" i="3"/>
  <c r="BR92" i="3"/>
  <c r="BQ92" i="3"/>
  <c r="BP92" i="3"/>
  <c r="BO92" i="3"/>
  <c r="BN92" i="3"/>
  <c r="BM92" i="3"/>
  <c r="BK92" i="3"/>
  <c r="BJ92" i="3"/>
  <c r="BI92" i="3"/>
  <c r="BH92" i="3"/>
  <c r="BG92" i="3"/>
  <c r="BF92" i="3"/>
  <c r="BE92" i="3"/>
  <c r="BD92" i="3"/>
  <c r="BC92" i="3"/>
  <c r="AX92" i="3"/>
  <c r="AW92" i="3"/>
  <c r="AV92" i="3"/>
  <c r="AC92" i="3"/>
  <c r="H92" i="3"/>
  <c r="G92" i="3"/>
  <c r="BT91" i="3"/>
  <c r="BS91" i="3"/>
  <c r="BR91" i="3"/>
  <c r="BQ91" i="3"/>
  <c r="BP91" i="3"/>
  <c r="BO91" i="3"/>
  <c r="BN91" i="3"/>
  <c r="BM91" i="3"/>
  <c r="BK91" i="3"/>
  <c r="BJ91" i="3"/>
  <c r="BI91" i="3"/>
  <c r="BH91" i="3"/>
  <c r="BG91" i="3"/>
  <c r="BF91" i="3"/>
  <c r="BE91" i="3"/>
  <c r="BD91" i="3"/>
  <c r="BC91" i="3"/>
  <c r="AX91" i="3"/>
  <c r="AW91" i="3"/>
  <c r="AV91" i="3"/>
  <c r="AC91" i="3"/>
  <c r="H91" i="3"/>
  <c r="G91" i="3"/>
  <c r="BT90" i="3"/>
  <c r="BS90" i="3"/>
  <c r="BR90" i="3"/>
  <c r="BQ90" i="3"/>
  <c r="BP90" i="3"/>
  <c r="BO90" i="3"/>
  <c r="BN90" i="3"/>
  <c r="BM90" i="3"/>
  <c r="BL90" i="3"/>
  <c r="BK90" i="3"/>
  <c r="BJ90" i="3"/>
  <c r="BI90" i="3"/>
  <c r="BH90" i="3"/>
  <c r="BG90" i="3"/>
  <c r="BF90" i="3"/>
  <c r="BE90" i="3"/>
  <c r="BD90" i="3"/>
  <c r="BC90" i="3"/>
  <c r="AX90" i="3"/>
  <c r="AW90" i="3"/>
  <c r="AV90" i="3"/>
  <c r="AC90" i="3"/>
  <c r="H90" i="3"/>
  <c r="G90" i="3"/>
  <c r="BT89" i="3"/>
  <c r="BS89" i="3"/>
  <c r="BR89" i="3"/>
  <c r="BQ89" i="3"/>
  <c r="BP89" i="3"/>
  <c r="BO89" i="3"/>
  <c r="BN89" i="3"/>
  <c r="BM89" i="3"/>
  <c r="BL89" i="3"/>
  <c r="BK89" i="3"/>
  <c r="BJ89" i="3"/>
  <c r="BI89" i="3"/>
  <c r="BH89" i="3"/>
  <c r="BG89" i="3"/>
  <c r="BF89" i="3"/>
  <c r="BE89" i="3"/>
  <c r="BD89" i="3"/>
  <c r="BC89" i="3"/>
  <c r="AX89" i="3"/>
  <c r="AW89" i="3"/>
  <c r="AV89" i="3"/>
  <c r="AC89" i="3"/>
  <c r="H89" i="3"/>
  <c r="G89" i="3"/>
  <c r="BT88" i="3"/>
  <c r="BS88" i="3"/>
  <c r="BR88" i="3"/>
  <c r="BQ88" i="3"/>
  <c r="BP88" i="3"/>
  <c r="BO88" i="3"/>
  <c r="BN88" i="3"/>
  <c r="BM88" i="3"/>
  <c r="BL88" i="3"/>
  <c r="BK88" i="3"/>
  <c r="BJ88" i="3"/>
  <c r="BI88" i="3"/>
  <c r="BH88" i="3"/>
  <c r="BG88" i="3"/>
  <c r="BF88" i="3"/>
  <c r="BE88" i="3"/>
  <c r="BD88" i="3"/>
  <c r="BC88" i="3"/>
  <c r="AX88" i="3"/>
  <c r="AW88" i="3"/>
  <c r="AV88" i="3"/>
  <c r="AC88" i="3"/>
  <c r="H88" i="3"/>
  <c r="G88" i="3"/>
  <c r="BT87" i="3"/>
  <c r="BS87" i="3"/>
  <c r="BR87" i="3"/>
  <c r="BQ87" i="3"/>
  <c r="BP87" i="3"/>
  <c r="BO87" i="3"/>
  <c r="BN87" i="3"/>
  <c r="BM87" i="3"/>
  <c r="BL87" i="3"/>
  <c r="BK87" i="3"/>
  <c r="BJ87" i="3"/>
  <c r="BI87" i="3"/>
  <c r="BH87" i="3"/>
  <c r="BG87" i="3"/>
  <c r="BF87" i="3"/>
  <c r="BE87" i="3"/>
  <c r="BD87" i="3"/>
  <c r="BC87" i="3"/>
  <c r="AX87" i="3"/>
  <c r="AW87" i="3"/>
  <c r="AV87" i="3"/>
  <c r="AC87" i="3"/>
  <c r="H87" i="3"/>
  <c r="G87" i="3"/>
  <c r="BT86" i="3"/>
  <c r="BS86" i="3"/>
  <c r="BR86" i="3"/>
  <c r="BQ86" i="3"/>
  <c r="BP86" i="3"/>
  <c r="BO86" i="3"/>
  <c r="BN86" i="3"/>
  <c r="BM86" i="3"/>
  <c r="BK86" i="3"/>
  <c r="BJ86" i="3"/>
  <c r="BI86" i="3"/>
  <c r="BH86" i="3"/>
  <c r="BG86" i="3"/>
  <c r="BF86" i="3"/>
  <c r="BE86" i="3"/>
  <c r="BD86" i="3"/>
  <c r="BC86" i="3"/>
  <c r="AX86" i="3"/>
  <c r="AW86" i="3"/>
  <c r="AV86" i="3"/>
  <c r="AC86" i="3"/>
  <c r="H86" i="3"/>
  <c r="G86" i="3"/>
  <c r="BT85" i="3"/>
  <c r="BS85" i="3"/>
  <c r="BR85" i="3"/>
  <c r="BQ85" i="3"/>
  <c r="BP85" i="3"/>
  <c r="BO85" i="3"/>
  <c r="BN85" i="3"/>
  <c r="BM85" i="3"/>
  <c r="BL85" i="3"/>
  <c r="BK85" i="3"/>
  <c r="BJ85" i="3"/>
  <c r="BI85" i="3"/>
  <c r="BH85" i="3"/>
  <c r="BG85" i="3"/>
  <c r="BF85" i="3"/>
  <c r="BE85" i="3"/>
  <c r="BD85" i="3"/>
  <c r="BC85" i="3"/>
  <c r="AX85" i="3"/>
  <c r="AW85" i="3"/>
  <c r="AV85" i="3"/>
  <c r="AC85" i="3"/>
  <c r="H85" i="3"/>
  <c r="G85" i="3"/>
  <c r="BT84" i="3"/>
  <c r="BS84" i="3"/>
  <c r="BR84" i="3"/>
  <c r="BQ84" i="3"/>
  <c r="BP84" i="3"/>
  <c r="BO84" i="3"/>
  <c r="BN84" i="3"/>
  <c r="BM84" i="3"/>
  <c r="BL84" i="3"/>
  <c r="BK84" i="3"/>
  <c r="BJ84" i="3"/>
  <c r="BI84" i="3"/>
  <c r="BH84" i="3"/>
  <c r="BG84" i="3"/>
  <c r="BF84" i="3"/>
  <c r="BE84" i="3"/>
  <c r="BD84" i="3"/>
  <c r="BC84" i="3"/>
  <c r="AX84" i="3"/>
  <c r="AW84" i="3"/>
  <c r="AV84" i="3"/>
  <c r="AC84" i="3"/>
  <c r="H84" i="3"/>
  <c r="G84" i="3"/>
  <c r="BT83" i="3"/>
  <c r="BS83" i="3"/>
  <c r="BR83" i="3"/>
  <c r="BQ83" i="3"/>
  <c r="BP83" i="3"/>
  <c r="BO83" i="3"/>
  <c r="BN83" i="3"/>
  <c r="BM83" i="3"/>
  <c r="BL83" i="3"/>
  <c r="BK83" i="3"/>
  <c r="BJ83" i="3"/>
  <c r="BI83" i="3"/>
  <c r="BH83" i="3"/>
  <c r="BG83" i="3"/>
  <c r="BF83" i="3"/>
  <c r="BE83" i="3"/>
  <c r="BD83" i="3"/>
  <c r="BC83" i="3"/>
  <c r="AX83" i="3"/>
  <c r="AW83" i="3"/>
  <c r="AV83" i="3"/>
  <c r="AC83" i="3"/>
  <c r="H83" i="3"/>
  <c r="G83" i="3"/>
  <c r="BT82" i="3"/>
  <c r="BS82" i="3"/>
  <c r="BR82" i="3"/>
  <c r="BQ82" i="3"/>
  <c r="BP82" i="3"/>
  <c r="BO82" i="3"/>
  <c r="BN82" i="3"/>
  <c r="BM82" i="3"/>
  <c r="BK82" i="3"/>
  <c r="BJ82" i="3"/>
  <c r="BI82" i="3"/>
  <c r="BH82" i="3"/>
  <c r="BG82" i="3"/>
  <c r="BF82" i="3"/>
  <c r="BE82" i="3"/>
  <c r="BD82" i="3"/>
  <c r="BC82" i="3"/>
  <c r="AX82" i="3"/>
  <c r="AW82" i="3"/>
  <c r="AV82" i="3"/>
  <c r="AC82" i="3"/>
  <c r="H82" i="3"/>
  <c r="G82" i="3"/>
  <c r="BT81" i="3"/>
  <c r="BS81" i="3"/>
  <c r="BR81" i="3"/>
  <c r="BQ81" i="3"/>
  <c r="BP81" i="3"/>
  <c r="BO81" i="3"/>
  <c r="BN81" i="3"/>
  <c r="BM81" i="3"/>
  <c r="BL81" i="3"/>
  <c r="BK81" i="3"/>
  <c r="BJ81" i="3"/>
  <c r="BI81" i="3"/>
  <c r="BH81" i="3"/>
  <c r="BG81" i="3"/>
  <c r="BF81" i="3"/>
  <c r="BE81" i="3"/>
  <c r="BD81" i="3"/>
  <c r="BC81" i="3"/>
  <c r="AX81" i="3"/>
  <c r="AW81" i="3"/>
  <c r="AV81" i="3"/>
  <c r="AC81" i="3"/>
  <c r="H81" i="3"/>
  <c r="G81" i="3"/>
  <c r="BT80" i="3"/>
  <c r="BS80" i="3"/>
  <c r="BR80" i="3"/>
  <c r="BQ80" i="3"/>
  <c r="BP80" i="3"/>
  <c r="BO80" i="3"/>
  <c r="BN80" i="3"/>
  <c r="BM80" i="3"/>
  <c r="BL80" i="3"/>
  <c r="BK80" i="3"/>
  <c r="BJ80" i="3"/>
  <c r="BI80" i="3"/>
  <c r="BH80" i="3"/>
  <c r="BG80" i="3"/>
  <c r="BF80" i="3"/>
  <c r="BE80" i="3"/>
  <c r="BD80" i="3"/>
  <c r="BC80" i="3"/>
  <c r="AX80" i="3"/>
  <c r="AW80" i="3"/>
  <c r="AV80" i="3"/>
  <c r="AC80" i="3"/>
  <c r="H80" i="3"/>
  <c r="G80" i="3"/>
  <c r="BT79" i="3"/>
  <c r="BS79" i="3"/>
  <c r="BR79" i="3"/>
  <c r="BQ79" i="3"/>
  <c r="BP79" i="3"/>
  <c r="BO79" i="3"/>
  <c r="BN79" i="3"/>
  <c r="BM79" i="3"/>
  <c r="BK79" i="3"/>
  <c r="BJ79" i="3"/>
  <c r="BI79" i="3"/>
  <c r="BH79" i="3"/>
  <c r="BG79" i="3"/>
  <c r="BF79" i="3"/>
  <c r="BE79" i="3"/>
  <c r="BD79" i="3"/>
  <c r="BC79" i="3"/>
  <c r="AX79" i="3"/>
  <c r="AW79" i="3"/>
  <c r="AV79" i="3"/>
  <c r="AC79" i="3"/>
  <c r="H79" i="3"/>
  <c r="G79" i="3"/>
  <c r="BT78" i="3"/>
  <c r="BS78" i="3"/>
  <c r="BR78" i="3"/>
  <c r="BQ78" i="3"/>
  <c r="BP78" i="3"/>
  <c r="BO78" i="3"/>
  <c r="BN78" i="3"/>
  <c r="BM78" i="3"/>
  <c r="BK78" i="3"/>
  <c r="BJ78" i="3"/>
  <c r="BI78" i="3"/>
  <c r="BH78" i="3"/>
  <c r="BG78" i="3"/>
  <c r="BF78" i="3"/>
  <c r="BE78" i="3"/>
  <c r="BD78" i="3"/>
  <c r="BC78" i="3"/>
  <c r="AX78" i="3"/>
  <c r="AW78" i="3"/>
  <c r="AV78" i="3"/>
  <c r="AC78" i="3"/>
  <c r="H78" i="3"/>
  <c r="G78" i="3"/>
  <c r="BT77" i="3"/>
  <c r="BS77" i="3"/>
  <c r="BR77" i="3"/>
  <c r="BQ77" i="3"/>
  <c r="BP77" i="3"/>
  <c r="BO77" i="3"/>
  <c r="BN77" i="3"/>
  <c r="BM77" i="3"/>
  <c r="BL77" i="3"/>
  <c r="BK77" i="3"/>
  <c r="BJ77" i="3"/>
  <c r="BI77" i="3"/>
  <c r="BH77" i="3"/>
  <c r="BG77" i="3"/>
  <c r="BF77" i="3"/>
  <c r="BE77" i="3"/>
  <c r="BD77" i="3"/>
  <c r="BC77" i="3"/>
  <c r="AX77" i="3"/>
  <c r="AW77" i="3"/>
  <c r="AV77" i="3"/>
  <c r="AC77" i="3"/>
  <c r="H77" i="3"/>
  <c r="G77" i="3"/>
  <c r="BT76" i="3"/>
  <c r="BS76" i="3"/>
  <c r="BR76" i="3"/>
  <c r="BQ76" i="3"/>
  <c r="BP76" i="3"/>
  <c r="BO76" i="3"/>
  <c r="BN76" i="3"/>
  <c r="BM76" i="3"/>
  <c r="BL76" i="3"/>
  <c r="BK76" i="3"/>
  <c r="BJ76" i="3"/>
  <c r="BI76" i="3"/>
  <c r="BH76" i="3"/>
  <c r="BG76" i="3"/>
  <c r="BF76" i="3"/>
  <c r="BE76" i="3"/>
  <c r="BD76" i="3"/>
  <c r="BC76" i="3"/>
  <c r="AX76" i="3"/>
  <c r="AW76" i="3"/>
  <c r="AV76" i="3"/>
  <c r="AC76" i="3"/>
  <c r="H76" i="3"/>
  <c r="G76" i="3"/>
  <c r="BT75" i="3"/>
  <c r="BS75" i="3"/>
  <c r="BR75" i="3"/>
  <c r="BQ75" i="3"/>
  <c r="BP75" i="3"/>
  <c r="BO75" i="3"/>
  <c r="BN75" i="3"/>
  <c r="BM75" i="3"/>
  <c r="BK75" i="3"/>
  <c r="BJ75" i="3"/>
  <c r="BI75" i="3"/>
  <c r="BH75" i="3"/>
  <c r="BG75" i="3"/>
  <c r="BF75" i="3"/>
  <c r="BE75" i="3"/>
  <c r="BD75" i="3"/>
  <c r="BC75" i="3"/>
  <c r="AX75" i="3"/>
  <c r="AW75" i="3"/>
  <c r="AV75" i="3"/>
  <c r="AC75" i="3"/>
  <c r="H75" i="3"/>
  <c r="G75" i="3"/>
  <c r="BT74" i="3"/>
  <c r="BS74" i="3"/>
  <c r="BR74" i="3"/>
  <c r="BQ74" i="3"/>
  <c r="BP74" i="3"/>
  <c r="BO74" i="3"/>
  <c r="BN74" i="3"/>
  <c r="BM74" i="3"/>
  <c r="BK74" i="3"/>
  <c r="BJ74" i="3"/>
  <c r="BI74" i="3"/>
  <c r="BH74" i="3"/>
  <c r="BG74" i="3"/>
  <c r="BF74" i="3"/>
  <c r="BE74" i="3"/>
  <c r="BD74" i="3"/>
  <c r="BC74" i="3"/>
  <c r="AX74" i="3"/>
  <c r="AW74" i="3"/>
  <c r="AV74" i="3"/>
  <c r="AC74" i="3"/>
  <c r="H74" i="3"/>
  <c r="G74" i="3"/>
  <c r="BT73" i="3"/>
  <c r="BS73" i="3"/>
  <c r="BR73" i="3"/>
  <c r="BQ73" i="3"/>
  <c r="BP73" i="3"/>
  <c r="BO73" i="3"/>
  <c r="BN73" i="3"/>
  <c r="BM73" i="3"/>
  <c r="BK73" i="3"/>
  <c r="BJ73" i="3"/>
  <c r="BI73" i="3"/>
  <c r="BH73" i="3"/>
  <c r="BG73" i="3"/>
  <c r="BF73" i="3"/>
  <c r="BE73" i="3"/>
  <c r="BD73" i="3"/>
  <c r="BC73" i="3"/>
  <c r="AX73" i="3"/>
  <c r="AW73" i="3"/>
  <c r="AV73" i="3"/>
  <c r="AC73" i="3"/>
  <c r="H73" i="3"/>
  <c r="G73" i="3"/>
  <c r="BT72" i="3"/>
  <c r="BS72" i="3"/>
  <c r="BR72" i="3"/>
  <c r="BQ72" i="3"/>
  <c r="BP72" i="3"/>
  <c r="BO72" i="3"/>
  <c r="BN72" i="3"/>
  <c r="BM72" i="3"/>
  <c r="BL72" i="3"/>
  <c r="BK72" i="3"/>
  <c r="BJ72" i="3"/>
  <c r="BI72" i="3"/>
  <c r="BH72" i="3"/>
  <c r="BG72" i="3"/>
  <c r="BF72" i="3"/>
  <c r="BE72" i="3"/>
  <c r="BD72" i="3"/>
  <c r="BC72" i="3"/>
  <c r="AX72" i="3"/>
  <c r="AW72" i="3"/>
  <c r="AV72" i="3"/>
  <c r="AC72" i="3"/>
  <c r="H72" i="3"/>
  <c r="G72" i="3"/>
  <c r="BT71" i="3"/>
  <c r="BS71" i="3"/>
  <c r="BR71" i="3"/>
  <c r="BQ71" i="3"/>
  <c r="BP71" i="3"/>
  <c r="BO71" i="3"/>
  <c r="BN71" i="3"/>
  <c r="BM71" i="3"/>
  <c r="BL71" i="3"/>
  <c r="BK71" i="3"/>
  <c r="BJ71" i="3"/>
  <c r="BI71" i="3"/>
  <c r="BH71" i="3"/>
  <c r="BG71" i="3"/>
  <c r="BF71" i="3"/>
  <c r="BE71" i="3"/>
  <c r="BD71" i="3"/>
  <c r="BC71" i="3"/>
  <c r="AX71" i="3"/>
  <c r="AW71" i="3"/>
  <c r="AV71" i="3"/>
  <c r="AC71" i="3"/>
  <c r="H71" i="3"/>
  <c r="G71" i="3"/>
  <c r="BT70" i="3"/>
  <c r="BS70" i="3"/>
  <c r="BR70" i="3"/>
  <c r="BQ70" i="3"/>
  <c r="BP70" i="3"/>
  <c r="BO70" i="3"/>
  <c r="BN70" i="3"/>
  <c r="BM70" i="3"/>
  <c r="BK70" i="3"/>
  <c r="BJ70" i="3"/>
  <c r="BI70" i="3"/>
  <c r="BH70" i="3"/>
  <c r="BG70" i="3"/>
  <c r="BF70" i="3"/>
  <c r="BE70" i="3"/>
  <c r="BD70" i="3"/>
  <c r="BC70" i="3"/>
  <c r="AX70" i="3"/>
  <c r="AW70" i="3"/>
  <c r="AV70" i="3"/>
  <c r="AC70" i="3"/>
  <c r="H70" i="3"/>
  <c r="G70" i="3"/>
  <c r="BT69" i="3"/>
  <c r="BS69" i="3"/>
  <c r="BR69" i="3"/>
  <c r="BQ69" i="3"/>
  <c r="BP69" i="3"/>
  <c r="BO69" i="3"/>
  <c r="BN69" i="3"/>
  <c r="BM69" i="3"/>
  <c r="BK69" i="3"/>
  <c r="BJ69" i="3"/>
  <c r="BI69" i="3"/>
  <c r="BH69" i="3"/>
  <c r="BG69" i="3"/>
  <c r="BF69" i="3"/>
  <c r="BE69" i="3"/>
  <c r="BD69" i="3"/>
  <c r="BC69" i="3"/>
  <c r="AX69" i="3"/>
  <c r="AW69" i="3"/>
  <c r="AV69" i="3"/>
  <c r="AC69" i="3"/>
  <c r="H69" i="3"/>
  <c r="G69" i="3"/>
  <c r="BT68" i="3"/>
  <c r="BS68" i="3"/>
  <c r="BR68" i="3"/>
  <c r="BQ68" i="3"/>
  <c r="BP68" i="3"/>
  <c r="BO68" i="3"/>
  <c r="BN68" i="3"/>
  <c r="BM68" i="3"/>
  <c r="BL68" i="3"/>
  <c r="BK68" i="3"/>
  <c r="BJ68" i="3"/>
  <c r="BI68" i="3"/>
  <c r="BH68" i="3"/>
  <c r="BG68" i="3"/>
  <c r="BF68" i="3"/>
  <c r="BE68" i="3"/>
  <c r="BD68" i="3"/>
  <c r="BC68" i="3"/>
  <c r="AX68" i="3"/>
  <c r="AW68" i="3"/>
  <c r="AV68" i="3"/>
  <c r="AC68" i="3"/>
  <c r="H68" i="3"/>
  <c r="G68" i="3"/>
  <c r="BT67" i="3"/>
  <c r="BS67" i="3"/>
  <c r="BR67" i="3"/>
  <c r="BQ67" i="3"/>
  <c r="BP67" i="3"/>
  <c r="BO67" i="3"/>
  <c r="BN67" i="3"/>
  <c r="BM67" i="3"/>
  <c r="BL67" i="3"/>
  <c r="BK67" i="3"/>
  <c r="BJ67" i="3"/>
  <c r="BI67" i="3"/>
  <c r="BH67" i="3"/>
  <c r="BG67" i="3"/>
  <c r="BF67" i="3"/>
  <c r="BE67" i="3"/>
  <c r="BD67" i="3"/>
  <c r="BC67" i="3"/>
  <c r="AX67" i="3"/>
  <c r="AW67" i="3"/>
  <c r="AV67" i="3"/>
  <c r="AC67" i="3"/>
  <c r="H67" i="3"/>
  <c r="G67" i="3"/>
  <c r="BT66" i="3"/>
  <c r="BS66" i="3"/>
  <c r="BR66" i="3"/>
  <c r="BQ66" i="3"/>
  <c r="BP66" i="3"/>
  <c r="BO66" i="3"/>
  <c r="BN66" i="3"/>
  <c r="BM66" i="3"/>
  <c r="BK66" i="3"/>
  <c r="BJ66" i="3"/>
  <c r="BI66" i="3"/>
  <c r="BH66" i="3"/>
  <c r="BG66" i="3"/>
  <c r="BF66" i="3"/>
  <c r="BE66" i="3"/>
  <c r="BD66" i="3"/>
  <c r="BC66" i="3"/>
  <c r="AX66" i="3"/>
  <c r="AW66" i="3"/>
  <c r="AV66" i="3"/>
  <c r="AC66" i="3"/>
  <c r="H66" i="3"/>
  <c r="G66" i="3"/>
  <c r="BT65" i="3"/>
  <c r="BS65" i="3"/>
  <c r="BR65" i="3"/>
  <c r="BQ65" i="3"/>
  <c r="BP65" i="3"/>
  <c r="BO65" i="3"/>
  <c r="BN65" i="3"/>
  <c r="BM65" i="3"/>
  <c r="BL65" i="3"/>
  <c r="BK65" i="3"/>
  <c r="BJ65" i="3"/>
  <c r="BI65" i="3"/>
  <c r="BH65" i="3"/>
  <c r="BG65" i="3"/>
  <c r="BF65" i="3"/>
  <c r="BE65" i="3"/>
  <c r="BD65" i="3"/>
  <c r="BC65" i="3"/>
  <c r="AX65" i="3"/>
  <c r="AW65" i="3"/>
  <c r="AV65" i="3"/>
  <c r="AC65" i="3"/>
  <c r="H65" i="3"/>
  <c r="G65" i="3"/>
  <c r="BT64" i="3"/>
  <c r="BS64" i="3"/>
  <c r="BR64" i="3"/>
  <c r="BQ64" i="3"/>
  <c r="BP64" i="3"/>
  <c r="BO64" i="3"/>
  <c r="BN64" i="3"/>
  <c r="BM64" i="3"/>
  <c r="BL64" i="3"/>
  <c r="BK64" i="3"/>
  <c r="BJ64" i="3"/>
  <c r="BI64" i="3"/>
  <c r="BH64" i="3"/>
  <c r="BG64" i="3"/>
  <c r="BF64" i="3"/>
  <c r="BE64" i="3"/>
  <c r="BD64" i="3"/>
  <c r="BC64" i="3"/>
  <c r="AX64" i="3"/>
  <c r="AW64" i="3"/>
  <c r="AV64" i="3"/>
  <c r="AC64" i="3"/>
  <c r="H64" i="3"/>
  <c r="G64" i="3"/>
  <c r="BT63" i="3"/>
  <c r="BS63" i="3"/>
  <c r="BR63" i="3"/>
  <c r="BQ63" i="3"/>
  <c r="BP63" i="3"/>
  <c r="BO63" i="3"/>
  <c r="BN63" i="3"/>
  <c r="BM63" i="3"/>
  <c r="BL63" i="3"/>
  <c r="BK63" i="3"/>
  <c r="BJ63" i="3"/>
  <c r="BI63" i="3"/>
  <c r="BH63" i="3"/>
  <c r="BG63" i="3"/>
  <c r="BF63" i="3"/>
  <c r="BE63" i="3"/>
  <c r="BD63" i="3"/>
  <c r="BC63" i="3"/>
  <c r="AX63" i="3"/>
  <c r="AW63" i="3"/>
  <c r="AV63" i="3"/>
  <c r="AC63" i="3"/>
  <c r="H63" i="3"/>
  <c r="G63" i="3"/>
  <c r="BT62" i="3"/>
  <c r="BS62" i="3"/>
  <c r="BR62" i="3"/>
  <c r="BQ62" i="3"/>
  <c r="BP62" i="3"/>
  <c r="BO62" i="3"/>
  <c r="BN62" i="3"/>
  <c r="BM62" i="3"/>
  <c r="BK62" i="3"/>
  <c r="BJ62" i="3"/>
  <c r="BI62" i="3"/>
  <c r="BH62" i="3"/>
  <c r="BG62" i="3"/>
  <c r="BF62" i="3"/>
  <c r="BE62" i="3"/>
  <c r="BD62" i="3"/>
  <c r="BC62" i="3"/>
  <c r="AX62" i="3"/>
  <c r="AW62" i="3"/>
  <c r="AV62" i="3"/>
  <c r="AC62" i="3"/>
  <c r="H62" i="3"/>
  <c r="G62" i="3"/>
  <c r="BT61" i="3"/>
  <c r="BS61" i="3"/>
  <c r="BR61" i="3"/>
  <c r="BQ61" i="3"/>
  <c r="BP61" i="3"/>
  <c r="BO61" i="3"/>
  <c r="BN61" i="3"/>
  <c r="BM61" i="3"/>
  <c r="BK61" i="3"/>
  <c r="BJ61" i="3"/>
  <c r="BI61" i="3"/>
  <c r="BH61" i="3"/>
  <c r="BG61" i="3"/>
  <c r="BF61" i="3"/>
  <c r="BE61" i="3"/>
  <c r="BD61" i="3"/>
  <c r="BC61" i="3"/>
  <c r="AX61" i="3"/>
  <c r="AW61" i="3"/>
  <c r="AV61" i="3"/>
  <c r="AC61" i="3"/>
  <c r="H61" i="3"/>
  <c r="G61" i="3"/>
  <c r="BT60" i="3"/>
  <c r="BS60" i="3"/>
  <c r="BR60" i="3"/>
  <c r="BQ60" i="3"/>
  <c r="BP60" i="3"/>
  <c r="BO60" i="3"/>
  <c r="BN60" i="3"/>
  <c r="BM60" i="3"/>
  <c r="BL60" i="3"/>
  <c r="BK60" i="3"/>
  <c r="BJ60" i="3"/>
  <c r="BI60" i="3"/>
  <c r="BH60" i="3"/>
  <c r="BG60" i="3"/>
  <c r="BF60" i="3"/>
  <c r="BE60" i="3"/>
  <c r="BD60" i="3"/>
  <c r="BC60" i="3"/>
  <c r="AX60" i="3"/>
  <c r="AW60" i="3"/>
  <c r="AV60" i="3"/>
  <c r="AC60" i="3"/>
  <c r="H60" i="3"/>
  <c r="G60" i="3"/>
  <c r="BT59" i="3"/>
  <c r="BS59" i="3"/>
  <c r="BR59" i="3"/>
  <c r="BQ59" i="3"/>
  <c r="BP59" i="3"/>
  <c r="BO59" i="3"/>
  <c r="BN59" i="3"/>
  <c r="BM59" i="3"/>
  <c r="BL59" i="3"/>
  <c r="BK59" i="3"/>
  <c r="BJ59" i="3"/>
  <c r="BI59" i="3"/>
  <c r="BH59" i="3"/>
  <c r="BG59" i="3"/>
  <c r="BF59" i="3"/>
  <c r="BE59" i="3"/>
  <c r="BD59" i="3"/>
  <c r="BC59" i="3"/>
  <c r="AX59" i="3"/>
  <c r="AW59" i="3"/>
  <c r="AV59" i="3"/>
  <c r="AC59" i="3"/>
  <c r="H59" i="3"/>
  <c r="G59" i="3"/>
  <c r="BT58" i="3"/>
  <c r="BS58" i="3"/>
  <c r="BR58" i="3"/>
  <c r="BQ58" i="3"/>
  <c r="BP58" i="3"/>
  <c r="BO58" i="3"/>
  <c r="BN58" i="3"/>
  <c r="BM58" i="3"/>
  <c r="BK58" i="3"/>
  <c r="BJ58" i="3"/>
  <c r="BI58" i="3"/>
  <c r="BH58" i="3"/>
  <c r="BG58" i="3"/>
  <c r="BF58" i="3"/>
  <c r="BE58" i="3"/>
  <c r="BD58" i="3"/>
  <c r="BC58" i="3"/>
  <c r="AX58" i="3"/>
  <c r="AW58" i="3"/>
  <c r="AV58" i="3"/>
  <c r="AC58" i="3"/>
  <c r="H58" i="3"/>
  <c r="G58" i="3"/>
  <c r="BT57" i="3"/>
  <c r="BS57" i="3"/>
  <c r="BR57" i="3"/>
  <c r="BQ57" i="3"/>
  <c r="BP57" i="3"/>
  <c r="BO57" i="3"/>
  <c r="BN57" i="3"/>
  <c r="BM57" i="3"/>
  <c r="BL57" i="3"/>
  <c r="BK57" i="3"/>
  <c r="BJ57" i="3"/>
  <c r="BI57" i="3"/>
  <c r="BH57" i="3"/>
  <c r="BG57" i="3"/>
  <c r="BF57" i="3"/>
  <c r="BE57" i="3"/>
  <c r="BD57" i="3"/>
  <c r="BC57" i="3"/>
  <c r="AX57" i="3"/>
  <c r="AW57" i="3"/>
  <c r="AV57" i="3"/>
  <c r="AC57" i="3"/>
  <c r="H57" i="3"/>
  <c r="G57" i="3"/>
  <c r="BT56" i="3"/>
  <c r="BS56" i="3"/>
  <c r="BR56" i="3"/>
  <c r="BQ56" i="3"/>
  <c r="BP56" i="3"/>
  <c r="BO56" i="3"/>
  <c r="BN56" i="3"/>
  <c r="BM56" i="3"/>
  <c r="BL56" i="3"/>
  <c r="BK56" i="3"/>
  <c r="BJ56" i="3"/>
  <c r="BI56" i="3"/>
  <c r="BH56" i="3"/>
  <c r="BG56" i="3"/>
  <c r="BF56" i="3"/>
  <c r="BE56" i="3"/>
  <c r="BD56" i="3"/>
  <c r="BC56" i="3"/>
  <c r="AX56" i="3"/>
  <c r="AW56" i="3"/>
  <c r="AV56" i="3"/>
  <c r="AC56" i="3"/>
  <c r="H56" i="3"/>
  <c r="G56" i="3"/>
  <c r="BT55" i="3"/>
  <c r="BS55" i="3"/>
  <c r="BR55" i="3"/>
  <c r="BQ55" i="3"/>
  <c r="BP55" i="3"/>
  <c r="BO55" i="3"/>
  <c r="BN55" i="3"/>
  <c r="BM55" i="3"/>
  <c r="BL55" i="3"/>
  <c r="BK55" i="3"/>
  <c r="BJ55" i="3"/>
  <c r="BI55" i="3"/>
  <c r="BH55" i="3"/>
  <c r="BG55" i="3"/>
  <c r="BF55" i="3"/>
  <c r="BE55" i="3"/>
  <c r="BD55" i="3"/>
  <c r="BC55" i="3"/>
  <c r="AX55" i="3"/>
  <c r="AW55" i="3"/>
  <c r="AV55" i="3"/>
  <c r="AC55" i="3"/>
  <c r="H55" i="3"/>
  <c r="G55" i="3"/>
  <c r="BT54" i="3"/>
  <c r="BS54" i="3"/>
  <c r="BR54" i="3"/>
  <c r="BQ54" i="3"/>
  <c r="BP54" i="3"/>
  <c r="BO54" i="3"/>
  <c r="BN54" i="3"/>
  <c r="BM54" i="3"/>
  <c r="BK54" i="3"/>
  <c r="BJ54" i="3"/>
  <c r="BI54" i="3"/>
  <c r="BH54" i="3"/>
  <c r="BG54" i="3"/>
  <c r="BF54" i="3"/>
  <c r="BE54" i="3"/>
  <c r="BD54" i="3"/>
  <c r="BC54" i="3"/>
  <c r="AX54" i="3"/>
  <c r="AW54" i="3"/>
  <c r="AV54" i="3"/>
  <c r="AC54" i="3"/>
  <c r="H54" i="3"/>
  <c r="G54" i="3"/>
  <c r="BT53" i="3"/>
  <c r="BS53" i="3"/>
  <c r="BR53" i="3"/>
  <c r="BQ53" i="3"/>
  <c r="BP53" i="3"/>
  <c r="BO53" i="3"/>
  <c r="BN53" i="3"/>
  <c r="BM53" i="3"/>
  <c r="BK53" i="3"/>
  <c r="BJ53" i="3"/>
  <c r="BI53" i="3"/>
  <c r="BH53" i="3"/>
  <c r="BG53" i="3"/>
  <c r="BF53" i="3"/>
  <c r="BE53" i="3"/>
  <c r="BD53" i="3"/>
  <c r="BC53" i="3"/>
  <c r="AX53" i="3"/>
  <c r="AW53" i="3"/>
  <c r="AV53" i="3"/>
  <c r="AC53" i="3"/>
  <c r="H53" i="3"/>
  <c r="G53" i="3"/>
  <c r="BT52" i="3"/>
  <c r="BS52" i="3"/>
  <c r="BR52" i="3"/>
  <c r="BQ52" i="3"/>
  <c r="BP52" i="3"/>
  <c r="BO52" i="3"/>
  <c r="BN52" i="3"/>
  <c r="BM52" i="3"/>
  <c r="BL52" i="3"/>
  <c r="BK52" i="3"/>
  <c r="BJ52" i="3"/>
  <c r="BI52" i="3"/>
  <c r="BH52" i="3"/>
  <c r="BG52" i="3"/>
  <c r="BF52" i="3"/>
  <c r="BE52" i="3"/>
  <c r="BD52" i="3"/>
  <c r="BC52" i="3"/>
  <c r="AX52" i="3"/>
  <c r="AW52" i="3"/>
  <c r="AV52" i="3"/>
  <c r="AC52" i="3"/>
  <c r="H52" i="3"/>
  <c r="G52" i="3"/>
  <c r="BT51" i="3"/>
  <c r="BS51" i="3"/>
  <c r="BR51" i="3"/>
  <c r="BQ51" i="3"/>
  <c r="BP51" i="3"/>
  <c r="BO51" i="3"/>
  <c r="BN51" i="3"/>
  <c r="BM51" i="3"/>
  <c r="BL51" i="3"/>
  <c r="BK51" i="3"/>
  <c r="BJ51" i="3"/>
  <c r="BI51" i="3"/>
  <c r="BH51" i="3"/>
  <c r="BG51" i="3"/>
  <c r="BF51" i="3"/>
  <c r="BE51" i="3"/>
  <c r="BD51" i="3"/>
  <c r="BC51" i="3"/>
  <c r="AX51" i="3"/>
  <c r="AW51" i="3"/>
  <c r="AV51" i="3"/>
  <c r="AC51" i="3"/>
  <c r="H51" i="3"/>
  <c r="G51" i="3"/>
  <c r="BT50" i="3"/>
  <c r="BS50" i="3"/>
  <c r="BR50" i="3"/>
  <c r="BQ50" i="3"/>
  <c r="BP50" i="3"/>
  <c r="BO50" i="3"/>
  <c r="BN50" i="3"/>
  <c r="BM50" i="3"/>
  <c r="BK50" i="3"/>
  <c r="BJ50" i="3"/>
  <c r="BI50" i="3"/>
  <c r="BH50" i="3"/>
  <c r="BG50" i="3"/>
  <c r="BF50" i="3"/>
  <c r="BE50" i="3"/>
  <c r="BD50" i="3"/>
  <c r="BC50" i="3"/>
  <c r="AX50" i="3"/>
  <c r="AW50" i="3"/>
  <c r="AV50" i="3"/>
  <c r="AC50" i="3"/>
  <c r="H50" i="3"/>
  <c r="G50" i="3"/>
  <c r="BT49" i="3"/>
  <c r="BS49" i="3"/>
  <c r="BR49" i="3"/>
  <c r="BQ49" i="3"/>
  <c r="BP49" i="3"/>
  <c r="BO49" i="3"/>
  <c r="BN49" i="3"/>
  <c r="BM49" i="3"/>
  <c r="BL49" i="3"/>
  <c r="BK49" i="3"/>
  <c r="BJ49" i="3"/>
  <c r="BI49" i="3"/>
  <c r="BH49" i="3"/>
  <c r="BG49" i="3"/>
  <c r="BF49" i="3"/>
  <c r="BE49" i="3"/>
  <c r="BD49" i="3"/>
  <c r="BC49" i="3"/>
  <c r="AX49" i="3"/>
  <c r="AW49" i="3"/>
  <c r="AV49" i="3"/>
  <c r="AC49" i="3"/>
  <c r="H49" i="3"/>
  <c r="G49" i="3"/>
  <c r="BT48" i="3"/>
  <c r="BS48" i="3"/>
  <c r="BR48" i="3"/>
  <c r="BQ48" i="3"/>
  <c r="BP48" i="3"/>
  <c r="BO48" i="3"/>
  <c r="BN48" i="3"/>
  <c r="BM48" i="3"/>
  <c r="BL48" i="3"/>
  <c r="BK48" i="3"/>
  <c r="BJ48" i="3"/>
  <c r="BI48" i="3"/>
  <c r="BH48" i="3"/>
  <c r="BG48" i="3"/>
  <c r="BF48" i="3"/>
  <c r="BE48" i="3"/>
  <c r="BD48" i="3"/>
  <c r="BC48" i="3"/>
  <c r="AX48" i="3"/>
  <c r="AW48" i="3"/>
  <c r="AV48" i="3"/>
  <c r="AC48" i="3"/>
  <c r="H48" i="3"/>
  <c r="G48" i="3"/>
  <c r="BT47" i="3"/>
  <c r="BS47" i="3"/>
  <c r="BR47" i="3"/>
  <c r="BQ47" i="3"/>
  <c r="BP47" i="3"/>
  <c r="BO47" i="3"/>
  <c r="BN47" i="3"/>
  <c r="BM47" i="3"/>
  <c r="BL47" i="3"/>
  <c r="BK47" i="3"/>
  <c r="BJ47" i="3"/>
  <c r="BI47" i="3"/>
  <c r="BH47" i="3"/>
  <c r="BG47" i="3"/>
  <c r="BF47" i="3"/>
  <c r="BE47" i="3"/>
  <c r="BD47" i="3"/>
  <c r="BC47" i="3"/>
  <c r="AX47" i="3"/>
  <c r="AW47" i="3"/>
  <c r="AV47" i="3"/>
  <c r="AC47" i="3"/>
  <c r="H47" i="3"/>
  <c r="G47" i="3"/>
  <c r="BT46" i="3"/>
  <c r="BS46" i="3"/>
  <c r="BR46" i="3"/>
  <c r="BQ46" i="3"/>
  <c r="BP46" i="3"/>
  <c r="BO46" i="3"/>
  <c r="BN46" i="3"/>
  <c r="BM46" i="3"/>
  <c r="BK46" i="3"/>
  <c r="BJ46" i="3"/>
  <c r="BI46" i="3"/>
  <c r="BH46" i="3"/>
  <c r="BG46" i="3"/>
  <c r="BF46" i="3"/>
  <c r="BE46" i="3"/>
  <c r="BD46" i="3"/>
  <c r="BC46" i="3"/>
  <c r="AX46" i="3"/>
  <c r="AW46" i="3"/>
  <c r="AV46" i="3"/>
  <c r="AC46" i="3"/>
  <c r="H46" i="3"/>
  <c r="G46" i="3"/>
  <c r="BT45" i="3"/>
  <c r="BS45" i="3"/>
  <c r="BR45" i="3"/>
  <c r="BQ45" i="3"/>
  <c r="BP45" i="3"/>
  <c r="BO45" i="3"/>
  <c r="BN45" i="3"/>
  <c r="BM45" i="3"/>
  <c r="BK45" i="3"/>
  <c r="BJ45" i="3"/>
  <c r="BI45" i="3"/>
  <c r="BH45" i="3"/>
  <c r="BG45" i="3"/>
  <c r="BF45" i="3"/>
  <c r="BE45" i="3"/>
  <c r="BD45" i="3"/>
  <c r="BC45" i="3"/>
  <c r="AX45" i="3"/>
  <c r="AW45" i="3"/>
  <c r="AV45" i="3"/>
  <c r="AC45" i="3"/>
  <c r="H45" i="3"/>
  <c r="G45" i="3"/>
  <c r="BT44" i="3"/>
  <c r="BS44" i="3"/>
  <c r="BR44" i="3"/>
  <c r="BQ44" i="3"/>
  <c r="BP44" i="3"/>
  <c r="BO44" i="3"/>
  <c r="BN44" i="3"/>
  <c r="BM44" i="3"/>
  <c r="BL44" i="3"/>
  <c r="BK44" i="3"/>
  <c r="BJ44" i="3"/>
  <c r="BI44" i="3"/>
  <c r="BH44" i="3"/>
  <c r="BG44" i="3"/>
  <c r="BF44" i="3"/>
  <c r="BE44" i="3"/>
  <c r="BD44" i="3"/>
  <c r="BC44" i="3"/>
  <c r="AX44" i="3"/>
  <c r="AW44" i="3"/>
  <c r="AV44" i="3"/>
  <c r="AC44" i="3"/>
  <c r="H44" i="3"/>
  <c r="G44" i="3"/>
  <c r="BT43" i="3"/>
  <c r="BS43" i="3"/>
  <c r="BR43" i="3"/>
  <c r="BQ43" i="3"/>
  <c r="BP43" i="3"/>
  <c r="BO43" i="3"/>
  <c r="BN43" i="3"/>
  <c r="BM43" i="3"/>
  <c r="BL43" i="3"/>
  <c r="BK43" i="3"/>
  <c r="BJ43" i="3"/>
  <c r="BI43" i="3"/>
  <c r="BH43" i="3"/>
  <c r="BG43" i="3"/>
  <c r="BF43" i="3"/>
  <c r="BE43" i="3"/>
  <c r="BD43" i="3"/>
  <c r="BC43" i="3"/>
  <c r="AX43" i="3"/>
  <c r="AW43" i="3"/>
  <c r="AV43" i="3"/>
  <c r="AC43" i="3"/>
  <c r="H43" i="3"/>
  <c r="G43" i="3"/>
  <c r="BT42" i="3"/>
  <c r="BS42" i="3"/>
  <c r="BR42" i="3"/>
  <c r="BQ42" i="3"/>
  <c r="BP42" i="3"/>
  <c r="BO42" i="3"/>
  <c r="BN42" i="3"/>
  <c r="BM42" i="3"/>
  <c r="BK42" i="3"/>
  <c r="BJ42" i="3"/>
  <c r="BI42" i="3"/>
  <c r="BH42" i="3"/>
  <c r="BG42" i="3"/>
  <c r="BF42" i="3"/>
  <c r="BE42" i="3"/>
  <c r="BD42" i="3"/>
  <c r="BC42" i="3"/>
  <c r="AX42" i="3"/>
  <c r="AW42" i="3"/>
  <c r="AV42" i="3"/>
  <c r="AC42" i="3"/>
  <c r="H42" i="3"/>
  <c r="G42" i="3"/>
  <c r="BT41" i="3"/>
  <c r="BS41" i="3"/>
  <c r="BR41" i="3"/>
  <c r="BQ41" i="3"/>
  <c r="BP41" i="3"/>
  <c r="BO41" i="3"/>
  <c r="BN41" i="3"/>
  <c r="BM41" i="3"/>
  <c r="BL41" i="3"/>
  <c r="BK41" i="3"/>
  <c r="BJ41" i="3"/>
  <c r="BI41" i="3"/>
  <c r="BH41" i="3"/>
  <c r="BG41" i="3"/>
  <c r="BF41" i="3"/>
  <c r="BE41" i="3"/>
  <c r="BD41" i="3"/>
  <c r="BC41" i="3"/>
  <c r="AX41" i="3"/>
  <c r="AW41" i="3"/>
  <c r="AV41" i="3"/>
  <c r="AC41" i="3"/>
  <c r="H41" i="3"/>
  <c r="G41" i="3"/>
  <c r="BT40" i="3"/>
  <c r="BS40" i="3"/>
  <c r="BR40" i="3"/>
  <c r="BQ40" i="3"/>
  <c r="BP40" i="3"/>
  <c r="BO40" i="3"/>
  <c r="BN40" i="3"/>
  <c r="BM40" i="3"/>
  <c r="BL40" i="3"/>
  <c r="BK40" i="3"/>
  <c r="BJ40" i="3"/>
  <c r="BI40" i="3"/>
  <c r="BH40" i="3"/>
  <c r="BG40" i="3"/>
  <c r="BF40" i="3"/>
  <c r="BE40" i="3"/>
  <c r="BD40" i="3"/>
  <c r="BC40" i="3"/>
  <c r="AX40" i="3"/>
  <c r="AW40" i="3"/>
  <c r="AV40" i="3"/>
  <c r="AC40" i="3"/>
  <c r="H40" i="3"/>
  <c r="G40" i="3"/>
  <c r="BT39" i="3"/>
  <c r="BS39" i="3"/>
  <c r="BR39" i="3"/>
  <c r="BQ39" i="3"/>
  <c r="BP39" i="3"/>
  <c r="BO39" i="3"/>
  <c r="BN39" i="3"/>
  <c r="BM39" i="3"/>
  <c r="BL39" i="3"/>
  <c r="BK39" i="3"/>
  <c r="BJ39" i="3"/>
  <c r="BI39" i="3"/>
  <c r="BH39" i="3"/>
  <c r="BG39" i="3"/>
  <c r="BF39" i="3"/>
  <c r="BE39" i="3"/>
  <c r="BD39" i="3"/>
  <c r="BC39" i="3"/>
  <c r="AX39" i="3"/>
  <c r="AW39" i="3"/>
  <c r="AV39" i="3"/>
  <c r="AC39" i="3"/>
  <c r="H39" i="3"/>
  <c r="G39" i="3"/>
  <c r="BT38" i="3"/>
  <c r="BS38" i="3"/>
  <c r="BR38" i="3"/>
  <c r="BQ38" i="3"/>
  <c r="BP38" i="3"/>
  <c r="BO38" i="3"/>
  <c r="BN38" i="3"/>
  <c r="BM38" i="3"/>
  <c r="BK38" i="3"/>
  <c r="BJ38" i="3"/>
  <c r="BI38" i="3"/>
  <c r="BH38" i="3"/>
  <c r="BG38" i="3"/>
  <c r="BF38" i="3"/>
  <c r="BE38" i="3"/>
  <c r="BD38" i="3"/>
  <c r="BC38" i="3"/>
  <c r="AX38" i="3"/>
  <c r="AW38" i="3"/>
  <c r="AV38" i="3"/>
  <c r="AC38" i="3"/>
  <c r="H38" i="3"/>
  <c r="G38" i="3"/>
  <c r="BT37" i="3"/>
  <c r="BS37" i="3"/>
  <c r="BR37" i="3"/>
  <c r="BQ37" i="3"/>
  <c r="BP37" i="3"/>
  <c r="BO37" i="3"/>
  <c r="BN37" i="3"/>
  <c r="BM37" i="3"/>
  <c r="BK37" i="3"/>
  <c r="BJ37" i="3"/>
  <c r="BI37" i="3"/>
  <c r="BH37" i="3"/>
  <c r="BG37" i="3"/>
  <c r="BF37" i="3"/>
  <c r="BE37" i="3"/>
  <c r="BD37" i="3"/>
  <c r="BC37" i="3"/>
  <c r="AX37" i="3"/>
  <c r="AW37" i="3"/>
  <c r="AV37" i="3"/>
  <c r="AC37" i="3"/>
  <c r="H37" i="3"/>
  <c r="G37" i="3"/>
  <c r="BT36" i="3"/>
  <c r="BS36" i="3"/>
  <c r="BR36" i="3"/>
  <c r="BQ36" i="3"/>
  <c r="BP36" i="3"/>
  <c r="BO36" i="3"/>
  <c r="BN36" i="3"/>
  <c r="BM36" i="3"/>
  <c r="BL36" i="3"/>
  <c r="BK36" i="3"/>
  <c r="BJ36" i="3"/>
  <c r="BI36" i="3"/>
  <c r="BH36" i="3"/>
  <c r="BG36" i="3"/>
  <c r="BF36" i="3"/>
  <c r="BE36" i="3"/>
  <c r="BD36" i="3"/>
  <c r="BC36" i="3"/>
  <c r="AX36" i="3"/>
  <c r="AW36" i="3"/>
  <c r="AV36" i="3"/>
  <c r="AC36" i="3"/>
  <c r="H36" i="3"/>
  <c r="G36" i="3"/>
  <c r="BT35" i="3"/>
  <c r="BS35" i="3"/>
  <c r="BR35" i="3"/>
  <c r="BQ35" i="3"/>
  <c r="BP35" i="3"/>
  <c r="BO35" i="3"/>
  <c r="BN35" i="3"/>
  <c r="BM35" i="3"/>
  <c r="BL35" i="3"/>
  <c r="BK35" i="3"/>
  <c r="BJ35" i="3"/>
  <c r="BI35" i="3"/>
  <c r="BH35" i="3"/>
  <c r="BG35" i="3"/>
  <c r="BF35" i="3"/>
  <c r="BE35" i="3"/>
  <c r="BD35" i="3"/>
  <c r="BC35" i="3"/>
  <c r="AX35" i="3"/>
  <c r="AW35" i="3"/>
  <c r="AV35" i="3"/>
  <c r="AC35" i="3"/>
  <c r="H35" i="3"/>
  <c r="G35" i="3"/>
  <c r="BT34" i="3"/>
  <c r="BS34" i="3"/>
  <c r="BR34" i="3"/>
  <c r="BQ34" i="3"/>
  <c r="BP34" i="3"/>
  <c r="BO34" i="3"/>
  <c r="BN34" i="3"/>
  <c r="BM34" i="3"/>
  <c r="BK34" i="3"/>
  <c r="BJ34" i="3"/>
  <c r="BI34" i="3"/>
  <c r="BH34" i="3"/>
  <c r="BG34" i="3"/>
  <c r="BF34" i="3"/>
  <c r="BE34" i="3"/>
  <c r="BD34" i="3"/>
  <c r="BC34" i="3"/>
  <c r="AX34" i="3"/>
  <c r="AW34" i="3"/>
  <c r="AV34" i="3"/>
  <c r="AC34" i="3"/>
  <c r="H34" i="3"/>
  <c r="G34" i="3"/>
  <c r="BT33" i="3"/>
  <c r="BS33" i="3"/>
  <c r="BR33" i="3"/>
  <c r="BQ33" i="3"/>
  <c r="BP33" i="3"/>
  <c r="BO33" i="3"/>
  <c r="BN33" i="3"/>
  <c r="BM33" i="3"/>
  <c r="BK33" i="3"/>
  <c r="BJ33" i="3"/>
  <c r="BI33" i="3"/>
  <c r="BH33" i="3"/>
  <c r="BG33" i="3"/>
  <c r="BF33" i="3"/>
  <c r="BE33" i="3"/>
  <c r="BD33" i="3"/>
  <c r="BC33" i="3"/>
  <c r="AX33" i="3"/>
  <c r="AW33" i="3"/>
  <c r="AV33" i="3"/>
  <c r="AC33" i="3"/>
  <c r="H33" i="3"/>
  <c r="G33" i="3"/>
  <c r="BT32" i="3"/>
  <c r="BS32" i="3"/>
  <c r="BR32" i="3"/>
  <c r="BQ32" i="3"/>
  <c r="BP32" i="3"/>
  <c r="BO32" i="3"/>
  <c r="BN32" i="3"/>
  <c r="BM32" i="3"/>
  <c r="BL32" i="3"/>
  <c r="BK32" i="3"/>
  <c r="BJ32" i="3"/>
  <c r="BI32" i="3"/>
  <c r="BH32" i="3"/>
  <c r="BG32" i="3"/>
  <c r="BF32" i="3"/>
  <c r="BE32" i="3"/>
  <c r="BD32" i="3"/>
  <c r="BC32" i="3"/>
  <c r="AX32" i="3"/>
  <c r="AW32" i="3"/>
  <c r="AV32" i="3"/>
  <c r="AC32" i="3"/>
  <c r="H32" i="3"/>
  <c r="G32" i="3"/>
  <c r="BT31" i="3"/>
  <c r="BS31" i="3"/>
  <c r="BR31" i="3"/>
  <c r="BQ31" i="3"/>
  <c r="BP31" i="3"/>
  <c r="BO31" i="3"/>
  <c r="BN31" i="3"/>
  <c r="BM31" i="3"/>
  <c r="BL31" i="3"/>
  <c r="BK31" i="3"/>
  <c r="BJ31" i="3"/>
  <c r="BI31" i="3"/>
  <c r="BH31" i="3"/>
  <c r="BG31" i="3"/>
  <c r="BF31" i="3"/>
  <c r="BE31" i="3"/>
  <c r="BD31" i="3"/>
  <c r="BC31" i="3"/>
  <c r="AX31" i="3"/>
  <c r="AW31" i="3"/>
  <c r="AV31" i="3"/>
  <c r="AC31" i="3"/>
  <c r="H31" i="3"/>
  <c r="G31" i="3"/>
  <c r="BT30" i="3"/>
  <c r="BS30" i="3"/>
  <c r="BR30" i="3"/>
  <c r="BQ30" i="3"/>
  <c r="BP30" i="3"/>
  <c r="BO30" i="3"/>
  <c r="BN30" i="3"/>
  <c r="BM30" i="3"/>
  <c r="BK30" i="3"/>
  <c r="BJ30" i="3"/>
  <c r="BI30" i="3"/>
  <c r="BH30" i="3"/>
  <c r="BG30" i="3"/>
  <c r="BF30" i="3"/>
  <c r="BE30" i="3"/>
  <c r="BD30" i="3"/>
  <c r="BC30" i="3"/>
  <c r="AX30" i="3"/>
  <c r="AW30" i="3"/>
  <c r="AV30" i="3"/>
  <c r="AC30" i="3"/>
  <c r="H30" i="3"/>
  <c r="G30" i="3"/>
  <c r="BT29" i="3"/>
  <c r="BS29" i="3"/>
  <c r="BR29" i="3"/>
  <c r="BQ29" i="3"/>
  <c r="BP29" i="3"/>
  <c r="BO29" i="3"/>
  <c r="BN29" i="3"/>
  <c r="BM29" i="3"/>
  <c r="BL29" i="3"/>
  <c r="BK29" i="3"/>
  <c r="BJ29" i="3"/>
  <c r="BI29" i="3"/>
  <c r="BH29" i="3"/>
  <c r="BG29" i="3"/>
  <c r="BF29" i="3"/>
  <c r="BE29" i="3"/>
  <c r="BD29" i="3"/>
  <c r="BC29" i="3"/>
  <c r="AX29" i="3"/>
  <c r="AW29" i="3"/>
  <c r="AV29" i="3"/>
  <c r="AC29" i="3"/>
  <c r="H29" i="3"/>
  <c r="G29" i="3"/>
  <c r="BT28" i="3"/>
  <c r="BS28" i="3"/>
  <c r="BR28" i="3"/>
  <c r="BQ28" i="3"/>
  <c r="BP28" i="3"/>
  <c r="BO28" i="3"/>
  <c r="BN28" i="3"/>
  <c r="BM28" i="3"/>
  <c r="BK28" i="3"/>
  <c r="BJ28" i="3"/>
  <c r="BI28" i="3"/>
  <c r="BH28" i="3"/>
  <c r="BG28" i="3"/>
  <c r="BF28" i="3"/>
  <c r="BE28" i="3"/>
  <c r="BD28" i="3"/>
  <c r="BC28" i="3"/>
  <c r="AX28" i="3"/>
  <c r="AW28" i="3"/>
  <c r="AV28" i="3"/>
  <c r="AC28" i="3"/>
  <c r="H28" i="3"/>
  <c r="G28" i="3"/>
  <c r="BT27" i="3"/>
  <c r="BS27" i="3"/>
  <c r="BR27" i="3"/>
  <c r="BQ27" i="3"/>
  <c r="BP27" i="3"/>
  <c r="BO27" i="3"/>
  <c r="BN27" i="3"/>
  <c r="BM27" i="3"/>
  <c r="BL27" i="3"/>
  <c r="BK27" i="3"/>
  <c r="BJ27" i="3"/>
  <c r="BI27" i="3"/>
  <c r="BH27" i="3"/>
  <c r="BG27" i="3"/>
  <c r="BF27" i="3"/>
  <c r="BE27" i="3"/>
  <c r="BD27" i="3"/>
  <c r="BC27" i="3"/>
  <c r="AX27" i="3"/>
  <c r="AW27" i="3"/>
  <c r="AV27" i="3"/>
  <c r="AC27" i="3"/>
  <c r="H27" i="3"/>
  <c r="G27" i="3"/>
  <c r="BT26" i="3"/>
  <c r="BS26" i="3"/>
  <c r="BR26" i="3"/>
  <c r="BQ26" i="3"/>
  <c r="BP26" i="3"/>
  <c r="BO26" i="3"/>
  <c r="BN26" i="3"/>
  <c r="BM26" i="3"/>
  <c r="BL26" i="3"/>
  <c r="BK26" i="3"/>
  <c r="BJ26" i="3"/>
  <c r="BI26" i="3"/>
  <c r="BH26" i="3"/>
  <c r="BG26" i="3"/>
  <c r="BF26" i="3"/>
  <c r="BE26" i="3"/>
  <c r="BD26" i="3"/>
  <c r="BC26" i="3"/>
  <c r="AX26" i="3"/>
  <c r="AW26" i="3"/>
  <c r="AV26" i="3"/>
  <c r="AC26" i="3"/>
  <c r="H26" i="3"/>
  <c r="G26" i="3"/>
  <c r="BT25" i="3"/>
  <c r="BS25" i="3"/>
  <c r="BR25" i="3"/>
  <c r="BQ25" i="3"/>
  <c r="BP25" i="3"/>
  <c r="BO25" i="3"/>
  <c r="BN25" i="3"/>
  <c r="BM25" i="3"/>
  <c r="BK25" i="3"/>
  <c r="BJ25" i="3"/>
  <c r="BI25" i="3"/>
  <c r="BH25" i="3"/>
  <c r="BG25" i="3"/>
  <c r="BF25" i="3"/>
  <c r="BE25" i="3"/>
  <c r="BD25" i="3"/>
  <c r="BC25" i="3"/>
  <c r="AX25" i="3"/>
  <c r="AW25" i="3"/>
  <c r="AV25" i="3"/>
  <c r="AC25" i="3"/>
  <c r="H25" i="3"/>
  <c r="G25" i="3"/>
  <c r="BT24" i="3"/>
  <c r="BS24" i="3"/>
  <c r="BR24" i="3"/>
  <c r="BQ24" i="3"/>
  <c r="BP24" i="3"/>
  <c r="BO24" i="3"/>
  <c r="BN24" i="3"/>
  <c r="BM24" i="3"/>
  <c r="BK24" i="3"/>
  <c r="BJ24" i="3"/>
  <c r="BI24" i="3"/>
  <c r="BH24" i="3"/>
  <c r="BG24" i="3"/>
  <c r="BF24" i="3"/>
  <c r="BE24" i="3"/>
  <c r="BD24" i="3"/>
  <c r="BC24" i="3"/>
  <c r="AX24" i="3"/>
  <c r="AW24" i="3"/>
  <c r="AV24" i="3"/>
  <c r="AC24" i="3"/>
  <c r="H24" i="3"/>
  <c r="G24" i="3"/>
  <c r="BT23" i="3"/>
  <c r="BS23" i="3"/>
  <c r="BR23" i="3"/>
  <c r="BQ23" i="3"/>
  <c r="BP23" i="3"/>
  <c r="BO23" i="3"/>
  <c r="BN23" i="3"/>
  <c r="BM23" i="3"/>
  <c r="BL23" i="3"/>
  <c r="BK23" i="3"/>
  <c r="BJ23" i="3"/>
  <c r="BI23" i="3"/>
  <c r="BH23" i="3"/>
  <c r="BG23" i="3"/>
  <c r="BF23" i="3"/>
  <c r="BE23" i="3"/>
  <c r="BD23" i="3"/>
  <c r="BC23" i="3"/>
  <c r="AX23" i="3"/>
  <c r="AW23" i="3"/>
  <c r="AV23" i="3"/>
  <c r="AC23" i="3"/>
  <c r="H23" i="3"/>
  <c r="G23" i="3"/>
  <c r="BT22" i="3"/>
  <c r="BS22" i="3"/>
  <c r="BR22" i="3"/>
  <c r="BQ22" i="3"/>
  <c r="BP22" i="3"/>
  <c r="BO22" i="3"/>
  <c r="BN22" i="3"/>
  <c r="BM22" i="3"/>
  <c r="BL22" i="3"/>
  <c r="BK22" i="3"/>
  <c r="BJ22" i="3"/>
  <c r="BI22" i="3"/>
  <c r="BH22" i="3"/>
  <c r="BG22" i="3"/>
  <c r="BF22" i="3"/>
  <c r="BE22" i="3"/>
  <c r="BD22" i="3"/>
  <c r="BC22" i="3"/>
  <c r="AX22" i="3"/>
  <c r="AW22" i="3"/>
  <c r="AV22" i="3"/>
  <c r="AC22" i="3"/>
  <c r="H22" i="3"/>
  <c r="G22" i="3"/>
  <c r="BT21" i="3"/>
  <c r="BS21" i="3"/>
  <c r="BR21" i="3"/>
  <c r="BQ21" i="3"/>
  <c r="BP21" i="3"/>
  <c r="BO21" i="3"/>
  <c r="BN21" i="3"/>
  <c r="BM21" i="3"/>
  <c r="BL21" i="3"/>
  <c r="BK21" i="3"/>
  <c r="BJ21" i="3"/>
  <c r="BI21" i="3"/>
  <c r="BH21" i="3"/>
  <c r="BG21" i="3"/>
  <c r="BF21" i="3"/>
  <c r="BE21" i="3"/>
  <c r="BD21" i="3"/>
  <c r="BC21" i="3"/>
  <c r="AX21" i="3"/>
  <c r="AW21" i="3"/>
  <c r="AV21" i="3"/>
  <c r="AC21" i="3"/>
  <c r="H21" i="3"/>
  <c r="G21" i="3"/>
  <c r="BT20" i="3"/>
  <c r="BS20" i="3"/>
  <c r="BR20" i="3"/>
  <c r="BQ20" i="3"/>
  <c r="BP20" i="3"/>
  <c r="BO20" i="3"/>
  <c r="BN20" i="3"/>
  <c r="BM20" i="3"/>
  <c r="BK20" i="3"/>
  <c r="BJ20" i="3"/>
  <c r="BI20" i="3"/>
  <c r="BH20" i="3"/>
  <c r="BG20" i="3"/>
  <c r="BF20" i="3"/>
  <c r="BE20" i="3"/>
  <c r="BD20" i="3"/>
  <c r="BC20" i="3"/>
  <c r="AX20" i="3"/>
  <c r="AW20" i="3"/>
  <c r="AV20" i="3"/>
  <c r="AC20" i="3"/>
  <c r="H20" i="3"/>
  <c r="G20" i="3"/>
  <c r="BT19" i="3"/>
  <c r="BS19" i="3"/>
  <c r="BR19" i="3"/>
  <c r="BQ19" i="3"/>
  <c r="BP19" i="3"/>
  <c r="BO19" i="3"/>
  <c r="BN19" i="3"/>
  <c r="BM19" i="3"/>
  <c r="BL19" i="3"/>
  <c r="BK19" i="3"/>
  <c r="BJ19" i="3"/>
  <c r="BI19" i="3"/>
  <c r="BH19" i="3"/>
  <c r="BG19" i="3"/>
  <c r="BF19" i="3"/>
  <c r="BE19" i="3"/>
  <c r="BD19" i="3"/>
  <c r="BC19" i="3"/>
  <c r="AX19" i="3"/>
  <c r="AW19" i="3"/>
  <c r="AV19" i="3"/>
  <c r="AC19" i="3"/>
  <c r="H19" i="3"/>
  <c r="G19" i="3"/>
  <c r="BT18" i="3"/>
  <c r="BS18" i="3"/>
  <c r="BR18" i="3"/>
  <c r="BQ18" i="3"/>
  <c r="BP18" i="3"/>
  <c r="BO18" i="3"/>
  <c r="BN18" i="3"/>
  <c r="BM18" i="3"/>
  <c r="BL18" i="3"/>
  <c r="BK18" i="3"/>
  <c r="BJ18" i="3"/>
  <c r="BI18" i="3"/>
  <c r="BH18" i="3"/>
  <c r="BG18" i="3"/>
  <c r="BF18" i="3"/>
  <c r="BE18" i="3"/>
  <c r="BD18" i="3"/>
  <c r="BC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AX201" i="3"/>
  <c r="AW201" i="3"/>
  <c r="AV201" i="3"/>
  <c r="AC201" i="3"/>
  <c r="H201" i="3"/>
  <c r="BT200" i="3"/>
  <c r="BS200" i="3"/>
  <c r="BR200" i="3"/>
  <c r="BQ200" i="3"/>
  <c r="BP200" i="3"/>
  <c r="BO200" i="3"/>
  <c r="BN200" i="3"/>
  <c r="BM200" i="3"/>
  <c r="BK200" i="3"/>
  <c r="BJ200" i="3"/>
  <c r="BI200" i="3"/>
  <c r="BH200" i="3"/>
  <c r="BG200" i="3"/>
  <c r="BF200" i="3"/>
  <c r="BE200" i="3"/>
  <c r="BD200" i="3"/>
  <c r="BC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AX197" i="3"/>
  <c r="AW197" i="3"/>
  <c r="AV197" i="3"/>
  <c r="AC197" i="3"/>
  <c r="H197" i="3"/>
  <c r="BT196" i="3"/>
  <c r="BS196" i="3"/>
  <c r="BR196" i="3"/>
  <c r="BQ196" i="3"/>
  <c r="BP196" i="3"/>
  <c r="BO196" i="3"/>
  <c r="BN196" i="3"/>
  <c r="BM196" i="3"/>
  <c r="BK196" i="3"/>
  <c r="BJ196" i="3"/>
  <c r="BI196" i="3"/>
  <c r="BH196" i="3"/>
  <c r="BG196" i="3"/>
  <c r="BF196" i="3"/>
  <c r="BE196" i="3"/>
  <c r="BD196" i="3"/>
  <c r="BC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AX193" i="3"/>
  <c r="AW193" i="3"/>
  <c r="AV193" i="3"/>
  <c r="AC193" i="3"/>
  <c r="H193" i="3"/>
  <c r="BT192" i="3"/>
  <c r="BS192" i="3"/>
  <c r="BR192" i="3"/>
  <c r="BQ192" i="3"/>
  <c r="BP192" i="3"/>
  <c r="BO192" i="3"/>
  <c r="BN192" i="3"/>
  <c r="BM192" i="3"/>
  <c r="BK192" i="3"/>
  <c r="BJ192" i="3"/>
  <c r="BI192" i="3"/>
  <c r="BH192" i="3"/>
  <c r="BG192" i="3"/>
  <c r="BF192" i="3"/>
  <c r="BE192" i="3"/>
  <c r="BD192" i="3"/>
  <c r="BC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AX189" i="3"/>
  <c r="AW189" i="3"/>
  <c r="AV189" i="3"/>
  <c r="AC189" i="3"/>
  <c r="H189" i="3"/>
  <c r="BT188" i="3"/>
  <c r="BS188" i="3"/>
  <c r="BR188" i="3"/>
  <c r="BQ188" i="3"/>
  <c r="BP188" i="3"/>
  <c r="BO188" i="3"/>
  <c r="BN188" i="3"/>
  <c r="BM188" i="3"/>
  <c r="BK188" i="3"/>
  <c r="BJ188" i="3"/>
  <c r="BI188" i="3"/>
  <c r="BH188" i="3"/>
  <c r="BG188" i="3"/>
  <c r="BF188" i="3"/>
  <c r="BE188" i="3"/>
  <c r="BD188" i="3"/>
  <c r="BC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AX185" i="3"/>
  <c r="AW185" i="3"/>
  <c r="AV185" i="3"/>
  <c r="AC185" i="3"/>
  <c r="H185" i="3"/>
  <c r="BT184" i="3"/>
  <c r="BS184" i="3"/>
  <c r="BR184" i="3"/>
  <c r="BQ184" i="3"/>
  <c r="BP184" i="3"/>
  <c r="BO184" i="3"/>
  <c r="BN184" i="3"/>
  <c r="BM184" i="3"/>
  <c r="BK184" i="3"/>
  <c r="BJ184" i="3"/>
  <c r="BI184" i="3"/>
  <c r="BH184" i="3"/>
  <c r="BG184" i="3"/>
  <c r="BF184" i="3"/>
  <c r="BE184" i="3"/>
  <c r="BD184" i="3"/>
  <c r="BC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AX182" i="3"/>
  <c r="AW182" i="3"/>
  <c r="AV182" i="3"/>
  <c r="AC182" i="3"/>
  <c r="H182" i="3"/>
  <c r="G182" i="3"/>
  <c r="BT181" i="3"/>
  <c r="BS181" i="3"/>
  <c r="BR181" i="3"/>
  <c r="BQ181" i="3"/>
  <c r="BP181" i="3"/>
  <c r="BO181" i="3"/>
  <c r="BN181" i="3"/>
  <c r="BM181" i="3"/>
  <c r="BK181" i="3"/>
  <c r="BJ181" i="3"/>
  <c r="BI181" i="3"/>
  <c r="BH181" i="3"/>
  <c r="BG181" i="3"/>
  <c r="BF181" i="3"/>
  <c r="BE181" i="3"/>
  <c r="BD181" i="3"/>
  <c r="BC181" i="3"/>
  <c r="AX181" i="3"/>
  <c r="AW181" i="3"/>
  <c r="AV181" i="3"/>
  <c r="AC181" i="3"/>
  <c r="H181" i="3"/>
  <c r="BT180" i="3"/>
  <c r="BS180" i="3"/>
  <c r="BR180" i="3"/>
  <c r="BQ180" i="3"/>
  <c r="BP180" i="3"/>
  <c r="BO180" i="3"/>
  <c r="BN180" i="3"/>
  <c r="BM180" i="3"/>
  <c r="BK180" i="3"/>
  <c r="BJ180" i="3"/>
  <c r="BI180" i="3"/>
  <c r="BH180" i="3"/>
  <c r="BG180" i="3"/>
  <c r="BF180" i="3"/>
  <c r="BE180" i="3"/>
  <c r="BD180" i="3"/>
  <c r="BC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AX177" i="3"/>
  <c r="AW177" i="3"/>
  <c r="AV177" i="3"/>
  <c r="AC177" i="3"/>
  <c r="H177" i="3"/>
  <c r="BT176" i="3"/>
  <c r="BS176" i="3"/>
  <c r="BR176" i="3"/>
  <c r="BQ176" i="3"/>
  <c r="BP176" i="3"/>
  <c r="BO176" i="3"/>
  <c r="BN176" i="3"/>
  <c r="BM176" i="3"/>
  <c r="BK176" i="3"/>
  <c r="BJ176" i="3"/>
  <c r="BI176" i="3"/>
  <c r="BH176" i="3"/>
  <c r="BG176" i="3"/>
  <c r="BF176" i="3"/>
  <c r="BE176" i="3"/>
  <c r="BD176" i="3"/>
  <c r="BC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AX173" i="3"/>
  <c r="AW173" i="3"/>
  <c r="AV173" i="3"/>
  <c r="AC173" i="3"/>
  <c r="H173" i="3"/>
  <c r="BT172" i="3"/>
  <c r="BS172" i="3"/>
  <c r="BR172" i="3"/>
  <c r="BQ172" i="3"/>
  <c r="BP172" i="3"/>
  <c r="BO172" i="3"/>
  <c r="BN172" i="3"/>
  <c r="BM172" i="3"/>
  <c r="BK172" i="3"/>
  <c r="BJ172" i="3"/>
  <c r="BI172" i="3"/>
  <c r="BH172" i="3"/>
  <c r="BG172" i="3"/>
  <c r="BF172" i="3"/>
  <c r="BE172" i="3"/>
  <c r="BD172" i="3"/>
  <c r="BC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AX169" i="3"/>
  <c r="AW169" i="3"/>
  <c r="AV169" i="3"/>
  <c r="AC169" i="3"/>
  <c r="H169" i="3"/>
  <c r="BT168" i="3"/>
  <c r="BS168" i="3"/>
  <c r="BR168" i="3"/>
  <c r="BQ168" i="3"/>
  <c r="BP168" i="3"/>
  <c r="BO168" i="3"/>
  <c r="BN168" i="3"/>
  <c r="BM168" i="3"/>
  <c r="BK168" i="3"/>
  <c r="BJ168" i="3"/>
  <c r="BI168" i="3"/>
  <c r="BH168" i="3"/>
  <c r="BG168" i="3"/>
  <c r="BF168" i="3"/>
  <c r="BE168" i="3"/>
  <c r="BD168" i="3"/>
  <c r="BC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AX165" i="3"/>
  <c r="AW165" i="3"/>
  <c r="AV165" i="3"/>
  <c r="AC165" i="3"/>
  <c r="H165" i="3"/>
  <c r="BT164" i="3"/>
  <c r="BS164" i="3"/>
  <c r="BR164" i="3"/>
  <c r="BQ164" i="3"/>
  <c r="BP164" i="3"/>
  <c r="BO164" i="3"/>
  <c r="BN164" i="3"/>
  <c r="BM164" i="3"/>
  <c r="BK164" i="3"/>
  <c r="BJ164" i="3"/>
  <c r="BI164" i="3"/>
  <c r="BH164" i="3"/>
  <c r="BG164" i="3"/>
  <c r="BF164" i="3"/>
  <c r="BE164" i="3"/>
  <c r="BD164" i="3"/>
  <c r="BC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AX161" i="3"/>
  <c r="AW161" i="3"/>
  <c r="AV161" i="3"/>
  <c r="AC161" i="3"/>
  <c r="H161" i="3"/>
  <c r="BT160" i="3"/>
  <c r="BS160" i="3"/>
  <c r="BR160" i="3"/>
  <c r="BQ160" i="3"/>
  <c r="BP160" i="3"/>
  <c r="BO160" i="3"/>
  <c r="BN160" i="3"/>
  <c r="BM160" i="3"/>
  <c r="BK160" i="3"/>
  <c r="BJ160" i="3"/>
  <c r="BI160" i="3"/>
  <c r="BH160" i="3"/>
  <c r="BG160" i="3"/>
  <c r="BF160" i="3"/>
  <c r="BE160" i="3"/>
  <c r="BD160" i="3"/>
  <c r="BC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AX157" i="3"/>
  <c r="AW157" i="3"/>
  <c r="AV157" i="3"/>
  <c r="AC157" i="3"/>
  <c r="H157" i="3"/>
  <c r="BT156" i="3"/>
  <c r="BS156" i="3"/>
  <c r="BR156" i="3"/>
  <c r="BQ156" i="3"/>
  <c r="BP156" i="3"/>
  <c r="BO156" i="3"/>
  <c r="BN156" i="3"/>
  <c r="BM156" i="3"/>
  <c r="BK156" i="3"/>
  <c r="BJ156" i="3"/>
  <c r="BI156" i="3"/>
  <c r="BH156" i="3"/>
  <c r="BG156" i="3"/>
  <c r="BF156" i="3"/>
  <c r="BE156" i="3"/>
  <c r="BD156" i="3"/>
  <c r="BC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AX153" i="3"/>
  <c r="AW153" i="3"/>
  <c r="AV153" i="3"/>
  <c r="AC153" i="3"/>
  <c r="H153" i="3"/>
  <c r="BT152" i="3"/>
  <c r="BS152" i="3"/>
  <c r="BR152" i="3"/>
  <c r="BQ152" i="3"/>
  <c r="BP152" i="3"/>
  <c r="BO152" i="3"/>
  <c r="BN152" i="3"/>
  <c r="BM152" i="3"/>
  <c r="BK152" i="3"/>
  <c r="BJ152" i="3"/>
  <c r="BI152" i="3"/>
  <c r="BH152" i="3"/>
  <c r="BG152" i="3"/>
  <c r="BF152" i="3"/>
  <c r="BE152" i="3"/>
  <c r="BD152" i="3"/>
  <c r="BC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AX149" i="3"/>
  <c r="AW149" i="3"/>
  <c r="AV149" i="3"/>
  <c r="AC149" i="3"/>
  <c r="H149" i="3"/>
  <c r="BT148" i="3"/>
  <c r="BS148" i="3"/>
  <c r="BR148" i="3"/>
  <c r="BQ148" i="3"/>
  <c r="BP148" i="3"/>
  <c r="BO148" i="3"/>
  <c r="BN148" i="3"/>
  <c r="BM148" i="3"/>
  <c r="BK148" i="3"/>
  <c r="BJ148" i="3"/>
  <c r="BI148" i="3"/>
  <c r="BH148" i="3"/>
  <c r="BG148" i="3"/>
  <c r="BF148" i="3"/>
  <c r="BE148" i="3"/>
  <c r="BD148" i="3"/>
  <c r="BC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AX145" i="3"/>
  <c r="AW145" i="3"/>
  <c r="AV145" i="3"/>
  <c r="AC145" i="3"/>
  <c r="H145" i="3"/>
  <c r="BT144" i="3"/>
  <c r="BS144" i="3"/>
  <c r="BR144" i="3"/>
  <c r="BQ144" i="3"/>
  <c r="BP144" i="3"/>
  <c r="BO144" i="3"/>
  <c r="BN144" i="3"/>
  <c r="BM144" i="3"/>
  <c r="BK144" i="3"/>
  <c r="BJ144" i="3"/>
  <c r="BI144" i="3"/>
  <c r="BH144" i="3"/>
  <c r="BG144" i="3"/>
  <c r="BF144" i="3"/>
  <c r="BE144" i="3"/>
  <c r="BD144" i="3"/>
  <c r="BC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AX141" i="3"/>
  <c r="AW141" i="3"/>
  <c r="AV141" i="3"/>
  <c r="AC141" i="3"/>
  <c r="H141" i="3"/>
  <c r="BT140" i="3"/>
  <c r="BS140" i="3"/>
  <c r="BR140" i="3"/>
  <c r="BQ140" i="3"/>
  <c r="BP140" i="3"/>
  <c r="BO140" i="3"/>
  <c r="BN140" i="3"/>
  <c r="BM140" i="3"/>
  <c r="BK140" i="3"/>
  <c r="BJ140" i="3"/>
  <c r="BI140" i="3"/>
  <c r="BH140" i="3"/>
  <c r="BG140" i="3"/>
  <c r="BF140" i="3"/>
  <c r="BE140" i="3"/>
  <c r="BD140" i="3"/>
  <c r="BC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AX137" i="3"/>
  <c r="AW137" i="3"/>
  <c r="AV137" i="3"/>
  <c r="AC137" i="3"/>
  <c r="H137" i="3"/>
  <c r="BT136" i="3"/>
  <c r="BS136" i="3"/>
  <c r="BR136" i="3"/>
  <c r="BQ136" i="3"/>
  <c r="BP136" i="3"/>
  <c r="BO136" i="3"/>
  <c r="BN136" i="3"/>
  <c r="BM136" i="3"/>
  <c r="BK136" i="3"/>
  <c r="BJ136" i="3"/>
  <c r="BI136" i="3"/>
  <c r="BH136" i="3"/>
  <c r="BG136" i="3"/>
  <c r="BF136" i="3"/>
  <c r="BE136" i="3"/>
  <c r="BD136" i="3"/>
  <c r="BC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AX133" i="3"/>
  <c r="AW133" i="3"/>
  <c r="AV133" i="3"/>
  <c r="AC133" i="3"/>
  <c r="H133" i="3"/>
  <c r="BT132" i="3"/>
  <c r="BS132" i="3"/>
  <c r="BR132" i="3"/>
  <c r="BQ132" i="3"/>
  <c r="BP132" i="3"/>
  <c r="BO132" i="3"/>
  <c r="BN132" i="3"/>
  <c r="BM132" i="3"/>
  <c r="BK132" i="3"/>
  <c r="BJ132" i="3"/>
  <c r="BI132" i="3"/>
  <c r="BH132" i="3"/>
  <c r="BG132" i="3"/>
  <c r="BF132" i="3"/>
  <c r="BE132" i="3"/>
  <c r="BD132" i="3"/>
  <c r="BC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AX129" i="3"/>
  <c r="AW129" i="3"/>
  <c r="AV129" i="3"/>
  <c r="AC129" i="3"/>
  <c r="H129" i="3"/>
  <c r="BT128" i="3"/>
  <c r="BS128" i="3"/>
  <c r="BR128" i="3"/>
  <c r="BQ128" i="3"/>
  <c r="BP128" i="3"/>
  <c r="BO128" i="3"/>
  <c r="BN128" i="3"/>
  <c r="BM128" i="3"/>
  <c r="BK128" i="3"/>
  <c r="BJ128" i="3"/>
  <c r="BI128" i="3"/>
  <c r="BH128" i="3"/>
  <c r="BG128" i="3"/>
  <c r="BF128" i="3"/>
  <c r="BE128" i="3"/>
  <c r="BD128" i="3"/>
  <c r="BC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AX125" i="3"/>
  <c r="AW125" i="3"/>
  <c r="AV125" i="3"/>
  <c r="AC125" i="3"/>
  <c r="H125" i="3"/>
  <c r="BT124" i="3"/>
  <c r="BS124" i="3"/>
  <c r="BR124" i="3"/>
  <c r="BQ124" i="3"/>
  <c r="BP124" i="3"/>
  <c r="BO124" i="3"/>
  <c r="BN124" i="3"/>
  <c r="BM124" i="3"/>
  <c r="BK124" i="3"/>
  <c r="BJ124" i="3"/>
  <c r="BI124" i="3"/>
  <c r="BH124" i="3"/>
  <c r="BG124" i="3"/>
  <c r="BF124" i="3"/>
  <c r="BE124" i="3"/>
  <c r="BD124" i="3"/>
  <c r="BC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AX121" i="3"/>
  <c r="AW121" i="3"/>
  <c r="AV121" i="3"/>
  <c r="AC121" i="3"/>
  <c r="H121" i="3"/>
  <c r="BT120" i="3"/>
  <c r="BS120" i="3"/>
  <c r="BR120" i="3"/>
  <c r="BQ120" i="3"/>
  <c r="BP120" i="3"/>
  <c r="BO120" i="3"/>
  <c r="BN120" i="3"/>
  <c r="BM120" i="3"/>
  <c r="BK120" i="3"/>
  <c r="BJ120" i="3"/>
  <c r="BI120" i="3"/>
  <c r="BH120" i="3"/>
  <c r="BG120" i="3"/>
  <c r="BF120" i="3"/>
  <c r="BE120" i="3"/>
  <c r="BD120" i="3"/>
  <c r="BC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AX117" i="3"/>
  <c r="AW117" i="3"/>
  <c r="AV117" i="3"/>
  <c r="AC117" i="3"/>
  <c r="H117" i="3"/>
  <c r="BT116" i="3"/>
  <c r="BS116" i="3"/>
  <c r="BR116" i="3"/>
  <c r="BQ116" i="3"/>
  <c r="BP116" i="3"/>
  <c r="BO116" i="3"/>
  <c r="BN116" i="3"/>
  <c r="BM116" i="3"/>
  <c r="BK116" i="3"/>
  <c r="BJ116" i="3"/>
  <c r="BI116" i="3"/>
  <c r="BH116" i="3"/>
  <c r="BG116" i="3"/>
  <c r="BF116" i="3"/>
  <c r="BE116" i="3"/>
  <c r="BD116" i="3"/>
  <c r="BC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AX225" i="3"/>
  <c r="AW225" i="3"/>
  <c r="AV225" i="3"/>
  <c r="AC225" i="3"/>
  <c r="H225" i="3"/>
  <c r="G225" i="3"/>
  <c r="BT224" i="3"/>
  <c r="BS224" i="3"/>
  <c r="BR224" i="3"/>
  <c r="BQ224" i="3"/>
  <c r="BP224" i="3"/>
  <c r="BO224" i="3"/>
  <c r="BN224" i="3"/>
  <c r="BM224" i="3"/>
  <c r="BK224" i="3"/>
  <c r="BJ224" i="3"/>
  <c r="BI224" i="3"/>
  <c r="BH224" i="3"/>
  <c r="BG224" i="3"/>
  <c r="BF224" i="3"/>
  <c r="BE224" i="3"/>
  <c r="BD224" i="3"/>
  <c r="BC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AX223" i="3"/>
  <c r="AW223" i="3"/>
  <c r="AV223" i="3"/>
  <c r="AC223" i="3"/>
  <c r="H223" i="3"/>
  <c r="G223" i="3"/>
  <c r="BT222" i="3"/>
  <c r="BS222" i="3"/>
  <c r="BR222" i="3"/>
  <c r="BQ222" i="3"/>
  <c r="BP222" i="3"/>
  <c r="BO222" i="3"/>
  <c r="BN222" i="3"/>
  <c r="BM222" i="3"/>
  <c r="BK222" i="3"/>
  <c r="BJ222" i="3"/>
  <c r="BI222" i="3"/>
  <c r="BH222" i="3"/>
  <c r="BG222" i="3"/>
  <c r="BF222" i="3"/>
  <c r="BE222" i="3"/>
  <c r="BD222" i="3"/>
  <c r="BC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AX357" i="3"/>
  <c r="AW357" i="3"/>
  <c r="AV357" i="3"/>
  <c r="AC357" i="3"/>
  <c r="H357" i="3"/>
  <c r="BT356" i="3"/>
  <c r="BS356" i="3"/>
  <c r="BR356" i="3"/>
  <c r="BQ356" i="3"/>
  <c r="BP356" i="3"/>
  <c r="BO356" i="3"/>
  <c r="BN356" i="3"/>
  <c r="BM356" i="3"/>
  <c r="BK356" i="3"/>
  <c r="BJ356" i="3"/>
  <c r="BI356" i="3"/>
  <c r="BH356" i="3"/>
  <c r="BG356" i="3"/>
  <c r="BF356" i="3"/>
  <c r="BE356" i="3"/>
  <c r="BD356" i="3"/>
  <c r="BC356" i="3"/>
  <c r="AX356" i="3"/>
  <c r="AW356" i="3"/>
  <c r="AV356" i="3"/>
  <c r="AC356" i="3"/>
  <c r="H356" i="3"/>
  <c r="BT355" i="3"/>
  <c r="BS355" i="3"/>
  <c r="BR355" i="3"/>
  <c r="BQ355" i="3"/>
  <c r="BP355" i="3"/>
  <c r="BO355" i="3"/>
  <c r="BN355" i="3"/>
  <c r="BM355" i="3"/>
  <c r="BK355" i="3"/>
  <c r="BJ355" i="3"/>
  <c r="BI355" i="3"/>
  <c r="BH355" i="3"/>
  <c r="BG355" i="3"/>
  <c r="BF355" i="3"/>
  <c r="BE355" i="3"/>
  <c r="BD355" i="3"/>
  <c r="BC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AX353" i="3"/>
  <c r="AW353" i="3"/>
  <c r="AV353" i="3"/>
  <c r="AC353" i="3"/>
  <c r="H353" i="3"/>
  <c r="BT352" i="3"/>
  <c r="BS352" i="3"/>
  <c r="BR352" i="3"/>
  <c r="BQ352" i="3"/>
  <c r="BP352" i="3"/>
  <c r="BO352" i="3"/>
  <c r="BN352" i="3"/>
  <c r="BM352" i="3"/>
  <c r="BK352" i="3"/>
  <c r="BJ352" i="3"/>
  <c r="BI352" i="3"/>
  <c r="BH352" i="3"/>
  <c r="BG352" i="3"/>
  <c r="BF352" i="3"/>
  <c r="BE352" i="3"/>
  <c r="BD352" i="3"/>
  <c r="BC352" i="3"/>
  <c r="AX352" i="3"/>
  <c r="AW352" i="3"/>
  <c r="AV352" i="3"/>
  <c r="AC352" i="3"/>
  <c r="H352" i="3"/>
  <c r="BT351" i="3"/>
  <c r="BS351" i="3"/>
  <c r="BR351" i="3"/>
  <c r="BQ351" i="3"/>
  <c r="BP351" i="3"/>
  <c r="BO351" i="3"/>
  <c r="BN351" i="3"/>
  <c r="BM351" i="3"/>
  <c r="BK351" i="3"/>
  <c r="BJ351" i="3"/>
  <c r="BI351" i="3"/>
  <c r="BH351" i="3"/>
  <c r="BG351" i="3"/>
  <c r="BF351" i="3"/>
  <c r="BE351" i="3"/>
  <c r="BD351" i="3"/>
  <c r="BC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AX350" i="3"/>
  <c r="AW350" i="3"/>
  <c r="AV350" i="3"/>
  <c r="AC350" i="3"/>
  <c r="H350" i="3"/>
  <c r="BT349" i="3"/>
  <c r="BS349" i="3"/>
  <c r="BR349" i="3"/>
  <c r="BQ349" i="3"/>
  <c r="BP349" i="3"/>
  <c r="BO349" i="3"/>
  <c r="BN349" i="3"/>
  <c r="BM349" i="3"/>
  <c r="BK349" i="3"/>
  <c r="BJ349" i="3"/>
  <c r="BI349" i="3"/>
  <c r="BH349" i="3"/>
  <c r="BG349" i="3"/>
  <c r="BF349" i="3"/>
  <c r="BE349" i="3"/>
  <c r="BD349" i="3"/>
  <c r="BC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AX348" i="3"/>
  <c r="AW348" i="3"/>
  <c r="AV348" i="3"/>
  <c r="AC348" i="3"/>
  <c r="H348" i="3"/>
  <c r="BT347" i="3"/>
  <c r="BS347" i="3"/>
  <c r="BR347" i="3"/>
  <c r="BQ347" i="3"/>
  <c r="BP347" i="3"/>
  <c r="BO347" i="3"/>
  <c r="BN347" i="3"/>
  <c r="BM347" i="3"/>
  <c r="BK347" i="3"/>
  <c r="BJ347" i="3"/>
  <c r="BI347" i="3"/>
  <c r="BH347" i="3"/>
  <c r="BG347" i="3"/>
  <c r="BF347" i="3"/>
  <c r="BE347" i="3"/>
  <c r="BD347" i="3"/>
  <c r="BC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AX346" i="3"/>
  <c r="AW346" i="3"/>
  <c r="AV346" i="3"/>
  <c r="AC346" i="3"/>
  <c r="H346" i="3"/>
  <c r="BT345" i="3"/>
  <c r="BS345" i="3"/>
  <c r="BR345" i="3"/>
  <c r="BQ345" i="3"/>
  <c r="BP345" i="3"/>
  <c r="BO345" i="3"/>
  <c r="BN345" i="3"/>
  <c r="BM345" i="3"/>
  <c r="BK345" i="3"/>
  <c r="BJ345" i="3"/>
  <c r="BI345" i="3"/>
  <c r="BH345" i="3"/>
  <c r="BG345" i="3"/>
  <c r="BF345" i="3"/>
  <c r="BE345" i="3"/>
  <c r="BD345" i="3"/>
  <c r="BC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AX344" i="3"/>
  <c r="AW344" i="3"/>
  <c r="AV344" i="3"/>
  <c r="AC344" i="3"/>
  <c r="H344" i="3"/>
  <c r="BT343" i="3"/>
  <c r="BS343" i="3"/>
  <c r="BR343" i="3"/>
  <c r="BQ343" i="3"/>
  <c r="BP343" i="3"/>
  <c r="BO343" i="3"/>
  <c r="BN343" i="3"/>
  <c r="BM343" i="3"/>
  <c r="BK343" i="3"/>
  <c r="BJ343" i="3"/>
  <c r="BI343" i="3"/>
  <c r="BH343" i="3"/>
  <c r="BG343" i="3"/>
  <c r="BF343" i="3"/>
  <c r="BE343" i="3"/>
  <c r="BD343" i="3"/>
  <c r="BC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AX342" i="3"/>
  <c r="AW342" i="3"/>
  <c r="AV342" i="3"/>
  <c r="AC342" i="3"/>
  <c r="H342" i="3"/>
  <c r="BT341" i="3"/>
  <c r="BS341" i="3"/>
  <c r="BR341" i="3"/>
  <c r="BQ341" i="3"/>
  <c r="BP341" i="3"/>
  <c r="BO341" i="3"/>
  <c r="BN341" i="3"/>
  <c r="BM341" i="3"/>
  <c r="BK341" i="3"/>
  <c r="BJ341" i="3"/>
  <c r="BI341" i="3"/>
  <c r="BH341" i="3"/>
  <c r="BG341" i="3"/>
  <c r="BF341" i="3"/>
  <c r="BE341" i="3"/>
  <c r="BD341" i="3"/>
  <c r="BC341" i="3"/>
  <c r="AX341" i="3"/>
  <c r="AW341" i="3"/>
  <c r="AV341" i="3"/>
  <c r="AC341" i="3"/>
  <c r="H341" i="3"/>
  <c r="BT340" i="3"/>
  <c r="BS340" i="3"/>
  <c r="BR340" i="3"/>
  <c r="BQ340" i="3"/>
  <c r="BP340" i="3"/>
  <c r="BO340" i="3"/>
  <c r="BN340" i="3"/>
  <c r="BM340" i="3"/>
  <c r="BK340" i="3"/>
  <c r="BJ340" i="3"/>
  <c r="BI340" i="3"/>
  <c r="BH340" i="3"/>
  <c r="BG340" i="3"/>
  <c r="BF340" i="3"/>
  <c r="BE340" i="3"/>
  <c r="BD340" i="3"/>
  <c r="BC340" i="3"/>
  <c r="AX340" i="3"/>
  <c r="AW340" i="3"/>
  <c r="AV340" i="3"/>
  <c r="AC340" i="3"/>
  <c r="H340" i="3"/>
  <c r="BT339" i="3"/>
  <c r="BS339" i="3"/>
  <c r="BR339" i="3"/>
  <c r="BQ339" i="3"/>
  <c r="BP339" i="3"/>
  <c r="BO339" i="3"/>
  <c r="BN339" i="3"/>
  <c r="BM339" i="3"/>
  <c r="BK339" i="3"/>
  <c r="BJ339" i="3"/>
  <c r="BI339" i="3"/>
  <c r="BH339" i="3"/>
  <c r="BG339" i="3"/>
  <c r="BF339" i="3"/>
  <c r="BE339" i="3"/>
  <c r="BD339" i="3"/>
  <c r="BC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AX338" i="3"/>
  <c r="AW338" i="3"/>
  <c r="AV338" i="3"/>
  <c r="AC338" i="3"/>
  <c r="H338" i="3"/>
  <c r="BT337" i="3"/>
  <c r="BS337" i="3"/>
  <c r="BR337" i="3"/>
  <c r="BQ337" i="3"/>
  <c r="BP337" i="3"/>
  <c r="BO337" i="3"/>
  <c r="BN337" i="3"/>
  <c r="BM337" i="3"/>
  <c r="BK337" i="3"/>
  <c r="BJ337" i="3"/>
  <c r="BI337" i="3"/>
  <c r="BH337" i="3"/>
  <c r="BG337" i="3"/>
  <c r="BF337" i="3"/>
  <c r="BE337" i="3"/>
  <c r="BD337" i="3"/>
  <c r="BC337" i="3"/>
  <c r="AX337" i="3"/>
  <c r="AW337" i="3"/>
  <c r="AV337" i="3"/>
  <c r="AC337" i="3"/>
  <c r="H337" i="3"/>
  <c r="BT336" i="3"/>
  <c r="BS336" i="3"/>
  <c r="BR336" i="3"/>
  <c r="BQ336" i="3"/>
  <c r="BP336" i="3"/>
  <c r="BO336" i="3"/>
  <c r="BN336" i="3"/>
  <c r="BM336" i="3"/>
  <c r="BK336" i="3"/>
  <c r="BJ336" i="3"/>
  <c r="BI336" i="3"/>
  <c r="BH336" i="3"/>
  <c r="BG336" i="3"/>
  <c r="BF336" i="3"/>
  <c r="BE336" i="3"/>
  <c r="BD336" i="3"/>
  <c r="BC336" i="3"/>
  <c r="AX336" i="3"/>
  <c r="AW336" i="3"/>
  <c r="AV336" i="3"/>
  <c r="AC336" i="3"/>
  <c r="H336" i="3"/>
  <c r="BT335" i="3"/>
  <c r="BS335" i="3"/>
  <c r="BR335" i="3"/>
  <c r="BQ335" i="3"/>
  <c r="BP335" i="3"/>
  <c r="BO335" i="3"/>
  <c r="BN335" i="3"/>
  <c r="BM335" i="3"/>
  <c r="BK335" i="3"/>
  <c r="BJ335" i="3"/>
  <c r="BI335" i="3"/>
  <c r="BH335" i="3"/>
  <c r="BG335" i="3"/>
  <c r="BF335" i="3"/>
  <c r="BE335" i="3"/>
  <c r="BD335" i="3"/>
  <c r="BC335" i="3"/>
  <c r="AX335" i="3"/>
  <c r="AW335" i="3"/>
  <c r="AV335" i="3"/>
  <c r="AC335" i="3"/>
  <c r="H335" i="3"/>
  <c r="BT334" i="3"/>
  <c r="BS334" i="3"/>
  <c r="BR334" i="3"/>
  <c r="BQ334" i="3"/>
  <c r="BP334" i="3"/>
  <c r="BO334" i="3"/>
  <c r="BN334" i="3"/>
  <c r="BM334" i="3"/>
  <c r="BK334" i="3"/>
  <c r="BJ334" i="3"/>
  <c r="BI334" i="3"/>
  <c r="BH334" i="3"/>
  <c r="BG334" i="3"/>
  <c r="BF334" i="3"/>
  <c r="BE334" i="3"/>
  <c r="BD334" i="3"/>
  <c r="BC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AX333" i="3"/>
  <c r="AW333" i="3"/>
  <c r="AV333" i="3"/>
  <c r="AC333" i="3"/>
  <c r="H333" i="3"/>
  <c r="BT332" i="3"/>
  <c r="BS332" i="3"/>
  <c r="BR332" i="3"/>
  <c r="BQ332" i="3"/>
  <c r="BP332" i="3"/>
  <c r="BO332" i="3"/>
  <c r="BN332" i="3"/>
  <c r="BM332" i="3"/>
  <c r="BK332" i="3"/>
  <c r="BJ332" i="3"/>
  <c r="BI332" i="3"/>
  <c r="BH332" i="3"/>
  <c r="BG332" i="3"/>
  <c r="BF332" i="3"/>
  <c r="BE332" i="3"/>
  <c r="BD332" i="3"/>
  <c r="BC332" i="3"/>
  <c r="AX332" i="3"/>
  <c r="AW332" i="3"/>
  <c r="AV332" i="3"/>
  <c r="AC332" i="3"/>
  <c r="H332" i="3"/>
  <c r="BT331" i="3"/>
  <c r="BS331" i="3"/>
  <c r="BR331" i="3"/>
  <c r="BQ331" i="3"/>
  <c r="BP331" i="3"/>
  <c r="BO331" i="3"/>
  <c r="BN331" i="3"/>
  <c r="BM331" i="3"/>
  <c r="BK331" i="3"/>
  <c r="BJ331" i="3"/>
  <c r="BI331" i="3"/>
  <c r="BH331" i="3"/>
  <c r="BG331" i="3"/>
  <c r="BF331" i="3"/>
  <c r="BE331" i="3"/>
  <c r="BD331" i="3"/>
  <c r="BC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AX330" i="3"/>
  <c r="AW330" i="3"/>
  <c r="AV330" i="3"/>
  <c r="AC330" i="3"/>
  <c r="H330" i="3"/>
  <c r="BT329" i="3"/>
  <c r="BS329" i="3"/>
  <c r="BR329" i="3"/>
  <c r="BQ329" i="3"/>
  <c r="BP329" i="3"/>
  <c r="BO329" i="3"/>
  <c r="BN329" i="3"/>
  <c r="BM329" i="3"/>
  <c r="BK329" i="3"/>
  <c r="BJ329" i="3"/>
  <c r="BI329" i="3"/>
  <c r="BH329" i="3"/>
  <c r="BG329" i="3"/>
  <c r="BF329" i="3"/>
  <c r="BE329" i="3"/>
  <c r="BD329" i="3"/>
  <c r="BC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AX328" i="3"/>
  <c r="AW328" i="3"/>
  <c r="AV328" i="3"/>
  <c r="AC328" i="3"/>
  <c r="H328" i="3"/>
  <c r="BT327" i="3"/>
  <c r="BS327" i="3"/>
  <c r="BR327" i="3"/>
  <c r="BQ327" i="3"/>
  <c r="BP327" i="3"/>
  <c r="BO327" i="3"/>
  <c r="BN327" i="3"/>
  <c r="BM327" i="3"/>
  <c r="BK327" i="3"/>
  <c r="BJ327" i="3"/>
  <c r="BI327" i="3"/>
  <c r="BH327" i="3"/>
  <c r="BG327" i="3"/>
  <c r="BF327" i="3"/>
  <c r="BE327" i="3"/>
  <c r="BD327" i="3"/>
  <c r="BC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AX326" i="3"/>
  <c r="AW326" i="3"/>
  <c r="AV326" i="3"/>
  <c r="AC326" i="3"/>
  <c r="H326" i="3"/>
  <c r="BT325" i="3"/>
  <c r="BS325" i="3"/>
  <c r="BR325" i="3"/>
  <c r="BQ325" i="3"/>
  <c r="BP325" i="3"/>
  <c r="BO325" i="3"/>
  <c r="BN325" i="3"/>
  <c r="BM325" i="3"/>
  <c r="BK325" i="3"/>
  <c r="BJ325" i="3"/>
  <c r="BI325" i="3"/>
  <c r="BH325" i="3"/>
  <c r="BG325" i="3"/>
  <c r="BF325" i="3"/>
  <c r="BE325" i="3"/>
  <c r="BD325" i="3"/>
  <c r="BC325" i="3"/>
  <c r="AX325" i="3"/>
  <c r="AW325" i="3"/>
  <c r="AV325" i="3"/>
  <c r="AC325" i="3"/>
  <c r="H325" i="3"/>
  <c r="BT324" i="3"/>
  <c r="BS324" i="3"/>
  <c r="BR324" i="3"/>
  <c r="BQ324" i="3"/>
  <c r="BP324" i="3"/>
  <c r="BO324" i="3"/>
  <c r="BN324" i="3"/>
  <c r="BM324" i="3"/>
  <c r="BK324" i="3"/>
  <c r="BJ324" i="3"/>
  <c r="BI324" i="3"/>
  <c r="BH324" i="3"/>
  <c r="BG324" i="3"/>
  <c r="BF324" i="3"/>
  <c r="BE324" i="3"/>
  <c r="BD324" i="3"/>
  <c r="BC324" i="3"/>
  <c r="AX324" i="3"/>
  <c r="AW324" i="3"/>
  <c r="AV324" i="3"/>
  <c r="AC324" i="3"/>
  <c r="H324" i="3"/>
  <c r="BT323" i="3"/>
  <c r="BS323" i="3"/>
  <c r="BR323" i="3"/>
  <c r="BQ323" i="3"/>
  <c r="BP323" i="3"/>
  <c r="BO323" i="3"/>
  <c r="BN323" i="3"/>
  <c r="BM323" i="3"/>
  <c r="BK323" i="3"/>
  <c r="BJ323" i="3"/>
  <c r="BI323" i="3"/>
  <c r="BH323" i="3"/>
  <c r="BG323" i="3"/>
  <c r="BF323" i="3"/>
  <c r="BE323" i="3"/>
  <c r="BD323" i="3"/>
  <c r="BC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AX322" i="3"/>
  <c r="AW322" i="3"/>
  <c r="AV322" i="3"/>
  <c r="AC322" i="3"/>
  <c r="H322" i="3"/>
  <c r="BT321" i="3"/>
  <c r="BS321" i="3"/>
  <c r="BR321" i="3"/>
  <c r="BQ321" i="3"/>
  <c r="BP321" i="3"/>
  <c r="BO321" i="3"/>
  <c r="BN321" i="3"/>
  <c r="BM321" i="3"/>
  <c r="BK321" i="3"/>
  <c r="BJ321" i="3"/>
  <c r="BI321" i="3"/>
  <c r="BH321" i="3"/>
  <c r="BG321" i="3"/>
  <c r="BF321" i="3"/>
  <c r="BE321" i="3"/>
  <c r="BD321" i="3"/>
  <c r="BC321" i="3"/>
  <c r="AX321" i="3"/>
  <c r="AW321" i="3"/>
  <c r="AV321" i="3"/>
  <c r="AC321" i="3"/>
  <c r="H321" i="3"/>
  <c r="BT320" i="3"/>
  <c r="BS320" i="3"/>
  <c r="BR320" i="3"/>
  <c r="BQ320" i="3"/>
  <c r="BP320" i="3"/>
  <c r="BO320" i="3"/>
  <c r="BN320" i="3"/>
  <c r="BM320" i="3"/>
  <c r="BK320" i="3"/>
  <c r="BJ320" i="3"/>
  <c r="BI320" i="3"/>
  <c r="BH320" i="3"/>
  <c r="BG320" i="3"/>
  <c r="BF320" i="3"/>
  <c r="BE320" i="3"/>
  <c r="BD320" i="3"/>
  <c r="BC320" i="3"/>
  <c r="AX320" i="3"/>
  <c r="AW320" i="3"/>
  <c r="AV320" i="3"/>
  <c r="AC320" i="3"/>
  <c r="H320" i="3"/>
  <c r="BT319" i="3"/>
  <c r="BS319" i="3"/>
  <c r="BR319" i="3"/>
  <c r="BQ319" i="3"/>
  <c r="BP319" i="3"/>
  <c r="BO319" i="3"/>
  <c r="BN319" i="3"/>
  <c r="BM319" i="3"/>
  <c r="BK319" i="3"/>
  <c r="BJ319" i="3"/>
  <c r="BI319" i="3"/>
  <c r="BH319" i="3"/>
  <c r="BG319" i="3"/>
  <c r="BF319" i="3"/>
  <c r="BE319" i="3"/>
  <c r="BD319" i="3"/>
  <c r="BC319" i="3"/>
  <c r="AX319" i="3"/>
  <c r="AW319" i="3"/>
  <c r="AV319" i="3"/>
  <c r="AC319" i="3"/>
  <c r="H319" i="3"/>
  <c r="BT318" i="3"/>
  <c r="BS318" i="3"/>
  <c r="BR318" i="3"/>
  <c r="BQ318" i="3"/>
  <c r="BP318" i="3"/>
  <c r="BO318" i="3"/>
  <c r="BN318" i="3"/>
  <c r="BM318" i="3"/>
  <c r="BK318" i="3"/>
  <c r="BJ318" i="3"/>
  <c r="BI318" i="3"/>
  <c r="BH318" i="3"/>
  <c r="BG318" i="3"/>
  <c r="BF318" i="3"/>
  <c r="BE318" i="3"/>
  <c r="BD318" i="3"/>
  <c r="BC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AX316" i="3"/>
  <c r="AW316" i="3"/>
  <c r="AV316" i="3"/>
  <c r="AC316" i="3"/>
  <c r="H316" i="3"/>
  <c r="BT315" i="3"/>
  <c r="BS315" i="3"/>
  <c r="BR315" i="3"/>
  <c r="BQ315" i="3"/>
  <c r="BP315" i="3"/>
  <c r="BO315" i="3"/>
  <c r="BN315" i="3"/>
  <c r="BM315" i="3"/>
  <c r="BK315" i="3"/>
  <c r="BJ315" i="3"/>
  <c r="BI315" i="3"/>
  <c r="BH315" i="3"/>
  <c r="BG315" i="3"/>
  <c r="BF315" i="3"/>
  <c r="BE315" i="3"/>
  <c r="BD315" i="3"/>
  <c r="BC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AX314" i="3"/>
  <c r="AW314" i="3"/>
  <c r="AV314" i="3"/>
  <c r="AC314" i="3"/>
  <c r="H314" i="3"/>
  <c r="BT313" i="3"/>
  <c r="BS313" i="3"/>
  <c r="BR313" i="3"/>
  <c r="BQ313" i="3"/>
  <c r="BP313" i="3"/>
  <c r="BO313" i="3"/>
  <c r="BN313" i="3"/>
  <c r="BM313" i="3"/>
  <c r="BK313" i="3"/>
  <c r="BJ313" i="3"/>
  <c r="BI313" i="3"/>
  <c r="BH313" i="3"/>
  <c r="BG313" i="3"/>
  <c r="BF313" i="3"/>
  <c r="BE313" i="3"/>
  <c r="BD313" i="3"/>
  <c r="BC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AX312" i="3"/>
  <c r="AW312" i="3"/>
  <c r="AV312" i="3"/>
  <c r="AC312" i="3"/>
  <c r="H312" i="3"/>
  <c r="BT311" i="3"/>
  <c r="BS311" i="3"/>
  <c r="BR311" i="3"/>
  <c r="BQ311" i="3"/>
  <c r="BP311" i="3"/>
  <c r="BO311" i="3"/>
  <c r="BN311" i="3"/>
  <c r="BM311" i="3"/>
  <c r="BK311" i="3"/>
  <c r="BJ311" i="3"/>
  <c r="BI311" i="3"/>
  <c r="BH311" i="3"/>
  <c r="BG311" i="3"/>
  <c r="BF311" i="3"/>
  <c r="BE311" i="3"/>
  <c r="BD311" i="3"/>
  <c r="BC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AX310" i="3"/>
  <c r="AW310" i="3"/>
  <c r="AV310" i="3"/>
  <c r="AC310" i="3"/>
  <c r="H310" i="3"/>
  <c r="BT309" i="3"/>
  <c r="BS309" i="3"/>
  <c r="BR309" i="3"/>
  <c r="BQ309" i="3"/>
  <c r="BP309" i="3"/>
  <c r="BO309" i="3"/>
  <c r="BN309" i="3"/>
  <c r="BM309" i="3"/>
  <c r="BK309" i="3"/>
  <c r="BJ309" i="3"/>
  <c r="BI309" i="3"/>
  <c r="BH309" i="3"/>
  <c r="BG309" i="3"/>
  <c r="BF309" i="3"/>
  <c r="BE309" i="3"/>
  <c r="BD309" i="3"/>
  <c r="BC309" i="3"/>
  <c r="AX309" i="3"/>
  <c r="AW309" i="3"/>
  <c r="AV309" i="3"/>
  <c r="AC309" i="3"/>
  <c r="H309" i="3"/>
  <c r="BT308" i="3"/>
  <c r="BS308" i="3"/>
  <c r="BR308" i="3"/>
  <c r="BQ308" i="3"/>
  <c r="BP308" i="3"/>
  <c r="BO308" i="3"/>
  <c r="BN308" i="3"/>
  <c r="BM308" i="3"/>
  <c r="BK308" i="3"/>
  <c r="BJ308" i="3"/>
  <c r="BI308" i="3"/>
  <c r="BH308" i="3"/>
  <c r="BG308" i="3"/>
  <c r="BF308" i="3"/>
  <c r="BE308" i="3"/>
  <c r="BD308" i="3"/>
  <c r="BC308" i="3"/>
  <c r="AX308" i="3"/>
  <c r="AW308" i="3"/>
  <c r="AV308" i="3"/>
  <c r="AC308" i="3"/>
  <c r="H308" i="3"/>
  <c r="BT307" i="3"/>
  <c r="BS307" i="3"/>
  <c r="BR307" i="3"/>
  <c r="BQ307" i="3"/>
  <c r="BP307" i="3"/>
  <c r="BO307" i="3"/>
  <c r="BN307" i="3"/>
  <c r="BM307" i="3"/>
  <c r="BK307" i="3"/>
  <c r="BJ307" i="3"/>
  <c r="BI307" i="3"/>
  <c r="BH307" i="3"/>
  <c r="BG307" i="3"/>
  <c r="BF307" i="3"/>
  <c r="BE307" i="3"/>
  <c r="BD307" i="3"/>
  <c r="BC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AX306" i="3"/>
  <c r="AW306" i="3"/>
  <c r="AV306" i="3"/>
  <c r="AC306" i="3"/>
  <c r="H306" i="3"/>
  <c r="BT305" i="3"/>
  <c r="BS305" i="3"/>
  <c r="BR305" i="3"/>
  <c r="BQ305" i="3"/>
  <c r="BP305" i="3"/>
  <c r="BO305" i="3"/>
  <c r="BN305" i="3"/>
  <c r="BM305" i="3"/>
  <c r="BK305" i="3"/>
  <c r="BJ305" i="3"/>
  <c r="BI305" i="3"/>
  <c r="BH305" i="3"/>
  <c r="BG305" i="3"/>
  <c r="BF305" i="3"/>
  <c r="BE305" i="3"/>
  <c r="BD305" i="3"/>
  <c r="BC305" i="3"/>
  <c r="AX305" i="3"/>
  <c r="AW305" i="3"/>
  <c r="AV305" i="3"/>
  <c r="AC305" i="3"/>
  <c r="H305" i="3"/>
  <c r="BT304" i="3"/>
  <c r="BS304" i="3"/>
  <c r="BR304" i="3"/>
  <c r="BQ304" i="3"/>
  <c r="BP304" i="3"/>
  <c r="BO304" i="3"/>
  <c r="BN304" i="3"/>
  <c r="BM304" i="3"/>
  <c r="BK304" i="3"/>
  <c r="BJ304" i="3"/>
  <c r="BI304" i="3"/>
  <c r="BH304" i="3"/>
  <c r="BG304" i="3"/>
  <c r="BF304" i="3"/>
  <c r="BE304" i="3"/>
  <c r="BD304" i="3"/>
  <c r="BC304" i="3"/>
  <c r="AX304" i="3"/>
  <c r="AW304" i="3"/>
  <c r="AV304" i="3"/>
  <c r="AC304" i="3"/>
  <c r="H304" i="3"/>
  <c r="BT303" i="3"/>
  <c r="BS303" i="3"/>
  <c r="BR303" i="3"/>
  <c r="BQ303" i="3"/>
  <c r="BP303" i="3"/>
  <c r="BO303" i="3"/>
  <c r="BN303" i="3"/>
  <c r="BM303" i="3"/>
  <c r="BK303" i="3"/>
  <c r="BJ303" i="3"/>
  <c r="BI303" i="3"/>
  <c r="BH303" i="3"/>
  <c r="BG303" i="3"/>
  <c r="BF303" i="3"/>
  <c r="BE303" i="3"/>
  <c r="BD303" i="3"/>
  <c r="BC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E17" i="49"/>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20" i="6"/>
  <c r="E21" i="6"/>
  <c r="M8" i="1"/>
  <c r="F23" i="15"/>
  <c r="D24" i="15"/>
  <c r="M13" i="1"/>
  <c r="O13" i="1"/>
  <c r="P13" i="1"/>
  <c r="E22" i="6"/>
  <c r="E23" i="6"/>
  <c r="E24" i="6"/>
  <c r="E25" i="6"/>
  <c r="E26" i="6"/>
  <c r="BC13" i="3"/>
  <c r="BD13" i="3"/>
  <c r="BE13" i="3"/>
  <c r="BF13" i="3"/>
  <c r="BG13" i="3"/>
  <c r="BH13" i="3"/>
  <c r="BI13" i="3"/>
  <c r="BJ13" i="3"/>
  <c r="BK13" i="3"/>
  <c r="BC14" i="3"/>
  <c r="BD14" i="3"/>
  <c r="BE14" i="3"/>
  <c r="BF14" i="3"/>
  <c r="BG14" i="3"/>
  <c r="BH14" i="3"/>
  <c r="BI14" i="3"/>
  <c r="BJ14" i="3"/>
  <c r="BK14" i="3"/>
  <c r="BC15" i="3"/>
  <c r="BD15" i="3"/>
  <c r="BE15" i="3"/>
  <c r="BF15" i="3"/>
  <c r="BG15" i="3"/>
  <c r="BH15" i="3"/>
  <c r="BI15" i="3"/>
  <c r="BJ15" i="3"/>
  <c r="BK15" i="3"/>
  <c r="BC16" i="3"/>
  <c r="BD16" i="3"/>
  <c r="BE16" i="3"/>
  <c r="BF16" i="3"/>
  <c r="BG16" i="3"/>
  <c r="BH16" i="3"/>
  <c r="BI16" i="3"/>
  <c r="BJ16" i="3"/>
  <c r="BK16" i="3"/>
  <c r="BC17" i="3"/>
  <c r="BD17" i="3"/>
  <c r="BE17" i="3"/>
  <c r="BF17" i="3"/>
  <c r="BG17" i="3"/>
  <c r="BH17" i="3"/>
  <c r="BI17" i="3"/>
  <c r="BJ17" i="3"/>
  <c r="BK17" i="3"/>
  <c r="BC10" i="3"/>
  <c r="BD10" i="3"/>
  <c r="BB10" i="3"/>
  <c r="BL16" i="3"/>
  <c r="H13" i="3"/>
  <c r="AC13" i="3"/>
  <c r="H14" i="3"/>
  <c r="AC14" i="3"/>
  <c r="G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C15" i="34"/>
  <c r="F67" i="34"/>
  <c r="G67" i="34"/>
  <c r="H67" i="34"/>
  <c r="I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D88" i="34"/>
  <c r="E88" i="34"/>
  <c r="F88" i="34"/>
  <c r="D86" i="34"/>
  <c r="E86" i="34"/>
  <c r="F86" i="34"/>
  <c r="G86" i="34"/>
  <c r="D82" i="34"/>
  <c r="E82" i="34"/>
  <c r="F82" i="34"/>
  <c r="G82" i="34"/>
  <c r="D80" i="34"/>
  <c r="E80" i="34"/>
  <c r="F80" i="34"/>
  <c r="G80" i="34"/>
  <c r="D78" i="34"/>
  <c r="E78" i="34"/>
  <c r="F78" i="34"/>
  <c r="G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7"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S35" i="34"/>
  <c r="F28" i="34"/>
  <c r="AA28" i="34"/>
  <c r="H23" i="34"/>
  <c r="U23" i="34"/>
  <c r="J23" i="34"/>
  <c r="F19" i="34"/>
  <c r="H17" i="34"/>
  <c r="U17" i="34"/>
  <c r="F15" i="34"/>
  <c r="AA15" i="34"/>
  <c r="J15" i="34"/>
  <c r="AC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c r="AB42" i="34"/>
  <c r="J40" i="34"/>
  <c r="F114" i="34"/>
  <c r="G114" i="34"/>
  <c r="H114" i="34"/>
  <c r="I114" i="34"/>
  <c r="J114" i="34"/>
  <c r="K114" i="34"/>
  <c r="L114" i="34"/>
  <c r="M114" i="34"/>
  <c r="H38" i="34"/>
  <c r="AB38" i="34"/>
  <c r="J36" i="34"/>
  <c r="W36" i="34"/>
  <c r="AB23" i="34"/>
  <c r="F23" i="34"/>
  <c r="AA23" i="34"/>
  <c r="J19" i="34"/>
  <c r="AC19" i="34"/>
  <c r="F17" i="34"/>
  <c r="AA17" i="34"/>
  <c r="J17" i="34"/>
  <c r="W17" i="34"/>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S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W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AZ497" i="3"/>
  <c r="BL549" i="3"/>
  <c r="AZ494" i="3"/>
  <c r="AZ502" i="3"/>
  <c r="AZ514" i="3"/>
  <c r="AZ522" i="3"/>
  <c r="AZ530" i="3"/>
  <c r="AZ546" i="3"/>
  <c r="G546" i="3"/>
  <c r="G524" i="3"/>
  <c r="G303" i="3"/>
  <c r="BL304" i="3"/>
  <c r="G305" i="3"/>
  <c r="BL306" i="3"/>
  <c r="BL309" i="3"/>
  <c r="G310" i="3"/>
  <c r="G319" i="3"/>
  <c r="BL320" i="3"/>
  <c r="G321" i="3"/>
  <c r="BL322" i="3"/>
  <c r="BL325" i="3"/>
  <c r="G326" i="3"/>
  <c r="G335" i="3"/>
  <c r="BL336" i="3"/>
  <c r="G337" i="3"/>
  <c r="BL338" i="3"/>
  <c r="BL341"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L116" i="3"/>
  <c r="G117" i="3"/>
  <c r="BL120" i="3"/>
  <c r="G121" i="3"/>
  <c r="BL124" i="3"/>
  <c r="G125" i="3"/>
  <c r="BL128" i="3"/>
  <c r="G129" i="3"/>
  <c r="BL132" i="3"/>
  <c r="G133" i="3"/>
  <c r="BL136" i="3"/>
  <c r="G137" i="3"/>
  <c r="BL140" i="3"/>
  <c r="G141" i="3"/>
  <c r="BL144" i="3"/>
  <c r="G145" i="3"/>
  <c r="BL148" i="3"/>
  <c r="G149" i="3"/>
  <c r="BL152" i="3"/>
  <c r="G153" i="3"/>
  <c r="BL156" i="3"/>
  <c r="G157" i="3"/>
  <c r="BL160" i="3"/>
  <c r="G161" i="3"/>
  <c r="BL164" i="3"/>
  <c r="G165" i="3"/>
  <c r="BL168" i="3"/>
  <c r="G169" i="3"/>
  <c r="BL172" i="3"/>
  <c r="G173" i="3"/>
  <c r="BL176" i="3"/>
  <c r="G177" i="3"/>
  <c r="BL180" i="3"/>
  <c r="G181" i="3"/>
  <c r="BL184" i="3"/>
  <c r="G185" i="3"/>
  <c r="BL188" i="3"/>
  <c r="G189" i="3"/>
  <c r="BL192" i="3"/>
  <c r="G193" i="3"/>
  <c r="BL196" i="3"/>
  <c r="G197" i="3"/>
  <c r="BL200" i="3"/>
  <c r="G201" i="3"/>
  <c r="BL204" i="3"/>
  <c r="G534" i="3"/>
  <c r="G530" i="3"/>
  <c r="G522" i="3"/>
  <c r="G516" i="3"/>
  <c r="G512" i="3"/>
  <c r="G506" i="3"/>
  <c r="G498" i="3"/>
  <c r="G494" i="3"/>
  <c r="G16" i="3"/>
  <c r="G15" i="3"/>
  <c r="BL305" i="3"/>
  <c r="G306" i="3"/>
  <c r="G309" i="3"/>
  <c r="BL310" i="3"/>
  <c r="BL313" i="3"/>
  <c r="G314" i="3"/>
  <c r="G317" i="3"/>
  <c r="BL318" i="3"/>
  <c r="BL321" i="3"/>
  <c r="G322" i="3"/>
  <c r="G325" i="3"/>
  <c r="BL326" i="3"/>
  <c r="BL329" i="3"/>
  <c r="G330" i="3"/>
  <c r="G333" i="3"/>
  <c r="BL334" i="3"/>
  <c r="BL337" i="3"/>
  <c r="G338" i="3"/>
  <c r="G341" i="3"/>
  <c r="BL342" i="3"/>
  <c r="BL344" i="3"/>
  <c r="BL347" i="3"/>
  <c r="G350" i="3"/>
  <c r="BL351" i="3"/>
  <c r="G352" i="3"/>
  <c r="G354"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500" i="3"/>
  <c r="BL303" i="3"/>
  <c r="G304" i="3"/>
  <c r="BL307" i="3"/>
  <c r="G308" i="3"/>
  <c r="BL311" i="3"/>
  <c r="G312" i="3"/>
  <c r="BL315" i="3"/>
  <c r="G316" i="3"/>
  <c r="BL319" i="3"/>
  <c r="G320" i="3"/>
  <c r="BL323" i="3"/>
  <c r="G324" i="3"/>
  <c r="BL327" i="3"/>
  <c r="G328" i="3"/>
  <c r="BL331" i="3"/>
  <c r="G332" i="3"/>
  <c r="BL335" i="3"/>
  <c r="G336" i="3"/>
  <c r="BL339" i="3"/>
  <c r="G340" i="3"/>
  <c r="BL343" i="3"/>
  <c r="G344" i="3"/>
  <c r="G348" i="3"/>
  <c r="G355" i="3"/>
  <c r="G342" i="3"/>
  <c r="BL345" i="3"/>
  <c r="G346" i="3"/>
  <c r="BL349" i="3"/>
  <c r="BL352" i="3"/>
  <c r="G353"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370" i="3"/>
  <c r="BA379" i="3"/>
  <c r="AZ379" i="3"/>
  <c r="BL380" i="3"/>
  <c r="G381" i="3"/>
  <c r="BA383" i="3"/>
  <c r="AZ383" i="3"/>
  <c r="BL384" i="3"/>
  <c r="G385" i="3"/>
  <c r="BA387" i="3"/>
  <c r="AZ387" i="3"/>
  <c r="BL388" i="3"/>
  <c r="G389" i="3"/>
  <c r="BA391" i="3"/>
  <c r="AZ391" i="3"/>
  <c r="BL392" i="3"/>
  <c r="G393" i="3"/>
  <c r="BO5" i="3"/>
  <c r="BM5" i="3"/>
  <c r="F29" i="6"/>
  <c r="BJ5" i="3"/>
  <c r="BH5" i="3"/>
  <c r="BF5" i="3"/>
  <c r="BD5" i="3"/>
  <c r="BQ5" i="3"/>
  <c r="AC5" i="3"/>
  <c r="AZ549" i="3"/>
  <c r="AZ506" i="3"/>
  <c r="AZ496" i="3"/>
  <c r="G548" i="3"/>
  <c r="G538" i="3"/>
  <c r="G520" i="3"/>
  <c r="G502" i="3"/>
  <c r="BS5" i="3"/>
  <c r="BP5" i="3"/>
  <c r="BN5" i="3"/>
  <c r="BK5" i="3"/>
  <c r="BI5" i="3"/>
  <c r="BG5" i="3"/>
  <c r="BE5" i="3"/>
  <c r="BC5" i="3"/>
  <c r="G17" i="3"/>
  <c r="BT5"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F36" i="43"/>
  <c r="F81" i="43"/>
  <c r="H83" i="43"/>
  <c r="H113" i="43"/>
  <c r="F48" i="43"/>
  <c r="H52" i="43"/>
  <c r="F70" i="43"/>
  <c r="H73" i="43"/>
  <c r="M11" i="43"/>
  <c r="D17" i="43"/>
  <c r="F39" i="43"/>
  <c r="I17" i="43"/>
  <c r="F35" i="43"/>
  <c r="J17" i="43"/>
  <c r="F6" i="1"/>
  <c r="G41" i="43"/>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86" i="3"/>
  <c r="C40" i="11"/>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2" i="43"/>
  <c r="M9" i="1"/>
  <c r="AE9" i="1"/>
  <c r="D93" i="9"/>
  <c r="E12" i="6"/>
  <c r="E15" i="6"/>
  <c r="E60" i="40"/>
  <c r="E13" i="6"/>
  <c r="E58" i="40"/>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U30" i="33"/>
  <c r="AC13" i="34"/>
  <c r="AA47" i="34"/>
  <c r="W28" i="37"/>
  <c r="S19" i="39"/>
  <c r="F12" i="33"/>
  <c r="H12" i="39"/>
  <c r="AB12" i="39"/>
  <c r="F39" i="40"/>
  <c r="AZ367" i="3"/>
  <c r="S12" i="1"/>
  <c r="R12" i="1"/>
  <c r="B12" i="1"/>
  <c r="E12" i="1"/>
  <c r="S10" i="1"/>
  <c r="AQ10" i="1"/>
  <c r="R10" i="1"/>
  <c r="B10" i="1"/>
  <c r="E10" i="1"/>
  <c r="D1" i="66"/>
  <c r="E10" i="66"/>
  <c r="M12" i="1"/>
  <c r="S13" i="1"/>
  <c r="AR13" i="1"/>
  <c r="R13" i="1"/>
  <c r="S11" i="1"/>
  <c r="AQ11" i="1"/>
  <c r="R11" i="1"/>
  <c r="S9" i="1"/>
  <c r="AR9" i="1"/>
  <c r="R9"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U44" i="34"/>
  <c r="U43" i="34"/>
  <c r="W41" i="34"/>
  <c r="AC42" i="34"/>
  <c r="U39" i="34"/>
  <c r="AB41" i="34"/>
  <c r="AA45" i="34"/>
  <c r="W34" i="34"/>
  <c r="U28" i="34"/>
  <c r="AA29" i="34"/>
  <c r="U27" i="34"/>
  <c r="S23" i="34"/>
  <c r="U15" i="34"/>
  <c r="S10" i="34"/>
  <c r="S13" i="34"/>
  <c r="H10" i="34"/>
  <c r="AB10" i="34"/>
  <c r="F11" i="34"/>
  <c r="S11"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E10" i="6"/>
  <c r="E11" i="6"/>
  <c r="E61" i="39"/>
  <c r="BL17" i="3"/>
  <c r="BL13" i="3"/>
  <c r="E65" i="39"/>
  <c r="J56" i="9"/>
  <c r="J57" i="9"/>
  <c r="J59" i="9"/>
  <c r="J61" i="9"/>
  <c r="A24" i="51"/>
  <c r="B18" i="72"/>
  <c r="E14" i="6"/>
  <c r="E64" i="39"/>
  <c r="E5" i="6"/>
  <c r="D9" i="11"/>
  <c r="C9" i="11"/>
  <c r="E32" i="6"/>
  <c r="L19" i="6"/>
  <c r="G1" i="68"/>
  <c r="K1" i="12"/>
  <c r="E57" i="40"/>
  <c r="AR12" i="1"/>
  <c r="AQ12" i="1"/>
  <c r="T12" i="1"/>
  <c r="AR10" i="1"/>
  <c r="T10"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78" i="43"/>
  <c r="H71" i="43"/>
  <c r="C17" i="43"/>
  <c r="F33" i="43"/>
  <c r="K17" i="43"/>
  <c r="F34" i="43"/>
  <c r="N6" i="43"/>
  <c r="N3" i="43"/>
  <c r="F38" i="43"/>
  <c r="F37" i="43"/>
  <c r="M9" i="43"/>
  <c r="N5" i="43"/>
  <c r="M12" i="43"/>
  <c r="B19" i="53"/>
  <c r="B37" i="72"/>
  <c r="C7" i="39"/>
  <c r="C68" i="39"/>
  <c r="C70" i="39"/>
  <c r="C7" i="35"/>
  <c r="C7" i="33"/>
  <c r="C58" i="33"/>
  <c r="D58" i="33"/>
  <c r="E58" i="33"/>
  <c r="F58" i="33"/>
  <c r="G58" i="33"/>
  <c r="H58" i="33"/>
  <c r="I58" i="33"/>
  <c r="J58" i="33"/>
  <c r="K58" i="33"/>
  <c r="L58" i="33"/>
  <c r="M58" i="33"/>
  <c r="N58" i="33"/>
  <c r="O58" i="33"/>
  <c r="C7" i="21"/>
  <c r="C58" i="21"/>
  <c r="C7" i="40"/>
  <c r="C63" i="40"/>
  <c r="C65" i="40"/>
  <c r="M47" i="9"/>
  <c r="G19" i="43"/>
  <c r="O19" i="43"/>
  <c r="T35" i="4"/>
  <c r="B14" i="72"/>
  <c r="C46" i="36"/>
  <c r="C59" i="34"/>
  <c r="D59" i="34"/>
  <c r="E59" i="34"/>
  <c r="C52" i="37"/>
  <c r="A4" i="51"/>
  <c r="B6" i="72"/>
  <c r="C48" i="35"/>
  <c r="C4" i="12"/>
  <c r="H55" i="43"/>
  <c r="H56" i="43"/>
  <c r="H72" i="43"/>
  <c r="L20" i="6"/>
  <c r="E62" i="39"/>
  <c r="E56" i="39"/>
  <c r="E51" i="40"/>
  <c r="B6" i="1"/>
  <c r="E6" i="1"/>
  <c r="S8" i="1"/>
  <c r="AQ8" i="1"/>
  <c r="M11" i="1"/>
  <c r="AP6" i="1"/>
  <c r="B9" i="1"/>
  <c r="E9" i="1"/>
  <c r="M7" i="1"/>
  <c r="O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AB33" i="34"/>
  <c r="AC45" i="34"/>
  <c r="AA30" i="34"/>
  <c r="AB45" i="34"/>
  <c r="AB47" i="34"/>
  <c r="AB36" i="34"/>
  <c r="W33" i="34"/>
  <c r="AC14" i="34"/>
  <c r="AC32" i="34"/>
  <c r="AC29" i="34"/>
  <c r="W46" i="34"/>
  <c r="AC46" i="34"/>
  <c r="AA32" i="34"/>
  <c r="U30" i="34"/>
  <c r="AB30" i="34"/>
  <c r="U38" i="34"/>
  <c r="AC40" i="34"/>
  <c r="W40" i="34"/>
  <c r="AA19" i="34"/>
  <c r="S19" i="34"/>
  <c r="AA36" i="34"/>
  <c r="S36" i="34"/>
  <c r="AA8" i="34"/>
  <c r="S8" i="34"/>
  <c r="AB9" i="34"/>
  <c r="U9" i="34"/>
  <c r="S46" i="34"/>
  <c r="AA46" i="34"/>
  <c r="U32" i="34"/>
  <c r="AB32" i="34"/>
  <c r="U14" i="34"/>
  <c r="AB14" i="34"/>
  <c r="AC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0" i="43"/>
  <c r="B67" i="43"/>
  <c r="D23" i="15"/>
  <c r="D22" i="15"/>
  <c r="AQ13" i="1"/>
  <c r="M6" i="1"/>
  <c r="O6" i="1"/>
  <c r="F30" i="68"/>
  <c r="C48" i="68"/>
  <c r="F30" i="11"/>
  <c r="C48" i="11"/>
  <c r="F28" i="67"/>
  <c r="F31" i="12"/>
  <c r="F52" i="9"/>
  <c r="M18" i="67"/>
  <c r="F32" i="67"/>
  <c r="F60" i="67"/>
  <c r="F30" i="69"/>
  <c r="C48" i="69"/>
  <c r="F32" i="15"/>
  <c r="F60" i="15"/>
  <c r="M18" i="15"/>
  <c r="F28" i="15"/>
  <c r="E63" i="39"/>
  <c r="C28" i="15"/>
  <c r="E553" i="3"/>
  <c r="E268" i="3"/>
  <c r="E282" i="3"/>
  <c r="E322" i="3"/>
  <c r="N6" i="3"/>
  <c r="AJ6" i="3"/>
  <c r="S7" i="1"/>
  <c r="AQ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AB11" i="34"/>
  <c r="J10" i="34"/>
  <c r="W10"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509" i="3"/>
  <c r="E516" i="3"/>
  <c r="E579" i="3"/>
  <c r="E569"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B21" i="31"/>
  <c r="L27" i="6"/>
  <c r="AP7" i="1"/>
  <c r="Q16" i="1"/>
  <c r="F27" i="69"/>
  <c r="C47" i="69"/>
  <c r="D45" i="69"/>
  <c r="AB45" i="21"/>
  <c r="AC33" i="21"/>
  <c r="W33" i="21"/>
  <c r="S33" i="21"/>
  <c r="AA33" i="21"/>
  <c r="W32" i="21"/>
  <c r="AC32" i="21"/>
  <c r="AB9" i="21"/>
  <c r="U9" i="21"/>
  <c r="AA32" i="21"/>
  <c r="S32" i="21"/>
  <c r="W9" i="21"/>
  <c r="AC9" i="21"/>
  <c r="AB32" i="21"/>
  <c r="U32" i="21"/>
  <c r="AA10" i="21"/>
  <c r="S10" i="21"/>
  <c r="C30" i="11"/>
  <c r="BA5" i="3"/>
  <c r="E27" i="6"/>
  <c r="K19" i="6"/>
  <c r="S6" i="1"/>
  <c r="E6" i="70"/>
  <c r="E2" i="70"/>
  <c r="A18" i="62"/>
  <c r="B64" i="72"/>
  <c r="U32" i="39"/>
  <c r="AB32" i="39"/>
  <c r="AC32" i="39"/>
  <c r="W32" i="39"/>
  <c r="W19" i="37"/>
  <c r="AC19" i="37"/>
  <c r="W23" i="37"/>
  <c r="AC23" i="37"/>
  <c r="AB11" i="37"/>
  <c r="U11" i="37"/>
  <c r="H63" i="37"/>
  <c r="I63" i="37"/>
  <c r="J63" i="37"/>
  <c r="K63" i="37"/>
  <c r="L63" i="37"/>
  <c r="M63" i="37"/>
  <c r="J11" i="37"/>
  <c r="W10" i="37"/>
  <c r="AC10" i="37"/>
  <c r="U11" i="34"/>
  <c r="J11" i="34"/>
  <c r="W11" i="34"/>
  <c r="AC36" i="33"/>
  <c r="W36" i="33"/>
  <c r="U36" i="33"/>
  <c r="AB36" i="33"/>
  <c r="W27" i="33"/>
  <c r="AC27" i="33"/>
  <c r="W25" i="33"/>
  <c r="AC25" i="33"/>
  <c r="AA23" i="33"/>
  <c r="S23" i="33"/>
  <c r="AB19" i="33"/>
  <c r="U19" i="33"/>
  <c r="AA17" i="33"/>
  <c r="S17" i="33"/>
  <c r="U17" i="33"/>
  <c r="AB17" i="33"/>
  <c r="U23" i="21"/>
  <c r="AB23" i="21"/>
  <c r="AC23" i="21"/>
  <c r="W23" i="21"/>
  <c r="AC11" i="37"/>
  <c r="W11" i="37"/>
  <c r="AC11" i="34"/>
  <c r="R7" i="1"/>
  <c r="F34" i="11"/>
  <c r="C36" i="11"/>
  <c r="F11" i="12"/>
  <c r="C23" i="12"/>
  <c r="R8" i="1"/>
  <c r="AE7" i="1"/>
  <c r="AE8" i="1"/>
  <c r="H109" i="9"/>
  <c r="D124" i="9"/>
  <c r="H110" i="9"/>
  <c r="D18" i="53"/>
  <c r="B35" i="72"/>
  <c r="D16" i="53"/>
  <c r="B34" i="72"/>
  <c r="J7" i="33"/>
  <c r="W7" i="33"/>
  <c r="F7" i="33"/>
  <c r="H7" i="33"/>
  <c r="H112" i="9"/>
  <c r="D21" i="53"/>
  <c r="B39" i="72"/>
  <c r="D59" i="9"/>
  <c r="M55" i="9"/>
  <c r="AD3" i="71"/>
  <c r="D63" i="40"/>
  <c r="D65" i="40"/>
  <c r="J1" i="73"/>
  <c r="C30" i="69"/>
  <c r="C30" i="68"/>
  <c r="H77" i="43"/>
  <c r="H76" i="43"/>
  <c r="H51" i="43"/>
  <c r="M4" i="43"/>
  <c r="M5" i="43"/>
  <c r="N12" i="43"/>
  <c r="N11" i="43"/>
  <c r="M10" i="43"/>
  <c r="M2" i="43"/>
  <c r="C6" i="43"/>
  <c r="M7" i="43"/>
  <c r="H70" i="43"/>
  <c r="H54" i="43"/>
  <c r="N9" i="43"/>
  <c r="M8" i="43"/>
  <c r="N10" i="43"/>
  <c r="H48" i="43"/>
  <c r="H74" i="43"/>
  <c r="M6" i="43"/>
  <c r="N7" i="43"/>
  <c r="N4" i="43"/>
  <c r="N2" i="43"/>
  <c r="F59" i="43"/>
  <c r="H49" i="43"/>
  <c r="N17" i="43"/>
  <c r="L17" i="43"/>
  <c r="O17" i="43"/>
  <c r="M17" i="43"/>
  <c r="E17" i="43"/>
  <c r="D68" i="39"/>
  <c r="D70" i="39"/>
  <c r="AC7" i="33"/>
  <c r="V48" i="33"/>
  <c r="I48" i="33"/>
  <c r="D58" i="21"/>
  <c r="E58" i="21"/>
  <c r="C10" i="71"/>
  <c r="D10" i="71"/>
  <c r="D11" i="71"/>
  <c r="D12" i="71"/>
  <c r="U12" i="71"/>
  <c r="S12" i="71"/>
  <c r="T12" i="71"/>
  <c r="AB10" i="71"/>
  <c r="X8" i="71"/>
  <c r="X7" i="71"/>
  <c r="AA8" i="71"/>
  <c r="AA7" i="71"/>
  <c r="X11" i="71"/>
  <c r="Z6" i="71"/>
  <c r="Y7" i="71"/>
  <c r="Z7" i="71"/>
  <c r="AB8" i="71"/>
  <c r="AB7" i="71"/>
  <c r="S8" i="71"/>
  <c r="F9" i="71"/>
  <c r="F8" i="71"/>
  <c r="Y8" i="71"/>
  <c r="Z8" i="71"/>
  <c r="E7" i="49"/>
  <c r="AB3" i="71"/>
  <c r="X3" i="71"/>
  <c r="C9" i="71"/>
  <c r="E9" i="71"/>
  <c r="E8" i="71"/>
  <c r="B6" i="49"/>
  <c r="AF3" i="71"/>
  <c r="P24" i="43"/>
  <c r="B66" i="40"/>
  <c r="P21" i="43"/>
  <c r="P22" i="43"/>
  <c r="B10" i="49"/>
  <c r="B8" i="49"/>
  <c r="E15" i="49"/>
  <c r="E63" i="40"/>
  <c r="F58" i="21"/>
  <c r="G58" i="21"/>
  <c r="H58" i="21"/>
  <c r="E68" i="39"/>
  <c r="V8" i="71"/>
  <c r="P23" i="43"/>
  <c r="B71" i="39"/>
  <c r="C8" i="71"/>
  <c r="D9" i="71"/>
  <c r="P25" i="43"/>
  <c r="E65" i="40"/>
  <c r="F63" i="40"/>
  <c r="G63" i="40"/>
  <c r="F68" i="39"/>
  <c r="F70" i="39"/>
  <c r="E70" i="39"/>
  <c r="D6" i="71"/>
  <c r="T8" i="71"/>
  <c r="D7" i="71"/>
  <c r="D8" i="71"/>
  <c r="F65" i="40"/>
  <c r="G68" i="39"/>
  <c r="H68" i="39"/>
  <c r="I68" i="39"/>
  <c r="I70" i="39"/>
  <c r="M20" i="43"/>
  <c r="U8" i="71"/>
  <c r="G70" i="39"/>
  <c r="F31" i="15"/>
  <c r="F31" i="67"/>
  <c r="M9" i="67"/>
  <c r="J15" i="15"/>
  <c r="F35" i="67"/>
  <c r="D2" i="37"/>
  <c r="M28" i="67"/>
  <c r="F7" i="67"/>
  <c r="M29" i="15"/>
  <c r="C76" i="67"/>
  <c r="M26" i="67"/>
  <c r="F37" i="67"/>
  <c r="C76" i="15"/>
  <c r="E13" i="76"/>
  <c r="M23" i="15"/>
  <c r="B11" i="76"/>
  <c r="M29" i="67"/>
  <c r="AO10" i="1"/>
  <c r="F5" i="73"/>
  <c r="AO12" i="1"/>
  <c r="L47" i="67"/>
  <c r="D2" i="33"/>
  <c r="E7" i="76"/>
  <c r="F42" i="67"/>
  <c r="E8" i="76"/>
  <c r="M27" i="67"/>
  <c r="M21" i="67"/>
  <c r="AO7" i="1"/>
  <c r="F9" i="67"/>
  <c r="F26" i="67"/>
  <c r="D2" i="36"/>
  <c r="D2" i="34"/>
  <c r="M22" i="67"/>
  <c r="L47" i="15"/>
  <c r="AO13" i="1"/>
  <c r="E12" i="76"/>
  <c r="AO9" i="1"/>
  <c r="D2" i="35"/>
  <c r="E11" i="76"/>
  <c r="E2" i="69"/>
  <c r="M24" i="15"/>
  <c r="M24" i="67"/>
  <c r="M6" i="67"/>
  <c r="F20" i="31"/>
  <c r="F3" i="73"/>
  <c r="F6" i="73"/>
  <c r="F13" i="67"/>
  <c r="B8" i="76"/>
  <c r="M28" i="15"/>
  <c r="F38" i="67"/>
  <c r="J15" i="67"/>
  <c r="D7" i="73"/>
  <c r="M8" i="67"/>
  <c r="L48" i="67"/>
  <c r="B9" i="76"/>
  <c r="F7" i="73"/>
  <c r="M22" i="15"/>
  <c r="F8" i="67"/>
  <c r="B13" i="76"/>
  <c r="F43" i="67"/>
  <c r="D3" i="73"/>
  <c r="D2" i="21"/>
  <c r="B12" i="76"/>
  <c r="M23" i="67"/>
  <c r="F40" i="67"/>
  <c r="AO11" i="1"/>
  <c r="F41" i="67"/>
  <c r="E10" i="76"/>
  <c r="M26" i="15"/>
  <c r="F36" i="67"/>
  <c r="F6" i="67"/>
  <c r="D6" i="73"/>
  <c r="F16" i="67"/>
  <c r="B10" i="76"/>
  <c r="B7" i="76"/>
  <c r="AO8" i="1"/>
  <c r="E9" i="76"/>
  <c r="B22" i="49"/>
  <c r="B16" i="49"/>
  <c r="E21" i="49"/>
  <c r="E8" i="49"/>
  <c r="E16" i="49"/>
  <c r="B13" i="49"/>
  <c r="B14" i="49"/>
  <c r="B73" i="72"/>
  <c r="E9" i="49"/>
  <c r="E13" i="49"/>
  <c r="E4" i="49"/>
  <c r="B5" i="49"/>
  <c r="E5" i="49"/>
  <c r="E6" i="49"/>
  <c r="E11" i="49"/>
  <c r="E22" i="49"/>
  <c r="B4" i="49"/>
  <c r="E14" i="49"/>
  <c r="E10" i="49"/>
  <c r="B15" i="49"/>
  <c r="B7" i="49"/>
  <c r="B4" i="72"/>
  <c r="F90" i="34"/>
  <c r="G90" i="34"/>
  <c r="H90" i="34"/>
  <c r="I90" i="34"/>
  <c r="J90" i="34"/>
  <c r="K90" i="34"/>
  <c r="L90" i="34"/>
  <c r="M90" i="34"/>
  <c r="J27" i="34"/>
  <c r="F27" i="34"/>
  <c r="G88" i="34"/>
  <c r="H88" i="34"/>
  <c r="I88" i="34"/>
  <c r="J88" i="34"/>
  <c r="K88" i="34"/>
  <c r="L88" i="34"/>
  <c r="M88" i="34"/>
  <c r="J25" i="34"/>
  <c r="F25" i="34"/>
  <c r="H25" i="34"/>
  <c r="AC10" i="34"/>
  <c r="U10" i="34"/>
  <c r="G112" i="34"/>
  <c r="H112" i="34"/>
  <c r="I112" i="34"/>
  <c r="J112" i="34"/>
  <c r="K112" i="34"/>
  <c r="L112" i="34"/>
  <c r="M112" i="34"/>
  <c r="J37" i="34"/>
  <c r="F37" i="34"/>
  <c r="H37" i="34"/>
  <c r="AA31" i="34"/>
  <c r="U29" i="34"/>
  <c r="AC28" i="34"/>
  <c r="S28" i="34"/>
  <c r="S15" i="34"/>
  <c r="W21" i="34"/>
  <c r="W19" i="34"/>
  <c r="AB35" i="34"/>
  <c r="S44" i="34"/>
  <c r="AB17" i="34"/>
  <c r="AC39" i="34"/>
  <c r="AA11" i="34"/>
  <c r="S17" i="34"/>
  <c r="S43" i="34"/>
  <c r="AA33" i="34"/>
  <c r="S21" i="34"/>
  <c r="P61" i="15"/>
  <c r="D65" i="43"/>
  <c r="D63" i="43"/>
  <c r="D61" i="43"/>
  <c r="D67" i="43"/>
  <c r="J60" i="43"/>
  <c r="J62" i="43"/>
  <c r="J64" i="43"/>
  <c r="E11" i="43"/>
  <c r="E9" i="43"/>
  <c r="E10" i="43"/>
  <c r="E8" i="43"/>
  <c r="G17" i="43"/>
  <c r="C16" i="43"/>
  <c r="D5" i="43"/>
  <c r="H62" i="43"/>
  <c r="H66" i="43"/>
  <c r="H64" i="43"/>
  <c r="H67" i="43"/>
  <c r="H60" i="43"/>
  <c r="H65" i="43"/>
  <c r="H63" i="43"/>
  <c r="H59" i="43"/>
  <c r="H61" i="43"/>
  <c r="F22" i="43"/>
  <c r="K101" i="43"/>
  <c r="N101" i="43"/>
  <c r="G101" i="43"/>
  <c r="J101" i="43"/>
  <c r="H22" i="43"/>
  <c r="D101" i="43"/>
  <c r="I101" i="43"/>
  <c r="G22" i="43"/>
  <c r="AJ11" i="43"/>
  <c r="AJ13" i="43"/>
  <c r="AF11" i="43"/>
  <c r="AF13" i="43"/>
  <c r="AB11" i="43"/>
  <c r="AB13" i="43"/>
  <c r="Z7" i="43"/>
  <c r="AI11" i="43"/>
  <c r="AI13" i="43"/>
  <c r="AE11" i="43"/>
  <c r="AE13" i="43"/>
  <c r="AA11" i="43"/>
  <c r="AA13" i="43"/>
  <c r="E22" i="43"/>
  <c r="D22" i="43"/>
  <c r="C21" i="43"/>
  <c r="J22" i="43"/>
  <c r="B113" i="43"/>
  <c r="F101" i="43"/>
  <c r="C101" i="43"/>
  <c r="N104" i="46"/>
  <c r="L101" i="43"/>
  <c r="H101" i="43"/>
  <c r="M101" i="43"/>
  <c r="E101" i="43"/>
  <c r="AH11" i="43"/>
  <c r="AH13" i="43"/>
  <c r="AD11" i="43"/>
  <c r="AD13" i="43"/>
  <c r="Z11" i="43"/>
  <c r="Z13" i="43"/>
  <c r="AG11" i="43"/>
  <c r="AG13" i="43"/>
  <c r="AC11" i="43"/>
  <c r="AC13" i="43"/>
  <c r="Y11" i="43"/>
  <c r="Y13" i="43"/>
  <c r="C29" i="39"/>
  <c r="B66" i="43"/>
  <c r="B63" i="43"/>
  <c r="B56" i="43"/>
  <c r="B49" i="43"/>
  <c r="B54" i="43"/>
  <c r="C19" i="39"/>
  <c r="C21" i="39"/>
  <c r="C25" i="39"/>
  <c r="C92" i="9"/>
  <c r="C94" i="9"/>
  <c r="C31" i="12"/>
  <c r="C24" i="12"/>
  <c r="C28" i="67"/>
  <c r="C77" i="9"/>
  <c r="C74" i="9"/>
  <c r="C13" i="12"/>
  <c r="D23" i="67"/>
  <c r="T7" i="1"/>
  <c r="T8" i="1"/>
  <c r="E16" i="6"/>
  <c r="D9" i="69"/>
  <c r="C9" i="69"/>
  <c r="T9" i="1"/>
  <c r="AQ9" i="1"/>
  <c r="E53" i="3"/>
  <c r="E125" i="3"/>
  <c r="E175" i="3"/>
  <c r="E217" i="3"/>
  <c r="E319" i="3"/>
  <c r="E366" i="3"/>
  <c r="E530" i="3"/>
  <c r="E526" i="3"/>
  <c r="E69" i="3"/>
  <c r="E114" i="3"/>
  <c r="E261" i="3"/>
  <c r="E278" i="3"/>
  <c r="E304" i="3"/>
  <c r="E415" i="3"/>
  <c r="E528" i="3"/>
  <c r="E563" i="3"/>
  <c r="E565" i="3"/>
  <c r="E395" i="3"/>
  <c r="E183" i="3"/>
  <c r="E172" i="3"/>
  <c r="E260" i="3"/>
  <c r="E361" i="3"/>
  <c r="E445" i="3"/>
  <c r="E17" i="3"/>
  <c r="E550" i="3"/>
  <c r="E503" i="3"/>
  <c r="E535" i="3"/>
  <c r="E302" i="3"/>
  <c r="E329" i="3"/>
  <c r="E347" i="3"/>
  <c r="E539" i="3"/>
  <c r="E583" i="3"/>
  <c r="E545" i="3"/>
  <c r="AA6" i="3"/>
  <c r="E567" i="3"/>
  <c r="X6" i="3"/>
  <c r="E510" i="3"/>
  <c r="E399" i="3"/>
  <c r="E461" i="3"/>
  <c r="E336" i="3"/>
  <c r="E352" i="3"/>
  <c r="E280" i="3"/>
  <c r="E227" i="3"/>
  <c r="E205" i="3"/>
  <c r="E124" i="3"/>
  <c r="E165" i="3"/>
  <c r="E293" i="3"/>
  <c r="E128" i="3"/>
  <c r="E397" i="3"/>
  <c r="E353" i="3"/>
  <c r="E314" i="3"/>
  <c r="E385" i="3"/>
  <c r="E568" i="3"/>
  <c r="E495" i="3"/>
  <c r="E511" i="3"/>
  <c r="E518" i="3"/>
  <c r="I6" i="3"/>
  <c r="AN6" i="3"/>
  <c r="AC6" i="3"/>
  <c r="E16" i="3"/>
  <c r="AI6" i="3"/>
  <c r="E536" i="3"/>
  <c r="E586" i="3"/>
  <c r="AK6" i="3"/>
  <c r="E578" i="3"/>
  <c r="E549" i="3"/>
  <c r="E402" i="3"/>
  <c r="E434" i="3"/>
  <c r="E423" i="3"/>
  <c r="E453" i="3"/>
  <c r="E350" i="3"/>
  <c r="E306" i="3"/>
  <c r="E382" i="3"/>
  <c r="E368" i="3"/>
  <c r="E303" i="3"/>
  <c r="E296" i="3"/>
  <c r="E263" i="3"/>
  <c r="E244" i="3"/>
  <c r="E301" i="3"/>
  <c r="E262" i="3"/>
  <c r="E196" i="3"/>
  <c r="E159" i="3"/>
  <c r="E136" i="3"/>
  <c r="E191" i="3"/>
  <c r="E156" i="3"/>
  <c r="E99" i="3"/>
  <c r="E236" i="3"/>
  <c r="E188" i="3"/>
  <c r="E148" i="3"/>
  <c r="E228" i="3"/>
  <c r="E269" i="3"/>
  <c r="E181" i="3"/>
  <c r="E122" i="3"/>
  <c r="E157" i="3"/>
  <c r="E89" i="3"/>
  <c r="E140" i="3"/>
  <c r="E120" i="3"/>
  <c r="E85" i="3"/>
  <c r="E45" i="3"/>
  <c r="E277" i="3"/>
  <c r="E197" i="3"/>
  <c r="E177" i="3"/>
  <c r="E116" i="3"/>
  <c r="E193" i="3"/>
  <c r="E173" i="3"/>
  <c r="E133" i="3"/>
  <c r="E105" i="3"/>
  <c r="E369" i="3"/>
  <c r="E330" i="3"/>
  <c r="E393" i="3"/>
  <c r="E519" i="3"/>
  <c r="E525" i="3"/>
  <c r="K6" i="3"/>
  <c r="E493" i="3"/>
  <c r="E532" i="3"/>
  <c r="E534" i="3"/>
  <c r="Q6" i="3"/>
  <c r="E564" i="3"/>
  <c r="E573" i="3"/>
  <c r="T6" i="3"/>
  <c r="E560" i="3"/>
  <c r="E543" i="3"/>
  <c r="E529" i="3"/>
  <c r="E405" i="3"/>
  <c r="E437" i="3"/>
  <c r="E427" i="3"/>
  <c r="E458" i="3"/>
  <c r="E456" i="3"/>
  <c r="E472" i="3"/>
  <c r="E486" i="3"/>
  <c r="E474" i="3"/>
  <c r="E313" i="3"/>
  <c r="E213" i="3"/>
  <c r="E224" i="3"/>
  <c r="E237" i="3"/>
  <c r="E245" i="3"/>
  <c r="F28" i="12"/>
  <c r="C29" i="12"/>
  <c r="D28" i="12"/>
  <c r="E410" i="3"/>
  <c r="E574" i="3"/>
  <c r="E555" i="3"/>
  <c r="O6" i="3"/>
  <c r="E388" i="3"/>
  <c r="E328" i="3"/>
  <c r="E508" i="3"/>
  <c r="E426" i="3"/>
  <c r="E305" i="3"/>
  <c r="E153" i="3"/>
  <c r="E343" i="3"/>
  <c r="E501" i="3"/>
  <c r="E223" i="3"/>
  <c r="E238" i="3"/>
  <c r="E246" i="3"/>
  <c r="C36" i="69"/>
  <c r="E29" i="6"/>
  <c r="F30" i="6"/>
  <c r="G30" i="6"/>
  <c r="G31" i="6"/>
  <c r="E28" i="6"/>
  <c r="F27" i="11"/>
  <c r="E59" i="40"/>
  <c r="BL308" i="3"/>
  <c r="BL317" i="3"/>
  <c r="BL328" i="3"/>
  <c r="BL332" i="3"/>
  <c r="BL209" i="3"/>
  <c r="BL213" i="3"/>
  <c r="BL217" i="3"/>
  <c r="BL221" i="3"/>
  <c r="BL225" i="3"/>
  <c r="BL229" i="3"/>
  <c r="BL233" i="3"/>
  <c r="BL237" i="3"/>
  <c r="BL241" i="3"/>
  <c r="BL245" i="3"/>
  <c r="BL249" i="3"/>
  <c r="BL253" i="3"/>
  <c r="BL258" i="3"/>
  <c r="BL265" i="3"/>
  <c r="BL268" i="3"/>
  <c r="BL275" i="3"/>
  <c r="BL279" i="3"/>
  <c r="BL283" i="3"/>
  <c r="BL287" i="3"/>
  <c r="BL291" i="3"/>
  <c r="BL295" i="3"/>
  <c r="BL299" i="3"/>
  <c r="BL114" i="3"/>
  <c r="BL115" i="3"/>
  <c r="BL122" i="3"/>
  <c r="BL130" i="3"/>
  <c r="BL131" i="3"/>
  <c r="BL138" i="3"/>
  <c r="BL139" i="3"/>
  <c r="BL146" i="3"/>
  <c r="BL147" i="3"/>
  <c r="BL154" i="3"/>
  <c r="BL162" i="3"/>
  <c r="BL163" i="3"/>
  <c r="BL170" i="3"/>
  <c r="BL178" i="3"/>
  <c r="BL179" i="3"/>
  <c r="E66" i="39"/>
  <c r="BL186" i="3"/>
  <c r="BL194" i="3"/>
  <c r="BL197" i="3"/>
  <c r="BL201" i="3"/>
  <c r="BL206" i="3"/>
  <c r="BL20" i="3"/>
  <c r="BL24" i="3"/>
  <c r="BL28" i="3"/>
  <c r="BL34" i="3"/>
  <c r="BL38" i="3"/>
  <c r="BL42" i="3"/>
  <c r="BL46" i="3"/>
  <c r="BL50" i="3"/>
  <c r="BL54" i="3"/>
  <c r="BL58" i="3"/>
  <c r="BL62" i="3"/>
  <c r="BL66" i="3"/>
  <c r="BL70" i="3"/>
  <c r="BL74" i="3"/>
  <c r="BL78" i="3"/>
  <c r="BL82" i="3"/>
  <c r="BL86" i="3"/>
  <c r="BL91" i="3"/>
  <c r="BL92" i="3"/>
  <c r="BL93" i="3"/>
  <c r="BL94" i="3"/>
  <c r="BL98" i="3"/>
  <c r="BL103" i="3"/>
  <c r="BL107" i="3"/>
  <c r="O12" i="1"/>
  <c r="P12" i="1"/>
  <c r="P7" i="1"/>
  <c r="AR7" i="1"/>
  <c r="D102" i="43"/>
  <c r="D106" i="43"/>
  <c r="D105" i="43"/>
  <c r="I105" i="43"/>
  <c r="I107" i="43"/>
  <c r="I104" i="43"/>
  <c r="T13" i="1"/>
  <c r="AR11" i="1"/>
  <c r="D19" i="12"/>
  <c r="C19" i="12"/>
  <c r="T11" i="1"/>
  <c r="F31" i="6"/>
  <c r="BL314" i="3"/>
  <c r="BL324" i="3"/>
  <c r="BL330" i="3"/>
  <c r="BL340" i="3"/>
  <c r="BL208" i="3"/>
  <c r="BL216" i="3"/>
  <c r="BL222" i="3"/>
  <c r="BL224" i="3"/>
  <c r="BL226" i="3"/>
  <c r="BL230" i="3"/>
  <c r="BL236" i="3"/>
  <c r="BL238" i="3"/>
  <c r="BL242" i="3"/>
  <c r="BL246" i="3"/>
  <c r="BL252" i="3"/>
  <c r="BL254" i="3"/>
  <c r="BL257" i="3"/>
  <c r="BL261" i="3"/>
  <c r="BL264" i="3"/>
  <c r="BL266" i="3"/>
  <c r="BL271" i="3"/>
  <c r="BL274" i="3"/>
  <c r="BL282" i="3"/>
  <c r="BL286" i="3"/>
  <c r="BL288" i="3"/>
  <c r="BL290" i="3"/>
  <c r="BL298" i="3"/>
  <c r="BL117" i="3"/>
  <c r="BL125" i="3"/>
  <c r="BL133" i="3"/>
  <c r="BL149" i="3"/>
  <c r="BL153" i="3"/>
  <c r="BL165" i="3"/>
  <c r="BL169" i="3"/>
  <c r="BL181" i="3"/>
  <c r="BL185" i="3"/>
  <c r="BL312" i="3"/>
  <c r="BL198" i="3"/>
  <c r="BL202" i="3"/>
  <c r="BL25" i="3"/>
  <c r="BL33" i="3"/>
  <c r="BL37" i="3"/>
  <c r="BL45" i="3"/>
  <c r="BL53" i="3"/>
  <c r="BL61" i="3"/>
  <c r="BL69" i="3"/>
  <c r="BL73" i="3"/>
  <c r="BL75" i="3"/>
  <c r="BL79" i="3"/>
  <c r="BL95" i="3"/>
  <c r="BL30" i="3"/>
  <c r="BL100" i="3"/>
  <c r="BL102" i="3"/>
  <c r="BL104" i="3"/>
  <c r="P6" i="1"/>
  <c r="P9" i="1"/>
  <c r="O9" i="1"/>
  <c r="P8" i="1"/>
  <c r="O8" i="1"/>
  <c r="O11" i="1"/>
  <c r="P11" i="1"/>
  <c r="E56" i="40"/>
  <c r="H87" i="43"/>
  <c r="H86" i="43"/>
  <c r="H50" i="43"/>
  <c r="K56" i="9"/>
  <c r="D10" i="52"/>
  <c r="D125" i="9"/>
  <c r="D11" i="52"/>
  <c r="H14" i="74"/>
  <c r="B7" i="74"/>
  <c r="H111" i="9"/>
  <c r="D17" i="53"/>
  <c r="B36" i="72"/>
  <c r="C29" i="69"/>
  <c r="D27" i="69"/>
  <c r="J68" i="39"/>
  <c r="H70" i="39"/>
  <c r="G65" i="40"/>
  <c r="H63" i="40"/>
  <c r="I52" i="33"/>
  <c r="J52" i="33"/>
  <c r="I58" i="21"/>
  <c r="J58" i="21"/>
  <c r="K58" i="21"/>
  <c r="L58" i="21"/>
  <c r="M58" i="21"/>
  <c r="N58" i="21"/>
  <c r="O58" i="21"/>
  <c r="F59" i="34"/>
  <c r="G59" i="34"/>
  <c r="H59" i="34"/>
  <c r="I59" i="34"/>
  <c r="J59" i="34"/>
  <c r="K59" i="34"/>
  <c r="L59" i="34"/>
  <c r="M59" i="34"/>
  <c r="N59" i="34"/>
  <c r="O59" i="34"/>
  <c r="AB7" i="33"/>
  <c r="T48" i="33"/>
  <c r="G48" i="33"/>
  <c r="U7" i="33"/>
  <c r="D46" i="36"/>
  <c r="H7" i="21"/>
  <c r="F7" i="21"/>
  <c r="S7" i="33"/>
  <c r="AA7" i="33"/>
  <c r="R48" i="33"/>
  <c r="D48" i="35"/>
  <c r="D52" i="37"/>
  <c r="K1" i="73"/>
  <c r="B11" i="70"/>
  <c r="F66" i="67"/>
  <c r="F65" i="15"/>
  <c r="F65" i="67"/>
  <c r="B9" i="70"/>
  <c r="N59" i="15"/>
  <c r="M59" i="15"/>
  <c r="L58" i="15"/>
  <c r="L59" i="15"/>
  <c r="B10" i="70"/>
  <c r="M59" i="67"/>
  <c r="L58" i="67"/>
  <c r="L59" i="67"/>
  <c r="N59" i="67"/>
  <c r="F69" i="67"/>
  <c r="B8" i="70"/>
  <c r="F51" i="67"/>
  <c r="F71" i="67"/>
  <c r="L56" i="15"/>
  <c r="J57" i="15"/>
  <c r="J55" i="15"/>
  <c r="J58" i="15"/>
  <c r="Q50" i="15"/>
  <c r="I54" i="15"/>
  <c r="J53" i="67"/>
  <c r="I54" i="67"/>
  <c r="J57" i="67"/>
  <c r="J55" i="67"/>
  <c r="J58" i="67"/>
  <c r="Q50" i="67"/>
  <c r="L56" i="67"/>
  <c r="F66" i="15"/>
  <c r="F50" i="15"/>
  <c r="Q71" i="67"/>
  <c r="B13" i="70"/>
  <c r="M7" i="67"/>
  <c r="J6" i="67"/>
  <c r="F50" i="67"/>
  <c r="Q71" i="15"/>
  <c r="F64" i="15"/>
  <c r="C34" i="67"/>
  <c r="F63" i="67"/>
  <c r="C62" i="67"/>
  <c r="J20" i="67"/>
  <c r="F70" i="67"/>
  <c r="F68" i="67"/>
  <c r="F51" i="15"/>
  <c r="C6" i="67"/>
  <c r="B12" i="70"/>
  <c r="F64" i="67"/>
  <c r="F71" i="15"/>
  <c r="B20" i="31"/>
  <c r="B7" i="70"/>
  <c r="F68" i="15"/>
  <c r="C27" i="67"/>
  <c r="F59" i="15"/>
  <c r="F59" i="67"/>
  <c r="M17" i="15"/>
  <c r="M17" i="67"/>
  <c r="T6" i="1"/>
  <c r="C17" i="67"/>
  <c r="C16" i="67"/>
  <c r="C14" i="67"/>
  <c r="B71" i="72"/>
  <c r="C5" i="43"/>
  <c r="W27" i="34"/>
  <c r="AC27" i="34"/>
  <c r="AA27" i="34"/>
  <c r="S27" i="34"/>
  <c r="AB25" i="34"/>
  <c r="U25" i="34"/>
  <c r="AC25" i="34"/>
  <c r="W25" i="34"/>
  <c r="S25" i="34"/>
  <c r="AA25" i="34"/>
  <c r="U37" i="34"/>
  <c r="AB37" i="34"/>
  <c r="AC37" i="34"/>
  <c r="W37" i="34"/>
  <c r="AA37" i="34"/>
  <c r="S37" i="34"/>
  <c r="M109" i="43"/>
  <c r="M102" i="43"/>
  <c r="M106" i="43"/>
  <c r="M103" i="43"/>
  <c r="M104" i="43"/>
  <c r="M107" i="43"/>
  <c r="M105" i="43"/>
  <c r="L109" i="43"/>
  <c r="L102" i="43"/>
  <c r="L105" i="43"/>
  <c r="L104" i="43"/>
  <c r="L106" i="43"/>
  <c r="L107" i="43"/>
  <c r="L103" i="43"/>
  <c r="C104" i="43"/>
  <c r="C107" i="43"/>
  <c r="C103" i="43"/>
  <c r="C109" i="43"/>
  <c r="C106" i="43"/>
  <c r="C105" i="43"/>
  <c r="C102" i="43"/>
  <c r="F104" i="43"/>
  <c r="F102" i="43"/>
  <c r="F105" i="43"/>
  <c r="F107" i="43"/>
  <c r="F106" i="43"/>
  <c r="F103" i="43"/>
  <c r="F109" i="43"/>
  <c r="I109" i="43"/>
  <c r="I102" i="43"/>
  <c r="I103" i="43"/>
  <c r="I106" i="43"/>
  <c r="G105" i="43"/>
  <c r="G107" i="43"/>
  <c r="G104" i="43"/>
  <c r="G106" i="43"/>
  <c r="G109" i="43"/>
  <c r="G102" i="43"/>
  <c r="G103" i="43"/>
  <c r="K103" i="43"/>
  <c r="K102" i="43"/>
  <c r="K105" i="43"/>
  <c r="K107" i="43"/>
  <c r="K104" i="43"/>
  <c r="K106" i="43"/>
  <c r="K109" i="43"/>
  <c r="E102" i="43"/>
  <c r="E106" i="43"/>
  <c r="E103" i="43"/>
  <c r="E109" i="43"/>
  <c r="E104" i="43"/>
  <c r="E107" i="43"/>
  <c r="E105" i="43"/>
  <c r="H102" i="43"/>
  <c r="H103" i="43"/>
  <c r="H104" i="43"/>
  <c r="H107" i="43"/>
  <c r="H106" i="43"/>
  <c r="H105" i="43"/>
  <c r="H109" i="43"/>
  <c r="B115" i="43"/>
  <c r="D117" i="43"/>
  <c r="E117" i="43"/>
  <c r="F117" i="43"/>
  <c r="G117" i="43"/>
  <c r="H117" i="43"/>
  <c r="D116" i="43"/>
  <c r="E116" i="43"/>
  <c r="F116" i="43"/>
  <c r="G116" i="43"/>
  <c r="H116" i="43"/>
  <c r="G118" i="43"/>
  <c r="H118" i="43"/>
  <c r="B118" i="43"/>
  <c r="C118" i="43"/>
  <c r="I116" i="43"/>
  <c r="J116" i="43"/>
  <c r="K116" i="43"/>
  <c r="L116" i="43"/>
  <c r="M116" i="43"/>
  <c r="I115" i="43"/>
  <c r="J115" i="43"/>
  <c r="K115" i="43"/>
  <c r="L115" i="43"/>
  <c r="M115" i="43"/>
  <c r="I118" i="43"/>
  <c r="J118" i="43"/>
  <c r="K118" i="43"/>
  <c r="L118" i="43"/>
  <c r="M118" i="43"/>
  <c r="D118" i="43"/>
  <c r="E118" i="43"/>
  <c r="F118" i="43"/>
  <c r="B116" i="43"/>
  <c r="C116" i="43"/>
  <c r="I117" i="43"/>
  <c r="J117" i="43"/>
  <c r="K117" i="43"/>
  <c r="L117" i="43"/>
  <c r="M117" i="43"/>
  <c r="B117" i="43"/>
  <c r="C117" i="43"/>
  <c r="D115" i="43"/>
  <c r="E115" i="43"/>
  <c r="F115" i="43"/>
  <c r="G115" i="43"/>
  <c r="H115" i="43"/>
  <c r="D109" i="43"/>
  <c r="D104" i="43"/>
  <c r="D103" i="43"/>
  <c r="D107" i="43"/>
  <c r="J104" i="43"/>
  <c r="J105" i="43"/>
  <c r="J107" i="43"/>
  <c r="J102" i="43"/>
  <c r="J103" i="43"/>
  <c r="J106" i="43"/>
  <c r="J109" i="43"/>
  <c r="N102" i="43"/>
  <c r="N105" i="43"/>
  <c r="N104" i="43"/>
  <c r="N103" i="43"/>
  <c r="N106" i="43"/>
  <c r="N107" i="43"/>
  <c r="N109" i="43"/>
  <c r="H6" i="3"/>
  <c r="E6" i="3"/>
  <c r="E30" i="6"/>
  <c r="C47" i="11"/>
  <c r="D45" i="11"/>
  <c r="C29" i="11"/>
  <c r="D27" i="11"/>
  <c r="BL5" i="3"/>
  <c r="E31" i="6"/>
  <c r="K21" i="6"/>
  <c r="M21" i="6"/>
  <c r="I21" i="6"/>
  <c r="S21" i="6"/>
  <c r="K22" i="6"/>
  <c r="M22" i="6"/>
  <c r="I22" i="6"/>
  <c r="S22" i="6"/>
  <c r="K25" i="6"/>
  <c r="M25" i="6"/>
  <c r="I25" i="6"/>
  <c r="S25" i="6"/>
  <c r="K23" i="6"/>
  <c r="M23" i="6"/>
  <c r="I23" i="6"/>
  <c r="S23" i="6"/>
  <c r="K20" i="6"/>
  <c r="M20" i="6"/>
  <c r="I20" i="6"/>
  <c r="S20" i="6"/>
  <c r="K24" i="6"/>
  <c r="M24" i="6"/>
  <c r="I24" i="6"/>
  <c r="S24" i="6"/>
  <c r="K26" i="6"/>
  <c r="M26" i="6"/>
  <c r="I26" i="6"/>
  <c r="S26" i="6"/>
  <c r="D19" i="53"/>
  <c r="D126" i="9"/>
  <c r="E52" i="37"/>
  <c r="R49" i="33"/>
  <c r="E48" i="33"/>
  <c r="S7" i="21"/>
  <c r="AA7" i="21"/>
  <c r="R48" i="21"/>
  <c r="U7" i="34"/>
  <c r="G49" i="34"/>
  <c r="J7" i="21"/>
  <c r="H65" i="40"/>
  <c r="I63" i="40"/>
  <c r="K68" i="39"/>
  <c r="J70" i="39"/>
  <c r="E48" i="35"/>
  <c r="AB7" i="21"/>
  <c r="T48" i="21"/>
  <c r="G48" i="21"/>
  <c r="U7" i="21"/>
  <c r="E46" i="36"/>
  <c r="F46" i="36"/>
  <c r="G46" i="36"/>
  <c r="H46" i="36"/>
  <c r="I46" i="36"/>
  <c r="J46" i="36"/>
  <c r="K46" i="36"/>
  <c r="L46" i="36"/>
  <c r="M46" i="36"/>
  <c r="N46" i="36"/>
  <c r="O46" i="36"/>
  <c r="J7" i="36"/>
  <c r="F7" i="36"/>
  <c r="G53" i="33"/>
  <c r="H53" i="33"/>
  <c r="G52" i="33"/>
  <c r="H52" i="33"/>
  <c r="S7" i="34"/>
  <c r="C18" i="67"/>
  <c r="C15" i="67"/>
  <c r="J18" i="67"/>
  <c r="C32" i="67"/>
  <c r="Q52" i="67"/>
  <c r="F1" i="67"/>
  <c r="Q52" i="15"/>
  <c r="Q74" i="67"/>
  <c r="Q61" i="67"/>
  <c r="Q61" i="15"/>
  <c r="Q74" i="15"/>
  <c r="C49" i="67"/>
  <c r="Q73" i="67"/>
  <c r="Q60" i="67"/>
  <c r="F11" i="67"/>
  <c r="M11" i="67"/>
  <c r="J10" i="67"/>
  <c r="J5" i="67"/>
  <c r="Q73" i="15"/>
  <c r="Q60" i="15"/>
  <c r="P28" i="43"/>
  <c r="H6" i="1"/>
  <c r="M28" i="43"/>
  <c r="O28" i="43"/>
  <c r="E49" i="34"/>
  <c r="G6" i="1"/>
  <c r="G16" i="1"/>
  <c r="H16" i="1"/>
  <c r="AG6" i="1"/>
  <c r="F69" i="15"/>
  <c r="C115" i="43"/>
  <c r="D113" i="43"/>
  <c r="AQ6" i="1"/>
  <c r="AR6" i="1"/>
  <c r="S16" i="1"/>
  <c r="M14" i="1"/>
  <c r="C34" i="69"/>
  <c r="M19" i="6"/>
  <c r="K27" i="6"/>
  <c r="I14" i="74"/>
  <c r="B8" i="74"/>
  <c r="D127" i="9"/>
  <c r="D13" i="52"/>
  <c r="D12" i="52"/>
  <c r="D20" i="53"/>
  <c r="B40" i="72"/>
  <c r="B38" i="72"/>
  <c r="S7" i="36"/>
  <c r="AA7" i="36"/>
  <c r="R36" i="36"/>
  <c r="G52" i="21"/>
  <c r="H52" i="21"/>
  <c r="F48" i="35"/>
  <c r="L68" i="39"/>
  <c r="K70" i="39"/>
  <c r="J63" i="40"/>
  <c r="I65" i="40"/>
  <c r="W7" i="21"/>
  <c r="AC7" i="21"/>
  <c r="V48" i="21"/>
  <c r="I48" i="21"/>
  <c r="G53" i="34"/>
  <c r="H53" i="34"/>
  <c r="E48" i="21"/>
  <c r="R49" i="21"/>
  <c r="E53" i="33"/>
  <c r="F53" i="33"/>
  <c r="E52" i="33"/>
  <c r="F52" i="33"/>
  <c r="I53" i="33"/>
  <c r="J53" i="33"/>
  <c r="H7" i="36"/>
  <c r="AC7" i="36"/>
  <c r="V36" i="36"/>
  <c r="I36" i="36"/>
  <c r="W7" i="36"/>
  <c r="W7" i="34"/>
  <c r="I49" i="34"/>
  <c r="G54" i="34"/>
  <c r="H54" i="34"/>
  <c r="C48" i="33"/>
  <c r="C49" i="33"/>
  <c r="F52" i="37"/>
  <c r="G52" i="37"/>
  <c r="H52" i="37"/>
  <c r="I52" i="37"/>
  <c r="J52" i="37"/>
  <c r="K52" i="37"/>
  <c r="L52" i="37"/>
  <c r="M52" i="37"/>
  <c r="N52" i="37"/>
  <c r="O52" i="37"/>
  <c r="H7" i="37"/>
  <c r="C19" i="67"/>
  <c r="C20" i="67"/>
  <c r="C26" i="67"/>
  <c r="C53" i="67"/>
  <c r="C48" i="67"/>
  <c r="C10" i="67"/>
  <c r="C5" i="67"/>
  <c r="J24" i="67"/>
  <c r="J26" i="67"/>
  <c r="J29" i="67"/>
  <c r="F22" i="11"/>
  <c r="F24" i="67"/>
  <c r="C24" i="67"/>
  <c r="F25" i="12"/>
  <c r="F22" i="69"/>
  <c r="M27" i="15"/>
  <c r="F10" i="40"/>
  <c r="H10" i="39"/>
  <c r="H10" i="40"/>
  <c r="J10" i="40"/>
  <c r="F10" i="39"/>
  <c r="J10" i="39"/>
  <c r="C49" i="34"/>
  <c r="T13" i="43"/>
  <c r="V13" i="43"/>
  <c r="T15" i="43"/>
  <c r="V15" i="43"/>
  <c r="T12" i="43"/>
  <c r="V12" i="43"/>
  <c r="T8" i="43"/>
  <c r="V8" i="43"/>
  <c r="T16" i="43"/>
  <c r="V16" i="43"/>
  <c r="T10" i="43"/>
  <c r="V10" i="43"/>
  <c r="T9" i="43"/>
  <c r="V9" i="43"/>
  <c r="T11" i="43"/>
  <c r="V11" i="43"/>
  <c r="T14" i="43"/>
  <c r="V14" i="43"/>
  <c r="AY6" i="3"/>
  <c r="AY155" i="3"/>
  <c r="C38" i="69"/>
  <c r="C35" i="69"/>
  <c r="O14" i="1"/>
  <c r="M16" i="1"/>
  <c r="N16" i="1"/>
  <c r="T16" i="1"/>
  <c r="AY83" i="3"/>
  <c r="AY131" i="3"/>
  <c r="AY318" i="3"/>
  <c r="AY395" i="3"/>
  <c r="AY569" i="3"/>
  <c r="AY206" i="3"/>
  <c r="AY263" i="3"/>
  <c r="BJ6" i="3"/>
  <c r="AY274" i="3"/>
  <c r="AY457" i="3"/>
  <c r="AY546" i="3"/>
  <c r="AY37" i="3"/>
  <c r="AY345" i="3"/>
  <c r="AY423" i="3"/>
  <c r="BA6" i="3"/>
  <c r="AY264" i="3"/>
  <c r="AY517" i="3"/>
  <c r="AY119" i="3"/>
  <c r="AY448" i="3"/>
  <c r="AY586" i="3"/>
  <c r="AY90" i="3"/>
  <c r="AY387" i="3"/>
  <c r="AY425"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50" i="3"/>
  <c r="AY289" i="3"/>
  <c r="AY261" i="3"/>
  <c r="AY209" i="3"/>
  <c r="AY455" i="3"/>
  <c r="AY116"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D3" i="33"/>
  <c r="B2" i="33"/>
  <c r="B3" i="33"/>
  <c r="E6" i="6"/>
  <c r="D37" i="11"/>
  <c r="C37" i="11"/>
  <c r="D3" i="21"/>
  <c r="D19" i="11"/>
  <c r="C19" i="11"/>
  <c r="C17" i="4"/>
  <c r="B4" i="52"/>
  <c r="B43" i="72"/>
  <c r="L18" i="9"/>
  <c r="D3" i="37"/>
  <c r="M18" i="9"/>
  <c r="B118" i="9"/>
  <c r="B14" i="74"/>
  <c r="B1" i="74"/>
  <c r="C7" i="74"/>
  <c r="D14" i="12"/>
  <c r="I19" i="6"/>
  <c r="M27" i="6"/>
  <c r="C8" i="74"/>
  <c r="AB7" i="37"/>
  <c r="T42" i="37"/>
  <c r="G42" i="37"/>
  <c r="U7" i="37"/>
  <c r="AB7" i="36"/>
  <c r="T36" i="36"/>
  <c r="G36" i="36"/>
  <c r="U7" i="36"/>
  <c r="C48" i="21"/>
  <c r="C49" i="21"/>
  <c r="I52" i="21"/>
  <c r="J52" i="21"/>
  <c r="I53" i="21"/>
  <c r="J53" i="21"/>
  <c r="G53" i="21"/>
  <c r="H53" i="21"/>
  <c r="R37" i="36"/>
  <c r="E36" i="36"/>
  <c r="E54" i="34"/>
  <c r="F54" i="34"/>
  <c r="E53" i="34"/>
  <c r="F53" i="34"/>
  <c r="J7" i="37"/>
  <c r="F7" i="37"/>
  <c r="I53" i="34"/>
  <c r="J53" i="34"/>
  <c r="I54" i="34"/>
  <c r="J54" i="34"/>
  <c r="I40" i="36"/>
  <c r="J40" i="36"/>
  <c r="I41" i="36"/>
  <c r="J41" i="36"/>
  <c r="E52" i="21"/>
  <c r="F52" i="21"/>
  <c r="E53" i="21"/>
  <c r="F53" i="21"/>
  <c r="K63" i="40"/>
  <c r="J65" i="40"/>
  <c r="M68" i="39"/>
  <c r="L70" i="39"/>
  <c r="G48" i="35"/>
  <c r="C60" i="67"/>
  <c r="C66" i="67"/>
  <c r="C44" i="69"/>
  <c r="D41" i="69"/>
  <c r="C26" i="69"/>
  <c r="D22" i="69"/>
  <c r="C26" i="12"/>
  <c r="D25" i="12"/>
  <c r="C38" i="67"/>
  <c r="C23" i="67"/>
  <c r="C29" i="67"/>
  <c r="C44" i="11"/>
  <c r="D41" i="11"/>
  <c r="C26" i="11"/>
  <c r="D22" i="11"/>
  <c r="C23" i="11"/>
  <c r="W10" i="39"/>
  <c r="AC10" i="39"/>
  <c r="W10" i="40"/>
  <c r="AC10" i="40"/>
  <c r="AB10" i="39"/>
  <c r="U10" i="39"/>
  <c r="S10" i="39"/>
  <c r="AA10" i="39"/>
  <c r="U10" i="40"/>
  <c r="AB10" i="40"/>
  <c r="AA10" i="40"/>
  <c r="S10" i="40"/>
  <c r="C49" i="15"/>
  <c r="C53" i="15"/>
  <c r="C48" i="15"/>
  <c r="B2" i="34"/>
  <c r="B3" i="34"/>
  <c r="G38" i="43"/>
  <c r="I38" i="43"/>
  <c r="G35" i="43"/>
  <c r="I35" i="43"/>
  <c r="G33" i="43"/>
  <c r="I33" i="43"/>
  <c r="G39" i="43"/>
  <c r="I39" i="43"/>
  <c r="C30" i="43"/>
  <c r="E30" i="43"/>
  <c r="G36" i="43"/>
  <c r="I36" i="43"/>
  <c r="G37" i="43"/>
  <c r="I37" i="43"/>
  <c r="G34" i="43"/>
  <c r="I34" i="43"/>
  <c r="AY212" i="3"/>
  <c r="AY497" i="3"/>
  <c r="AY319" i="3"/>
  <c r="AY284" i="3"/>
  <c r="AY183" i="3"/>
  <c r="AY160" i="3"/>
  <c r="AY103" i="3"/>
  <c r="AY413" i="3"/>
  <c r="AY339" i="3"/>
  <c r="AY288" i="3"/>
  <c r="AY22" i="3"/>
  <c r="AY528" i="3"/>
  <c r="AY482" i="3"/>
  <c r="AY216" i="3"/>
  <c r="AY140" i="3"/>
  <c r="AY110" i="3"/>
  <c r="AY537" i="3"/>
  <c r="AY399" i="3"/>
  <c r="AY461" i="3"/>
  <c r="AY321" i="3"/>
  <c r="AY235" i="3"/>
  <c r="AY205" i="3"/>
  <c r="AY577" i="3"/>
  <c r="AY518" i="3"/>
  <c r="AY525" i="3"/>
  <c r="AY454" i="3"/>
  <c r="AY340" i="3"/>
  <c r="AY226" i="3"/>
  <c r="AY150" i="3"/>
  <c r="AY93" i="3"/>
  <c r="AY389" i="3"/>
  <c r="AY239" i="3"/>
  <c r="AY126" i="3"/>
  <c r="AY182" i="3"/>
  <c r="AY53" i="3"/>
  <c r="BO6" i="3"/>
  <c r="AY404" i="3"/>
  <c r="AY355" i="3"/>
  <c r="AY199" i="3"/>
  <c r="AY486" i="3"/>
  <c r="AY75" i="3"/>
  <c r="AY18" i="3"/>
  <c r="BD6" i="3"/>
  <c r="AY367" i="3"/>
  <c r="AY70" i="3"/>
  <c r="AY314" i="3"/>
  <c r="AY187" i="3"/>
  <c r="AY502" i="3"/>
  <c r="AY484" i="3"/>
  <c r="AY282" i="3"/>
  <c r="AY514" i="3"/>
  <c r="AY581" i="3"/>
  <c r="AY317" i="3"/>
  <c r="AY197" i="3"/>
  <c r="AY392" i="3"/>
  <c r="AY149" i="3"/>
  <c r="AY77" i="3"/>
  <c r="AY452" i="3"/>
  <c r="AY106" i="3"/>
  <c r="AY268" i="3"/>
  <c r="AY87"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416" i="3"/>
  <c r="AY550" i="3"/>
  <c r="BC6" i="3"/>
  <c r="AY504" i="3"/>
  <c r="AY498" i="3"/>
  <c r="AY82" i="3"/>
  <c r="AY191" i="3"/>
  <c r="AY132" i="3"/>
  <c r="AY31" i="3"/>
  <c r="AY292" i="3"/>
  <c r="AY147" i="3"/>
  <c r="AY220" i="3"/>
  <c r="AY350" i="3"/>
  <c r="AY23" i="3"/>
  <c r="AY59" i="3"/>
  <c r="AY58" i="3"/>
  <c r="AY371" i="3"/>
  <c r="AY428" i="3"/>
  <c r="AY245" i="3"/>
  <c r="AY342" i="3"/>
  <c r="AY513" i="3"/>
  <c r="AY553" i="3"/>
  <c r="AY60" i="3"/>
  <c r="AY170" i="3"/>
  <c r="AY299" i="3"/>
  <c r="AY246" i="3"/>
  <c r="AY357" i="3"/>
  <c r="AY41" i="3"/>
  <c r="AY114" i="3"/>
  <c r="AY377" i="3"/>
  <c r="AY491" i="3"/>
  <c r="AY414" i="3"/>
  <c r="AY561" i="3"/>
  <c r="AY16" i="3"/>
  <c r="AY96" i="3"/>
  <c r="AY169" i="3"/>
  <c r="AY223" i="3"/>
  <c r="AY328" i="3"/>
  <c r="AY442" i="3"/>
  <c r="AY499" i="3"/>
  <c r="BR6" i="3"/>
  <c r="AY78" i="3"/>
  <c r="AY127" i="3"/>
  <c r="AY376" i="3"/>
  <c r="AY424" i="3"/>
  <c r="AY587" i="3"/>
  <c r="AY179" i="3"/>
  <c r="AY256" i="3"/>
  <c r="AY306" i="3"/>
  <c r="AY429" i="3"/>
  <c r="AY511"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L16" i="1"/>
  <c r="C34" i="11"/>
  <c r="F50" i="11"/>
  <c r="F50" i="69"/>
  <c r="F50" i="68"/>
  <c r="P14" i="1"/>
  <c r="P16" i="1"/>
  <c r="C11" i="12"/>
  <c r="O16" i="1"/>
  <c r="B2" i="21"/>
  <c r="B3" i="21"/>
  <c r="S19" i="6"/>
  <c r="S27" i="6"/>
  <c r="I27" i="6"/>
  <c r="C20" i="11"/>
  <c r="C25" i="11"/>
  <c r="C24" i="11"/>
  <c r="D17" i="12"/>
  <c r="C17" i="12"/>
  <c r="C14" i="12"/>
  <c r="D20" i="12"/>
  <c r="C20" i="12"/>
  <c r="C18" i="12"/>
  <c r="D10" i="11"/>
  <c r="C10" i="11"/>
  <c r="D10" i="69"/>
  <c r="M19" i="9"/>
  <c r="C118" i="9"/>
  <c r="C14" i="74"/>
  <c r="B2" i="74"/>
  <c r="D19" i="6"/>
  <c r="D26" i="6"/>
  <c r="C18" i="4"/>
  <c r="D25" i="6"/>
  <c r="D22" i="6"/>
  <c r="D21" i="6"/>
  <c r="D24" i="6"/>
  <c r="D20" i="6"/>
  <c r="D6" i="6"/>
  <c r="D9" i="6"/>
  <c r="D10" i="6"/>
  <c r="L19" i="9"/>
  <c r="D29" i="6"/>
  <c r="H25" i="6"/>
  <c r="H22" i="6"/>
  <c r="H21" i="6"/>
  <c r="H24" i="6"/>
  <c r="H20" i="6"/>
  <c r="D15" i="6"/>
  <c r="D8" i="6"/>
  <c r="D23" i="6"/>
  <c r="D14" i="6"/>
  <c r="D5" i="6"/>
  <c r="D12" i="6"/>
  <c r="D11" i="6"/>
  <c r="D13" i="6"/>
  <c r="D28" i="6"/>
  <c r="D30" i="6"/>
  <c r="E61" i="40"/>
  <c r="H23" i="6"/>
  <c r="H26" i="6"/>
  <c r="H19" i="6"/>
  <c r="H48" i="35"/>
  <c r="N68" i="39"/>
  <c r="M70" i="39"/>
  <c r="L63" i="40"/>
  <c r="K65" i="40"/>
  <c r="AC7" i="37"/>
  <c r="V42" i="37"/>
  <c r="I42" i="37"/>
  <c r="W7" i="37"/>
  <c r="C37" i="36"/>
  <c r="B2" i="36"/>
  <c r="B3" i="36"/>
  <c r="C36" i="36"/>
  <c r="AA7" i="37"/>
  <c r="R42" i="37"/>
  <c r="S7" i="37"/>
  <c r="E40" i="36"/>
  <c r="F40" i="36"/>
  <c r="E41" i="36"/>
  <c r="F41" i="36"/>
  <c r="G40" i="36"/>
  <c r="H40" i="36"/>
  <c r="G41" i="36"/>
  <c r="H41" i="36"/>
  <c r="G46" i="37"/>
  <c r="H46" i="37"/>
  <c r="G47" i="37"/>
  <c r="H47" i="37"/>
  <c r="C57" i="67"/>
  <c r="C36" i="67"/>
  <c r="J14" i="67"/>
  <c r="Q49" i="67"/>
  <c r="J19" i="67"/>
  <c r="J17" i="67"/>
  <c r="C33" i="67"/>
  <c r="C31" i="67"/>
  <c r="C13" i="67"/>
  <c r="J59" i="67"/>
  <c r="J60" i="67"/>
  <c r="C57" i="15"/>
  <c r="Q49" i="15"/>
  <c r="J14" i="15"/>
  <c r="J59" i="15"/>
  <c r="C60" i="15"/>
  <c r="C66" i="15"/>
  <c r="C27" i="43"/>
  <c r="C22" i="11"/>
  <c r="H27" i="6"/>
  <c r="D16" i="6"/>
  <c r="C15" i="12"/>
  <c r="C12" i="12"/>
  <c r="C38" i="11"/>
  <c r="C35" i="11"/>
  <c r="R23" i="6"/>
  <c r="R20" i="6"/>
  <c r="R21" i="6"/>
  <c r="R25" i="6"/>
  <c r="R26" i="6"/>
  <c r="D7" i="74"/>
  <c r="D8" i="74"/>
  <c r="C28" i="11"/>
  <c r="C27" i="11"/>
  <c r="R24" i="6"/>
  <c r="R22" i="6"/>
  <c r="B7" i="72"/>
  <c r="C4" i="52"/>
  <c r="B45" i="72"/>
  <c r="B9" i="72"/>
  <c r="D27" i="6"/>
  <c r="D31" i="6"/>
  <c r="R19" i="6"/>
  <c r="C10" i="69"/>
  <c r="C8" i="69"/>
  <c r="C5" i="69"/>
  <c r="D19" i="69"/>
  <c r="R43" i="37"/>
  <c r="E42" i="37"/>
  <c r="I47" i="37"/>
  <c r="J47" i="37"/>
  <c r="I46" i="37"/>
  <c r="J46" i="37"/>
  <c r="M63" i="40"/>
  <c r="L65" i="40"/>
  <c r="O68" i="39"/>
  <c r="O70" i="39"/>
  <c r="N70" i="39"/>
  <c r="J7" i="39"/>
  <c r="I48" i="35"/>
  <c r="J48" i="35"/>
  <c r="K48" i="35"/>
  <c r="L48" i="35"/>
  <c r="M48" i="35"/>
  <c r="N48" i="35"/>
  <c r="O48" i="35"/>
  <c r="F7" i="35"/>
  <c r="J7" i="35"/>
  <c r="C64" i="15"/>
  <c r="C61" i="15"/>
  <c r="Q48" i="67"/>
  <c r="L46" i="67"/>
  <c r="Q48" i="15"/>
  <c r="J22" i="15"/>
  <c r="J13" i="15"/>
  <c r="J23" i="15"/>
  <c r="C75" i="15"/>
  <c r="Q70" i="15"/>
  <c r="C56" i="15"/>
  <c r="C65" i="15"/>
  <c r="C37" i="67"/>
  <c r="C30" i="67"/>
  <c r="C39" i="67"/>
  <c r="C75" i="67"/>
  <c r="Q70" i="67"/>
  <c r="C56" i="67"/>
  <c r="C65" i="67"/>
  <c r="J22" i="67"/>
  <c r="J13" i="67"/>
  <c r="J23" i="67"/>
  <c r="C61" i="67"/>
  <c r="C59" i="67"/>
  <c r="C64" i="67"/>
  <c r="B6" i="76"/>
  <c r="J24" i="15"/>
  <c r="J18" i="15"/>
  <c r="J19" i="15"/>
  <c r="C31" i="11"/>
  <c r="B2" i="76"/>
  <c r="B3" i="43"/>
  <c r="R27" i="6"/>
  <c r="C33" i="11"/>
  <c r="C39" i="11"/>
  <c r="C46" i="11"/>
  <c r="C45" i="11"/>
  <c r="C16" i="12"/>
  <c r="C21" i="12"/>
  <c r="C22" i="12"/>
  <c r="C30" i="12"/>
  <c r="C28" i="12"/>
  <c r="C42" i="11"/>
  <c r="C23" i="69"/>
  <c r="I6" i="6"/>
  <c r="I5" i="6"/>
  <c r="C19" i="69"/>
  <c r="C24" i="69"/>
  <c r="D37" i="69"/>
  <c r="C37" i="69"/>
  <c r="C33" i="69"/>
  <c r="S7" i="35"/>
  <c r="AA7" i="35"/>
  <c r="R38" i="35"/>
  <c r="AC7" i="39"/>
  <c r="V47" i="39"/>
  <c r="I47" i="39"/>
  <c r="W7" i="39"/>
  <c r="AC7" i="35"/>
  <c r="V38" i="35"/>
  <c r="I38" i="35"/>
  <c r="W7" i="35"/>
  <c r="N63" i="40"/>
  <c r="M65" i="40"/>
  <c r="C43" i="37"/>
  <c r="B2" i="37"/>
  <c r="B3" i="37"/>
  <c r="C42" i="37"/>
  <c r="H7" i="35"/>
  <c r="H7" i="39"/>
  <c r="F7" i="39"/>
  <c r="E47" i="37"/>
  <c r="F47" i="37"/>
  <c r="E46" i="37"/>
  <c r="F46" i="37"/>
  <c r="C58" i="67"/>
  <c r="C67" i="67"/>
  <c r="C68" i="67"/>
  <c r="C71" i="67"/>
  <c r="J16" i="67"/>
  <c r="J25" i="67"/>
  <c r="Q69" i="67"/>
  <c r="Q68" i="67"/>
  <c r="C40" i="67"/>
  <c r="C80" i="67"/>
  <c r="C79" i="67"/>
  <c r="M21" i="15"/>
  <c r="L51" i="67"/>
  <c r="J20" i="15"/>
  <c r="J17" i="15"/>
  <c r="J16" i="15"/>
  <c r="J25" i="15"/>
  <c r="F63" i="15"/>
  <c r="C62" i="15"/>
  <c r="C59" i="15"/>
  <c r="C58" i="15"/>
  <c r="C67" i="15"/>
  <c r="C68" i="15"/>
  <c r="C71" i="15"/>
  <c r="R16" i="1"/>
  <c r="C43" i="11"/>
  <c r="C41" i="11"/>
  <c r="C49" i="11"/>
  <c r="C51" i="11"/>
  <c r="C20" i="69"/>
  <c r="C27" i="12"/>
  <c r="C25" i="12"/>
  <c r="C32" i="12"/>
  <c r="B2" i="12"/>
  <c r="B3" i="12"/>
  <c r="C39" i="69"/>
  <c r="C42" i="69"/>
  <c r="AB7" i="39"/>
  <c r="T47" i="39"/>
  <c r="G47" i="39"/>
  <c r="U7" i="39"/>
  <c r="E38" i="35"/>
  <c r="R39" i="35"/>
  <c r="C45" i="67"/>
  <c r="C46" i="67"/>
  <c r="S7" i="39"/>
  <c r="AA7" i="39"/>
  <c r="R47" i="39"/>
  <c r="U7" i="35"/>
  <c r="AB7" i="35"/>
  <c r="T38" i="35"/>
  <c r="G38" i="35"/>
  <c r="O63" i="40"/>
  <c r="O65" i="40"/>
  <c r="N65" i="40"/>
  <c r="J7" i="40"/>
  <c r="I42" i="35"/>
  <c r="J42" i="35"/>
  <c r="I43" i="35"/>
  <c r="J43" i="35"/>
  <c r="I51" i="39"/>
  <c r="J51" i="39"/>
  <c r="Q67" i="67"/>
  <c r="L57" i="67"/>
  <c r="L60" i="67"/>
  <c r="Q56" i="67"/>
  <c r="Q47" i="67"/>
  <c r="Q53" i="67"/>
  <c r="Q65" i="67"/>
  <c r="D2" i="67"/>
  <c r="C43" i="67"/>
  <c r="C83" i="67"/>
  <c r="C82" i="67"/>
  <c r="L51" i="15"/>
  <c r="Q67" i="15"/>
  <c r="L57" i="15"/>
  <c r="L60" i="15"/>
  <c r="C80" i="15"/>
  <c r="C79" i="15"/>
  <c r="Q69" i="15"/>
  <c r="Q68" i="15"/>
  <c r="C52" i="11"/>
  <c r="B2" i="11"/>
  <c r="B3" i="11"/>
  <c r="C28" i="69"/>
  <c r="C27" i="69"/>
  <c r="C25" i="69"/>
  <c r="C22" i="69"/>
  <c r="C46" i="69"/>
  <c r="C45" i="69"/>
  <c r="C43" i="69"/>
  <c r="C41" i="69"/>
  <c r="AC7" i="40"/>
  <c r="V42" i="40"/>
  <c r="I42" i="40"/>
  <c r="W7" i="40"/>
  <c r="C38" i="35"/>
  <c r="C39" i="35"/>
  <c r="B2" i="35"/>
  <c r="B3" i="35"/>
  <c r="H7" i="40"/>
  <c r="F7" i="40"/>
  <c r="G42" i="35"/>
  <c r="H42" i="35"/>
  <c r="G43" i="35"/>
  <c r="H43" i="35"/>
  <c r="R48" i="39"/>
  <c r="E47" i="39"/>
  <c r="E43" i="35"/>
  <c r="F43" i="35"/>
  <c r="E42" i="35"/>
  <c r="F42" i="35"/>
  <c r="G51" i="39"/>
  <c r="H51" i="39"/>
  <c r="G52" i="39"/>
  <c r="H52" i="39"/>
  <c r="B2" i="67"/>
  <c r="B3" i="67"/>
  <c r="Q57" i="67"/>
  <c r="Q62" i="67"/>
  <c r="Q66" i="67"/>
  <c r="Q75" i="67"/>
  <c r="Q57" i="15"/>
  <c r="Q66" i="15"/>
  <c r="Q56" i="15"/>
  <c r="Q62" i="15"/>
  <c r="Q65" i="15"/>
  <c r="Q75" i="15"/>
  <c r="C43" i="15"/>
  <c r="C83" i="15"/>
  <c r="C82" i="15"/>
  <c r="C46" i="15"/>
  <c r="Q47" i="15"/>
  <c r="Q53" i="15"/>
  <c r="C31" i="69"/>
  <c r="C49" i="69"/>
  <c r="C51" i="69"/>
  <c r="C56" i="11"/>
  <c r="C57" i="11"/>
  <c r="E52" i="39"/>
  <c r="F52" i="39"/>
  <c r="E51" i="39"/>
  <c r="F51" i="39"/>
  <c r="I52" i="39"/>
  <c r="J52" i="39"/>
  <c r="AA7" i="40"/>
  <c r="R42" i="40"/>
  <c r="S7" i="40"/>
  <c r="C48" i="39"/>
  <c r="C47" i="39"/>
  <c r="U7" i="40"/>
  <c r="AB7" i="40"/>
  <c r="T42" i="40"/>
  <c r="G42" i="40"/>
  <c r="I46" i="40"/>
  <c r="J46" i="40"/>
  <c r="E2" i="68"/>
  <c r="AO6" i="1"/>
  <c r="D21" i="9"/>
  <c r="D102" i="9"/>
  <c r="B6" i="70"/>
  <c r="B2" i="70"/>
  <c r="B3" i="70"/>
  <c r="B3" i="15"/>
  <c r="C52" i="69"/>
  <c r="B2" i="69"/>
  <c r="B3" i="69"/>
  <c r="C56" i="68"/>
  <c r="B61" i="39"/>
  <c r="F61" i="39"/>
  <c r="B56" i="39"/>
  <c r="F56" i="39"/>
  <c r="F66" i="39"/>
  <c r="B2" i="39"/>
  <c r="B3" i="39"/>
  <c r="B59" i="39"/>
  <c r="F59" i="39"/>
  <c r="B65" i="39"/>
  <c r="F65" i="39"/>
  <c r="B63" i="39"/>
  <c r="F63" i="39"/>
  <c r="B60" i="39"/>
  <c r="F60" i="39"/>
  <c r="B58" i="39"/>
  <c r="F58" i="39"/>
  <c r="B64" i="39"/>
  <c r="F64" i="39"/>
  <c r="B57" i="39"/>
  <c r="F57" i="39"/>
  <c r="B62" i="39"/>
  <c r="F62" i="39"/>
  <c r="E42" i="40"/>
  <c r="R43" i="40"/>
  <c r="G47" i="40"/>
  <c r="H47" i="40"/>
  <c r="G46" i="40"/>
  <c r="H46" i="40"/>
  <c r="D20" i="9"/>
  <c r="C20" i="9"/>
  <c r="G21" i="9"/>
  <c r="C102" i="9"/>
  <c r="D22" i="9"/>
  <c r="C21" i="9"/>
  <c r="D103" i="9"/>
  <c r="C57" i="69"/>
  <c r="C56" i="69"/>
  <c r="G20" i="9"/>
  <c r="C103" i="9"/>
  <c r="E47" i="40"/>
  <c r="F47" i="40"/>
  <c r="E46" i="40"/>
  <c r="F46" i="40"/>
  <c r="I47" i="40"/>
  <c r="J47" i="40"/>
  <c r="C42" i="40"/>
  <c r="C43" i="40"/>
  <c r="D34" i="9"/>
  <c r="B52" i="40"/>
  <c r="F52" i="40"/>
  <c r="B55" i="40"/>
  <c r="F55" i="40"/>
  <c r="B57" i="40"/>
  <c r="F57" i="40"/>
  <c r="B56" i="40"/>
  <c r="F56" i="40"/>
  <c r="B53" i="40"/>
  <c r="F53" i="40"/>
  <c r="B58" i="40"/>
  <c r="F58" i="40"/>
  <c r="B51" i="40"/>
  <c r="F51" i="40"/>
  <c r="B60" i="40"/>
  <c r="F60" i="40"/>
  <c r="B59" i="40"/>
  <c r="F59" i="40"/>
  <c r="B54" i="40"/>
  <c r="F54" i="40"/>
  <c r="F61" i="40"/>
  <c r="B2" i="40"/>
  <c r="B3" i="40"/>
  <c r="B47" i="72"/>
  <c r="B51" i="72"/>
  <c r="B53" i="72"/>
  <c r="B52" i="72"/>
  <c r="D14" i="74"/>
  <c r="C104" i="9"/>
  <c r="H119" i="9"/>
  <c r="H5" i="52"/>
  <c r="H4" i="52"/>
  <c r="B49" i="72"/>
  <c r="I4" i="52"/>
  <c r="C105" i="9"/>
  <c r="B21" i="72"/>
  <c r="B48" i="72"/>
  <c r="D45" i="9"/>
  <c r="M48" i="9"/>
  <c r="B5" i="74"/>
  <c r="E14" i="74"/>
  <c r="F14" i="74"/>
  <c r="C5" i="74"/>
  <c r="D5" i="74"/>
  <c r="B22" i="72"/>
  <c r="B20" i="72"/>
  <c r="M49" i="9"/>
  <c r="D122" i="9"/>
  <c r="B31" i="72"/>
  <c r="D55" i="9"/>
  <c r="M53" i="9"/>
  <c r="C64" i="9"/>
  <c r="C63" i="9"/>
  <c r="C67" i="9"/>
  <c r="C68" i="9"/>
  <c r="D54" i="9"/>
  <c r="C85" i="9"/>
  <c r="C93" i="9"/>
  <c r="C86" i="9"/>
  <c r="D53" i="9"/>
  <c r="C78" i="9"/>
  <c r="C73" i="9"/>
  <c r="C72" i="9"/>
  <c r="D52" i="9"/>
  <c r="C79" i="9"/>
  <c r="C80" i="9"/>
  <c r="E80" i="9"/>
  <c r="E81" i="9"/>
  <c r="C95" i="9"/>
  <c r="C96" i="9"/>
  <c r="E96" i="9"/>
  <c r="E97" i="9"/>
  <c r="L65" i="9"/>
  <c r="M65" i="9"/>
  <c r="L64" i="9"/>
  <c r="M64" i="9"/>
  <c r="L67" i="9"/>
  <c r="M67" i="9"/>
  <c r="L68" i="9"/>
  <c r="M68" i="9"/>
  <c r="L66" i="9"/>
  <c r="M66" i="9"/>
  <c r="L63" i="9"/>
  <c r="M63" i="9"/>
  <c r="B30" i="72"/>
  <c r="B32" i="72"/>
  <c r="D123" i="9"/>
  <c r="D9" i="52"/>
  <c r="G14" i="74"/>
  <c r="B6" i="74"/>
  <c r="D8" i="52"/>
  <c r="M69" i="9"/>
  <c r="N69" i="9"/>
  <c r="C97" i="9"/>
  <c r="D58" i="9"/>
  <c r="D56" i="9"/>
  <c r="M54" i="9"/>
  <c r="N57" i="9"/>
  <c r="N59" i="9"/>
  <c r="N60" i="9"/>
  <c r="C81" i="9"/>
  <c r="D6" i="74"/>
  <c r="C6" i="74"/>
  <c r="N61" i="9"/>
  <c r="N58" i="9"/>
  <c r="P57" i="9"/>
  <c r="C23" i="43"/>
  <c r="E6" i="76"/>
  <c r="E2" i="76"/>
  <c r="B3" i="76"/>
  <c r="S6" i="43"/>
  <c r="T6" i="43"/>
  <c r="V6" i="43"/>
  <c r="S5" i="43"/>
  <c r="T5" i="43"/>
  <c r="V5" i="43"/>
  <c r="S3" i="43"/>
  <c r="T3" i="43"/>
  <c r="V3" i="43"/>
  <c r="S7" i="43"/>
  <c r="T7" i="43"/>
  <c r="V7" i="43"/>
  <c r="S2" i="43"/>
  <c r="T2" i="43"/>
  <c r="V2" i="43"/>
  <c r="S4" i="43"/>
  <c r="T4" i="43"/>
  <c r="V4"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<sst xmlns="http://schemas.openxmlformats.org/spreadsheetml/2006/main" count="7768" uniqueCount="3151">
  <si>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</si>
  <si>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</si>
  <si>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</si>
  <si>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</si>
  <si>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</si>
  <si>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</si>
  <si>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</si>
  <si>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</si>
  <si>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</si>
  <si>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</si>
  <si>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</si>
  <si>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</si>
  <si>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</si>
  <si>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</si>
  <si>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</si>
  <si>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</si>
  <si>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</si>
  <si>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</si>
  <si>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</si>
  <si>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</si>
  <si>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</si>
  <si>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</si>
  <si>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</si>
  <si>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</si>
  <si>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</si>
  <si>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</si>
  <si>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</si>
  <si>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</si>
  <si>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</si>
  <si>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</si>
  <si>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</si>
  <si>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</si>
  <si>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</si>
  <si>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</si>
  <si>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</si>
  <si>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</si>
  <si>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</si>
  <si>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</si>
  <si>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</si>
  <si>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</si>
  <si>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</si>
  <si>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</si>
  <si>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</si>
  <si>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</si>
  <si>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</si>
  <si>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</si>
  <si>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</si>
  <si>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</si>
  <si>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</si>
  <si>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</si>
  <si>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</si>
  <si>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</si>
  <si>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</si>
  <si>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</si>
  <si>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</si>
  <si>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</si>
  <si>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</si>
  <si>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</si>
  <si>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</si>
  <si>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</si>
  <si>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</si>
  <si>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</si>
  <si>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</si>
  <si>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</si>
  <si>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</si>
  <si>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</si>
  <si>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</si>
  <si>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</si>
  <si>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</si>
  <si>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</si>
  <si>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</si>
  <si>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</si>
  <si>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</si>
  <si>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</si>
  <si>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</si>
  <si>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</si>
  <si>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</si>
  <si>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</si>
  <si>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</si>
  <si>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</si>
  <si>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</si>
  <si>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</si>
  <si>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</si>
  <si>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</si>
  <si>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</si>
  <si>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</si>
  <si>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</si>
  <si>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</si>
  <si>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</si>
  <si>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</si>
  <si>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</si>
  <si>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</si>
  <si>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</si>
  <si>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</si>
  <si>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</si>
  <si>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</si>
  <si>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</si>
  <si>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</si>
  <si>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</si>
  <si>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</si>
  <si>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</si>
  <si>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</si>
  <si>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</si>
  <si>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</si>
  <si>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</si>
  <si>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</si>
  <si>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</si>
  <si>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</si>
  <si>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</si>
  <si>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</si>
  <si>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</si>
  <si>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</si>
  <si>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</si>
  <si>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</si>
  <si>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</si>
  <si>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</si>
  <si>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</si>
  <si>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</si>
  <si>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</si>
  <si>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</si>
  <si>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</si>
  <si>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</si>
  <si>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</si>
  <si>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</si>
  <si>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</si>
  <si>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</si>
  <si>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</si>
  <si>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</si>
  <si>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</si>
  <si>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</si>
  <si>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</si>
  <si>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</si>
  <si>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</si>
  <si>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</si>
  <si>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</si>
  <si>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</si>
  <si>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</si>
  <si>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</si>
  <si>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</si>
  <si>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</si>
  <si>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</si>
  <si>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</si>
  <si>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</si>
  <si>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</si>
  <si>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</si>
  <si>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</si>
  <si>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</si>
  <si>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</si>
  <si>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</si>
  <si>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</si>
  <si>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</si>
  <si>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</si>
  <si>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</si>
  <si>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</si>
  <si>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</si>
  <si>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</si>
  <si>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</si>
  <si>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</si>
  <si>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</si>
  <si>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</si>
  <si>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</si>
  <si>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</si>
  <si>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</si>
  <si>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</si>
  <si>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</si>
  <si>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</si>
  <si>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</si>
  <si>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</si>
  <si>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</si>
  <si>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</si>
  <si>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</si>
  <si>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</si>
  <si>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</si>
  <si>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</si>
  <si>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</si>
  <si>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</si>
  <si>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</si>
  <si>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</si>
  <si>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</si>
  <si>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</si>
  <si>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</si>
  <si>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</si>
  <si>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</si>
  <si>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</si>
  <si>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</si>
  <si>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</si>
  <si>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</si>
  <si>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</si>
  <si>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</si>
  <si>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</si>
  <si>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</si>
  <si>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</si>
  <si>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</si>
  <si>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</si>
  <si>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</si>
  <si>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</si>
  <si>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</si>
  <si>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</si>
  <si>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</si>
  <si>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</si>
  <si>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</si>
  <si>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</si>
  <si>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</si>
  <si>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</si>
  <si>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</si>
  <si>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</si>
  <si>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</si>
  <si>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</si>
  <si>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</si>
  <si>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</si>
  <si>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</si>
  <si>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</si>
  <si>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</si>
  <si>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</si>
  <si>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</si>
  <si>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</si>
  <si>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</si>
  <si>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</si>
  <si>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</si>
  <si>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</si>
  <si>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</si>
  <si>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</si>
  <si>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</si>
  <si>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</si>
  <si>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</si>
  <si>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</si>
  <si>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</si>
  <si>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</si>
  <si>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</si>
  <si>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</si>
  <si>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</si>
  <si>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</si>
  <si>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</si>
  <si>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</si>
  <si>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</si>
  <si>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</si>
  <si>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</si>
  <si>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</si>
  <si>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</si>
  <si>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</si>
  <si>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</si>
  <si>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</si>
  <si>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</si>
  <si>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</si>
  <si>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</si>
  <si>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</si>
  <si>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</si>
  <si>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</si>
  <si>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</si>
  <si>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</si>
  <si>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</si>
  <si>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</si>
  <si>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</si>
  <si>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</si>
  <si>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</si>
  <si>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</si>
  <si>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</si>
  <si>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</si>
  <si>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</si>
  <si>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</si>
  <si>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</si>
  <si>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</si>
  <si>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</si>
  <si>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</si>
  <si>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</si>
  <si>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</si>
  <si>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</si>
  <si>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</si>
  <si>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</si>
  <si>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</si>
  <si>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</si>
  <si>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</si>
  <si>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</si>
  <si>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</si>
  <si>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</si>
  <si>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</si>
  <si>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</si>
  <si>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</si>
  <si>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</si>
  <si>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</si>
  <si>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</si>
  <si>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</si>
  <si>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</si>
  <si>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</si>
  <si>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</si>
  <si>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</si>
  <si>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</si>
  <si>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</si>
  <si>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</si>
  <si>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</si>
  <si>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</si>
  <si>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</si>
  <si>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</si>
  <si>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</si>
  <si>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</si>
  <si>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</si>
  <si>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</si>
  <si>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</si>
  <si>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</si>
  <si>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</si>
  <si>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</si>
  <si>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</si>
  <si>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</si>
  <si>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</si>
  <si>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</si>
  <si>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</si>
  <si>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</si>
  <si>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</si>
  <si>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</si>
  <si>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</si>
  <si>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</si>
  <si>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</si>
  <si>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</si>
  <si>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</si>
  <si>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</si>
  <si>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</si>
  <si>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</si>
  <si>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</si>
  <si>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</si>
  <si>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</si>
  <si>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</si>
  <si>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</si>
  <si>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</si>
  <si>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</si>
  <si>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</si>
  <si>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</si>
  <si>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</si>
  <si>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</si>
  <si>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</si>
  <si>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</si>
  <si>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</si>
  <si>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</si>
  <si>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</si>
  <si>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</si>
  <si>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</si>
  <si>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</si>
  <si>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</si>
  <si>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</si>
  <si>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</si>
  <si>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</si>
  <si>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</si>
  <si>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</si>
  <si>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</si>
  <si>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</si>
  <si>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</si>
  <si>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</si>
  <si>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</si>
  <si>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</si>
  <si>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</si>
  <si>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</si>
  <si>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</si>
  <si>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</si>
  <si>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</si>
  <si>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</si>
  <si>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</si>
  <si>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</si>
  <si>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</si>
  <si>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</si>
  <si>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</si>
  <si>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</si>
  <si>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</si>
  <si>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</si>
  <si>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</si>
  <si>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</si>
  <si>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</si>
  <si>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</si>
  <si>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</si>
  <si>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</si>
  <si>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</si>
  <si>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</si>
  <si>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</si>
  <si>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</si>
  <si>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</si>
  <si>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</si>
  <si>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</si>
  <si>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</si>
  <si>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</si>
  <si>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</si>
  <si>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</si>
  <si>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</si>
  <si>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</si>
  <si>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</si>
  <si>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</si>
  <si>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</si>
  <si>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</si>
  <si>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</si>
  <si>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</si>
  <si>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</si>
  <si>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</si>
  <si>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</si>
  <si>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</si>
  <si>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</si>
  <si>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</si>
  <si>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</si>
  <si>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</si>
  <si>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</si>
  <si>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</si>
  <si>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</si>
  <si>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</si>
  <si>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</si>
  <si>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</si>
  <si>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</si>
  <si>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</si>
  <si>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</si>
  <si>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</si>
  <si>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</si>
  <si>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</si>
  <si>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</si>
  <si>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</si>
  <si>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</si>
  <si>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</si>
  <si>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</si>
  <si>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</si>
  <si>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</si>
  <si>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</si>
  <si>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</si>
  <si>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</si>
  <si>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</si>
  <si>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</si>
  <si>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</si>
  <si>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</si>
  <si>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</si>
  <si>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</si>
  <si>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</si>
  <si>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</si>
  <si>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</si>
  <si>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</si>
  <si>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</si>
  <si>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</si>
  <si>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</si>
  <si>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</si>
  <si>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</si>
  <si>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</si>
  <si>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</si>
  <si>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</si>
  <si>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</si>
  <si>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</si>
  <si>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</si>
  <si>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</si>
  <si>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</si>
  <si>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</si>
  <si>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</si>
  <si>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</si>
  <si>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</si>
  <si>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</si>
  <si>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</si>
  <si>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</si>
  <si>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</si>
  <si>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</si>
  <si>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</si>
  <si>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</si>
  <si>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</si>
  <si>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</si>
  <si>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</si>
  <si>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</si>
  <si>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</si>
  <si>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</si>
  <si>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</si>
  <si>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</si>
  <si>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</si>
  <si>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</si>
  <si>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</si>
  <si>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</si>
  <si>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</si>
  <si>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</si>
  <si>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</si>
  <si>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</si>
  <si>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</si>
  <si>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</si>
  <si>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</si>
  <si>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</si>
  <si>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</si>
  <si>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</si>
  <si>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</si>
  <si>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</si>
  <si>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</si>
  <si>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</si>
  <si>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</si>
  <si>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</si>
  <si>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</si>
  <si>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</si>
  <si>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</si>
  <si>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</si>
  <si>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</si>
  <si>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</si>
  <si>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</si>
  <si>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</si>
  <si>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</si>
  <si>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</si>
  <si>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</si>
  <si>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</si>
  <si>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</si>
  <si>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</si>
  <si>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</si>
  <si>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</si>
  <si>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</si>
  <si>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</si>
  <si>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</si>
  <si>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</si>
  <si>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</si>
  <si>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</si>
  <si>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</si>
  <si>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</si>
  <si>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</si>
  <si>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</si>
  <si>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</si>
  <si>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</si>
  <si>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</si>
  <si>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</si>
  <si>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</si>
  <si>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</si>
  <si>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</si>
  <si>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</si>
  <si>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</si>
  <si>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</si>
  <si>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</si>
  <si>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</si>
  <si>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</si>
  <si>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</si>
  <si>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</si>
  <si>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</si>
  <si>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</si>
  <si>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</si>
  <si>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</si>
  <si>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</si>
  <si>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</si>
  <si>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</si>
  <si>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</si>
  <si>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</si>
  <si>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</si>
  <si>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</si>
  <si>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</si>
  <si>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</si>
  <si>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</si>
  <si>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</si>
  <si>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</si>
  <si>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</si>
  <si>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</si>
  <si>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</si>
  <si>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</si>
  <si>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</si>
  <si>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</si>
  <si>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</si>
  <si>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</si>
  <si>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</si>
  <si>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</si>
  <si>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</si>
  <si>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</si>
  <si>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</si>
  <si>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</si>
  <si>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</si>
  <si>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</si>
  <si>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</si>
  <si>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</si>
  <si>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</si>
  <si>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</si>
  <si>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</si>
  <si>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</si>
  <si>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</si>
  <si>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</si>
  <si>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</si>
  <si>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</si>
  <si>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</si>
  <si>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</si>
  <si>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</si>
  <si>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</si>
  <si>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</si>
  <si>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</si>
  <si>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</si>
  <si>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</si>
  <si>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</si>
  <si>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</si>
  <si>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</si>
  <si>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</si>
  <si>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</si>
  <si>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</si>
  <si>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</si>
  <si>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</si>
  <si>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</si>
  <si>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</si>
  <si>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</si>
  <si>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</si>
  <si>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</si>
  <si>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</si>
  <si>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</si>
  <si>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</si>
  <si>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</si>
  <si>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</si>
  <si>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</si>
  <si>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</si>
  <si>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</si>
  <si>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</si>
  <si>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</si>
  <si>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</si>
  <si>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</si>
  <si>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</si>
  <si>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</si>
  <si>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</si>
  <si>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</si>
  <si>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</si>
  <si>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</si>
  <si>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</si>
  <si>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</si>
  <si>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</si>
  <si>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</si>
  <si>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</si>
  <si>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</si>
  <si>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</si>
  <si>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</si>
  <si>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</si>
  <si>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</si>
  <si>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</si>
  <si>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</si>
  <si>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</si>
  <si>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</si>
  <si>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</si>
  <si>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</si>
  <si>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</si>
  <si>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</si>
  <si>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</si>
  <si>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</si>
  <si>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</si>
  <si>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</si>
  <si>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</si>
  <si>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</si>
  <si>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</si>
  <si>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</si>
  <si>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</si>
  <si>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</si>
  <si>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</si>
  <si>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</si>
  <si>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</si>
  <si>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</si>
  <si>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</si>
  <si>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</si>
  <si>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</si>
  <si>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</si>
  <si>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</si>
  <si>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</si>
  <si>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</si>
  <si>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</si>
  <si>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</si>
  <si>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</si>
  <si>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</si>
  <si>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</si>
  <si>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</si>
  <si>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</si>
  <si>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</si>
  <si>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</si>
  <si>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</si>
  <si>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</si>
  <si>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</si>
  <si>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</si>
  <si>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</si>
  <si>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</si>
  <si>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</si>
  <si>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</si>
  <si>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</si>
  <si>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</si>
  <si>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</si>
  <si>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</si>
  <si>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</si>
  <si>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</si>
  <si>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</si>
  <si>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</si>
  <si>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</si>
  <si>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</si>
  <si>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</si>
  <si>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</si>
  <si>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</si>
  <si>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</si>
  <si>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</si>
  <si>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</si>
  <si>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</si>
  <si>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</si>
  <si>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</si>
  <si>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</si>
  <si>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</si>
  <si>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</si>
  <si>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</si>
  <si>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</si>
  <si>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</si>
  <si>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</si>
  <si>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</si>
  <si>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</si>
  <si>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</si>
  <si>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</si>
  <si>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</si>
  <si>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</si>
  <si>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</si>
  <si>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</si>
  <si>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</si>
  <si>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</si>
  <si>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</si>
  <si>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</si>
  <si>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</si>
  <si>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</si>
  <si>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</si>
  <si>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</si>
  <si>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</si>
  <si>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</si>
  <si>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</si>
  <si>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</si>
  <si>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</si>
  <si>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</si>
  <si>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</si>
  <si>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</si>
  <si>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</si>
  <si>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</si>
  <si>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</si>
  <si>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</si>
  <si>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</si>
  <si>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</si>
  <si>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</si>
  <si>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</si>
  <si>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</si>
  <si>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</si>
  <si>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</si>
  <si>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</si>
  <si>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</si>
  <si>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</si>
  <si>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</si>
  <si>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</si>
  <si>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</si>
  <si>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</si>
  <si>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</si>
  <si>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</si>
  <si>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</si>
  <si>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</si>
  <si>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</si>
  <si>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</si>
  <si>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</si>
  <si>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</si>
  <si>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</si>
  <si>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</si>
  <si>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</si>
  <si>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</si>
  <si>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</si>
  <si>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</si>
  <si>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</si>
  <si>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</si>
  <si>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</si>
  <si>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</si>
  <si>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</si>
  <si>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</si>
  <si>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</si>
  <si>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</si>
  <si>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</si>
  <si>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</si>
  <si>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</si>
  <si>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</si>
  <si>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</si>
  <si>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</si>
  <si>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</si>
  <si>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</si>
  <si>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</si>
  <si>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</si>
  <si>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</si>
  <si>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</si>
  <si>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</si>
  <si>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</si>
  <si>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</si>
  <si>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</si>
  <si>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</si>
  <si>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</si>
  <si>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</si>
  <si>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</si>
  <si>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</si>
  <si>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</si>
  <si>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</si>
  <si>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</si>
  <si>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</si>
  <si>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</si>
  <si>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</si>
  <si>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</si>
  <si>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</si>
  <si>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</si>
  <si>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</si>
  <si>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</si>
  <si>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</si>
  <si>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</si>
  <si>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</si>
  <si>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</si>
  <si>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</si>
  <si>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</si>
  <si>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</si>
  <si>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</si>
  <si>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</si>
  <si>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</si>
  <si>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</si>
  <si>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</si>
  <si>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</si>
  <si>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</si>
  <si>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</si>
  <si>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</si>
  <si>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</si>
  <si>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</si>
  <si>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</si>
  <si>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</si>
  <si>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</si>
  <si>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</si>
  <si>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</si>
  <si>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</si>
  <si>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</si>
  <si>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</si>
  <si>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</si>
  <si>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</si>
  <si>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</si>
  <si>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</si>
  <si>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</si>
  <si>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</si>
  <si>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</si>
  <si>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</si>
  <si>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</si>
  <si>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</si>
  <si>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</si>
  <si>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</si>
  <si>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</si>
  <si>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</si>
  <si>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</si>
  <si>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</si>
  <si>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</si>
  <si>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</si>
  <si>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</si>
  <si>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</si>
  <si>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</si>
  <si>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</si>
  <si>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</si>
  <si>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</si>
  <si>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</si>
  <si>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</si>
  <si>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</si>
  <si>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</si>
  <si>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</si>
  <si>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</si>
  <si>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</si>
  <si>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</si>
  <si>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</si>
  <si>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</si>
  <si>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</si>
  <si>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</si>
  <si>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</si>
  <si>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</si>
  <si>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</si>
  <si>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</si>
  <si>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</si>
  <si>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</si>
  <si>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</si>
  <si>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</si>
  <si>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</si>
  <si>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</si>
  <si>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</si>
  <si>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</si>
  <si>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</si>
  <si>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</si>
  <si>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</si>
  <si>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</si>
  <si>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</si>
  <si>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</si>
  <si>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</si>
  <si>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</si>
  <si>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</si>
  <si>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</si>
  <si>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</si>
  <si>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</si>
  <si>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</si>
  <si>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</si>
  <si>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</si>
  <si>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</si>
  <si>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</si>
  <si>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</si>
  <si>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</si>
  <si>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</si>
  <si>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</si>
  <si>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</si>
  <si>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</si>
  <si>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</si>
  <si>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</si>
  <si>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</si>
  <si>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</si>
  <si>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</si>
  <si>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</si>
  <si>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</si>
  <si>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</si>
  <si>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</si>
  <si>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</si>
  <si>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</si>
  <si>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</si>
  <si>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</si>
  <si>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</si>
  <si>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</si>
  <si>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</si>
  <si>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</si>
  <si>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</si>
  <si>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</si>
  <si>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</si>
  <si>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</si>
  <si>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</si>
  <si>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</si>
  <si>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</si>
  <si>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</si>
  <si>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</si>
  <si>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</si>
  <si>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</si>
  <si>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</si>
  <si>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</si>
  <si>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</si>
  <si>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</si>
  <si>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</si>
  <si>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</si>
  <si>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</si>
  <si>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</si>
  <si>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</si>
  <si>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</si>
  <si>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</si>
  <si>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</si>
  <si>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</si>
  <si>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</si>
  <si>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</si>
  <si>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</si>
  <si>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</si>
  <si>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</si>
  <si>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</si>
  <si>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</si>
  <si>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</si>
  <si>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</si>
  <si>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</si>
  <si>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</si>
  <si>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</si>
  <si>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</si>
  <si>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</si>
  <si>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</si>
  <si>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</si>
  <si>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</si>
  <si>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</si>
  <si>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</si>
  <si>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</si>
  <si>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</si>
  <si>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</si>
  <si>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</si>
  <si>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</si>
  <si>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</si>
  <si>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</si>
  <si>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</si>
  <si>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</si>
  <si>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</si>
  <si>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</si>
  <si>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</si>
  <si>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</si>
  <si>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</si>
  <si>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</si>
  <si>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</si>
  <si>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</si>
  <si>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</si>
  <si>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</si>
  <si>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</si>
  <si>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</si>
  <si>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</si>
  <si>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</si>
  <si>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</si>
  <si>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</si>
  <si>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</si>
  <si>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</si>
  <si>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</si>
  <si>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</si>
  <si>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</si>
  <si>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</si>
  <si>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</si>
  <si>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</si>
  <si>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</si>
  <si>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</si>
  <si>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</si>
  <si>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</si>
  <si>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</si>
  <si>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</si>
  <si>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</si>
  <si>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</si>
  <si>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</si>
  <si>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</si>
  <si>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</si>
  <si>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</si>
  <si>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</si>
  <si>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</si>
  <si>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</si>
  <si>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</si>
  <si>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</si>
  <si>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</si>
  <si>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</si>
  <si>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</si>
  <si>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</si>
  <si>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</si>
  <si>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</si>
  <si>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</si>
  <si>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</si>
  <si>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</si>
  <si>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</si>
  <si>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</si>
  <si>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</si>
  <si>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</si>
  <si>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</si>
  <si>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</si>
  <si>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</si>
  <si>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</si>
  <si>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</si>
  <si>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</si>
  <si>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</si>
  <si>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</si>
  <si>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</si>
  <si>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</si>
  <si>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</si>
  <si>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</si>
  <si>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</si>
  <si>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</si>
  <si>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</si>
  <si>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</si>
  <si>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</si>
  <si>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</si>
  <si>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</si>
  <si>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</si>
  <si>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</si>
  <si>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</si>
  <si>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</si>
  <si>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</si>
  <si>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</si>
  <si>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</si>
  <si>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</si>
  <si>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</si>
  <si>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</si>
  <si>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</si>
  <si>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</si>
  <si>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</si>
  <si>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</si>
  <si>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</si>
  <si>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</si>
  <si>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</si>
  <si>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</si>
  <si>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</si>
  <si>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</si>
  <si>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</si>
  <si>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</si>
  <si>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</si>
  <si>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</si>
  <si>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</si>
  <si>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</si>
  <si>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</si>
  <si>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</si>
  <si>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</si>
  <si>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</si>
  <si>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</si>
  <si>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</si>
  <si>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</si>
  <si>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</si>
  <si>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</si>
  <si>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</si>
  <si>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</si>
  <si>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</si>
  <si>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</si>
  <si>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</si>
  <si>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</si>
  <si>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</si>
  <si>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</si>
  <si>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</si>
  <si>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</si>
  <si>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</si>
  <si>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</si>
  <si>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</si>
  <si>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</si>
  <si>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</si>
  <si>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</si>
  <si>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</si>
  <si>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</si>
  <si>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</si>
  <si>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</si>
  <si>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</si>
  <si>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</si>
  <si>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</si>
  <si>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</si>
  <si>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</si>
  <si>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</si>
  <si>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</si>
  <si>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</si>
  <si>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</si>
  <si>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</si>
  <si>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</si>
  <si>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</si>
  <si>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</si>
  <si>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</si>
  <si>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</si>
  <si>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</si>
  <si>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</si>
  <si>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</si>
  <si>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</si>
  <si>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</si>
  <si>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</si>
  <si>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</si>
  <si>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</si>
  <si>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</si>
  <si>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</si>
  <si>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</si>
  <si>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</si>
  <si>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</si>
  <si>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</si>
  <si>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</si>
  <si>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</si>
  <si>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</si>
  <si>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</si>
  <si>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</si>
  <si>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</si>
  <si>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</si>
  <si>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</si>
  <si>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</si>
  <si>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</si>
  <si>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</si>
  <si>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</si>
  <si>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</si>
  <si>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</si>
  <si>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</si>
  <si>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</si>
  <si>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</si>
  <si>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</si>
  <si>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</si>
  <si>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</si>
  <si>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</si>
  <si>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</si>
  <si>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</si>
  <si>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</si>
  <si>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</si>
  <si>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</si>
  <si>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</si>
  <si>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</si>
  <si>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</si>
  <si>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</si>
  <si>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</si>
  <si>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</si>
  <si>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</si>
  <si>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</si>
  <si>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</si>
  <si>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</si>
  <si>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</si>
  <si>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</si>
  <si>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</si>
  <si>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</si>
  <si>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</si>
  <si>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</si>
  <si>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</si>
  <si>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</si>
  <si>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</si>
  <si>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</si>
  <si>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</si>
  <si>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</si>
  <si>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</si>
  <si>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</si>
  <si>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</si>
  <si>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</si>
  <si>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</si>
  <si>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</si>
  <si>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</si>
  <si>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</si>
  <si>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</si>
  <si>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</si>
  <si>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</si>
  <si>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</si>
  <si>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</si>
  <si>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</si>
  <si>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</si>
  <si>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</si>
  <si>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</si>
  <si>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</si>
  <si>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</si>
  <si>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</si>
  <si>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</si>
  <si>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</si>
  <si>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</si>
  <si>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</si>
  <si>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</si>
  <si>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</si>
  <si>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</si>
  <si>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</si>
  <si>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</si>
  <si>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</si>
  <si>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</si>
  <si>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</si>
  <si>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</si>
  <si>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</si>
  <si>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</si>
  <si>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</si>
  <si>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</si>
  <si>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</si>
  <si>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</si>
  <si>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</si>
  <si>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</si>
  <si>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</si>
  <si>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</si>
  <si>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</si>
  <si>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</si>
  <si>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</si>
  <si>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</si>
  <si>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</si>
  <si>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</si>
  <si>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</si>
  <si>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</si>
  <si>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</si>
  <si>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</si>
  <si>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</si>
  <si>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</si>
  <si>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</si>
  <si>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</si>
  <si>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</si>
  <si>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</si>
  <si>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</si>
  <si>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</si>
  <si>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</si>
  <si>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</si>
  <si>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</si>
  <si>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</si>
  <si>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</si>
  <si>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</si>
  <si>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</si>
  <si>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</si>
  <si>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</si>
  <si>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</si>
  <si>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</si>
  <si>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</si>
  <si>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</si>
  <si>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</si>
  <si>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</si>
  <si>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</si>
  <si>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</si>
  <si>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</si>
  <si>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</si>
  <si>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</si>
  <si>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</si>
  <si>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</si>
  <si>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</si>
  <si>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</si>
  <si>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</si>
  <si>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</si>
  <si>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</si>
  <si>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</si>
  <si>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</si>
  <si>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</si>
  <si>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</si>
  <si>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</si>
  <si>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</si>
  <si>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</si>
  <si>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</si>
  <si>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</si>
  <si>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</si>
  <si>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</si>
  <si>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</si>
  <si>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</si>
  <si>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</si>
  <si>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</si>
  <si>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</si>
  <si>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</si>
  <si>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</si>
  <si>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</si>
  <si>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</si>
  <si>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</si>
  <si>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</si>
  <si>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</si>
  <si>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</si>
  <si>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</si>
  <si>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</si>
  <si>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</si>
  <si>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</si>
  <si>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</si>
  <si>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</si>
  <si>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</si>
  <si>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</si>
  <si>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</si>
  <si>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</si>
  <si>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</si>
  <si>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</si>
  <si>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</si>
  <si>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</si>
  <si>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</si>
  <si>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</si>
  <si>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</si>
  <si>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</si>
  <si>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</si>
  <si>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</si>
  <si>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</si>
  <si>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</si>
  <si>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</si>
  <si>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</si>
  <si>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</si>
  <si>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</si>
  <si>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</si>
  <si>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</si>
  <si>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</si>
  <si>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</si>
  <si>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</si>
  <si>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</si>
  <si>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</si>
  <si>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</si>
  <si>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</si>
  <si>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</si>
  <si>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</si>
  <si>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</si>
  <si>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</si>
  <si>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</si>
  <si>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</si>
  <si>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</si>
  <si>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</si>
  <si>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</si>
  <si>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</si>
  <si>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</si>
  <si>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</si>
  <si>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</si>
  <si>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</si>
  <si>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</si>
  <si>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</si>
  <si>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</si>
  <si>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</si>
  <si>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</si>
  <si>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</si>
  <si>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</si>
  <si>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</si>
  <si>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</si>
  <si>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</si>
  <si>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</si>
  <si>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</si>
  <si>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</si>
  <si>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</si>
  <si>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</si>
  <si>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</si>
  <si>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</si>
  <si>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</si>
  <si>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</si>
  <si>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</si>
  <si>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</si>
  <si>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</si>
  <si>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</si>
  <si>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</si>
  <si>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</si>
  <si>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</si>
  <si>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</si>
  <si>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</si>
  <si>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</si>
  <si>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</si>
  <si>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</si>
  <si>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</si>
  <si>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</si>
  <si>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</si>
  <si>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</si>
  <si>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</si>
  <si>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</si>
  <si>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</si>
  <si>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</si>
  <si>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</si>
  <si>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</si>
  <si>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</si>
  <si>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</si>
  <si>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</si>
  <si>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</si>
  <si>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</si>
  <si>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</si>
  <si>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</si>
  <si>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</si>
  <si>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</si>
  <si>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</si>
  <si>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</si>
  <si>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</si>
  <si>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</si>
  <si>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</si>
  <si>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</si>
  <si>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</si>
  <si>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</si>
  <si>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</si>
  <si>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</si>
  <si>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</si>
  <si>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</si>
  <si>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</si>
  <si>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</si>
  <si>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</si>
  <si>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</si>
  <si>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</si>
  <si>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</si>
  <si>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</si>
  <si>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</si>
  <si>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</si>
  <si>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</si>
  <si>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</si>
  <si>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</si>
  <si>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</si>
  <si>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</si>
  <si>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</si>
  <si>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</si>
  <si>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</si>
  <si>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</si>
  <si>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</si>
  <si>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</si>
  <si>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</si>
  <si>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</si>
  <si>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</si>
  <si>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</si>
  <si>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</si>
  <si>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</si>
  <si>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</si>
  <si>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</si>
  <si>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</si>
  <si>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</si>
  <si>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</si>
  <si>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</si>
  <si>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</si>
  <si>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</si>
  <si>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</si>
  <si>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</si>
  <si>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</si>
  <si>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</si>
  <si>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</si>
  <si>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</si>
  <si>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</si>
  <si>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</si>
  <si>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</si>
  <si>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</si>
  <si>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</si>
  <si>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</si>
  <si>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</si>
  <si>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</si>
  <si>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</si>
  <si>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</si>
  <si>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</si>
  <si>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</si>
  <si>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</si>
  <si>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</si>
  <si>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</si>
  <si>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</si>
  <si>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</si>
  <si>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</si>
  <si>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</si>
  <si>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</si>
  <si>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</si>
  <si>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</si>
  <si>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</si>
  <si>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</si>
  <si>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</si>
  <si>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</si>
  <si>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</si>
  <si>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</si>
  <si>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</si>
  <si>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</si>
  <si>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</si>
  <si>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</si>
  <si>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</si>
  <si>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</si>
  <si>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</si>
  <si>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</si>
  <si>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</si>
  <si>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</si>
  <si>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</si>
  <si>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</si>
  <si>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</si>
  <si>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</si>
  <si>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</si>
  <si>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</si>
  <si>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</si>
  <si>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</si>
  <si>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</si>
  <si>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</si>
  <si>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</si>
  <si>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</si>
  <si>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</si>
  <si>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</si>
  <si>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</si>
  <si>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</si>
  <si>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</si>
  <si>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</si>
  <si>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</si>
  <si>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</si>
  <si>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</si>
  <si>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</si>
  <si>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</si>
  <si>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</si>
  <si>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</si>
  <si>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</si>
  <si>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</si>
  <si>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</si>
  <si>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</si>
  <si>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</si>
  <si>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</si>
  <si>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</si>
  <si>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</si>
  <si>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</si>
  <si>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</si>
  <si>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</si>
  <si>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</si>
  <si>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</si>
  <si>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</si>
  <si>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</si>
  <si>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</si>
  <si>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</si>
  <si>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</si>
  <si>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</si>
  <si>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</si>
  <si>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</si>
  <si>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</si>
  <si>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</si>
  <si>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</si>
  <si>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</si>
  <si>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</si>
  <si>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</si>
  <si>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</si>
  <si>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</si>
  <si>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</si>
  <si>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</si>
  <si>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</si>
  <si>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</si>
  <si>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</si>
  <si>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</si>
  <si>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</si>
  <si>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</si>
  <si>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</si>
  <si>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</si>
  <si>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</si>
  <si>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</si>
  <si>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</si>
  <si>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</si>
  <si>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</si>
  <si>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</si>
  <si>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</si>
  <si>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</si>
  <si>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</si>
  <si>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</si>
  <si>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</si>
  <si>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</si>
  <si>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</si>
  <si>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</si>
  <si>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</si>
  <si>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</si>
  <si>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</si>
  <si>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</si>
  <si>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</si>
  <si>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</si>
  <si>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</si>
  <si>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</si>
  <si>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</si>
  <si>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</si>
  <si>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</si>
  <si>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</si>
  <si>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</si>
  <si>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</si>
  <si>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</si>
  <si>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</si>
  <si>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</si>
  <si>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</si>
  <si>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</si>
  <si>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</si>
  <si>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</si>
  <si>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</si>
  <si>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</si>
  <si>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</si>
  <si>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</si>
  <si>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</si>
  <si>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</si>
  <si>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</si>
  <si>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</si>
  <si>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</si>
  <si>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</si>
  <si>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</si>
  <si>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</si>
  <si>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</si>
  <si>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</si>
  <si>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</si>
  <si>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</si>
  <si>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</si>
  <si>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</si>
  <si>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</si>
  <si>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</si>
  <si>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</si>
  <si>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</si>
  <si>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</si>
  <si>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</si>
  <si>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</si>
  <si>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</si>
  <si>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</si>
  <si>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</si>
  <si>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</si>
  <si>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</si>
  <si>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</si>
  <si>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</si>
  <si>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</si>
  <si>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</si>
  <si>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</si>
  <si>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</si>
  <si>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</si>
  <si>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</si>
  <si>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</si>
  <si>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</si>
  <si>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</si>
  <si>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</si>
  <si>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</si>
  <si>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</si>
  <si>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</si>
  <si>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</si>
  <si>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</si>
  <si>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</si>
  <si>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</si>
  <si>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</si>
  <si>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</si>
  <si>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</si>
  <si>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</si>
  <si>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</si>
  <si>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</si>
  <si>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</si>
  <si>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</si>
  <si>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</si>
  <si>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</si>
  <si>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</si>
  <si>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</si>
  <si>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</si>
  <si>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</si>
  <si>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</si>
  <si>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</si>
  <si>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</si>
  <si>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</si>
  <si>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</si>
  <si>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</si>
  <si>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</si>
  <si>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</si>
  <si>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</si>
  <si>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</si>
  <si>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</si>
  <si>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</si>
  <si>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</si>
  <si>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</si>
  <si>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</si>
  <si>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</si>
  <si>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</si>
  <si>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</si>
  <si>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</si>
  <si>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</si>
  <si>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</si>
  <si>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</si>
  <si>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</si>
  <si>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</si>
  <si>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</si>
  <si>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</si>
  <si>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</si>
  <si>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</si>
  <si>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</si>
  <si>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</si>
  <si>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</si>
  <si>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</si>
  <si>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</si>
  <si>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</si>
  <si>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</si>
  <si>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</si>
  <si>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</si>
  <si>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</si>
  <si>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</si>
  <si>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</si>
  <si>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</si>
  <si>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</si>
  <si>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</si>
  <si>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</si>
  <si>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</si>
  <si>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</si>
  <si>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</si>
  <si>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</si>
  <si>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</si>
  <si>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</si>
  <si>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</si>
  <si>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</si>
  <si>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</si>
  <si>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</si>
  <si>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</si>
  <si>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</si>
  <si>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</si>
  <si>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</si>
  <si>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</si>
  <si>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</si>
  <si>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</si>
  <si>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</si>
  <si>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</si>
  <si>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</si>
  <si>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</si>
  <si>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</si>
  <si>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</si>
  <si>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</si>
  <si>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</si>
  <si>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</si>
  <si>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</si>
  <si>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</si>
  <si>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</si>
  <si>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</si>
  <si>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</si>
  <si>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</si>
  <si>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</si>
  <si>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</si>
  <si>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</si>
  <si>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</si>
  <si>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</si>
  <si>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</si>
  <si>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</si>
  <si>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</si>
  <si>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</si>
  <si>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</si>
  <si>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</si>
  <si>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</si>
  <si>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</si>
  <si>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</si>
  <si>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</si>
  <si>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</si>
  <si>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</si>
  <si>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</si>
  <si>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</si>
  <si>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</si>
  <si>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</si>
  <si>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</si>
  <si>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</si>
  <si>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</si>
  <si>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</si>
  <si>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</si>
  <si>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</si>
  <si>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</si>
  <si>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</si>
  <si>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</si>
  <si>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</si>
  <si>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</si>
  <si>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</si>
  <si>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</si>
  <si>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</si>
  <si>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</si>
  <si>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</si>
  <si>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</si>
  <si>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</si>
  <si>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</si>
  <si>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</si>
  <si>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</si>
  <si>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</si>
  <si>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</si>
  <si>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</si>
  <si>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</si>
  <si>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</si>
  <si>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</si>
  <si>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</si>
  <si>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</si>
  <si>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</si>
  <si>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</si>
  <si>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</si>
  <si>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</si>
  <si>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</si>
  <si>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</si>
  <si>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</si>
  <si>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</si>
  <si>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</si>
  <si>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</si>
  <si>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</si>
  <si>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</si>
  <si>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</si>
  <si>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</si>
  <si>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</si>
  <si>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</si>
  <si>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</si>
  <si>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</si>
  <si>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</si>
  <si>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</si>
  <si>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</si>
  <si>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</si>
  <si>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</si>
  <si>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</si>
  <si>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</si>
  <si>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</si>
  <si>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</si>
  <si>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</si>
  <si>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</si>
  <si>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</si>
  <si>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</si>
  <si>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</si>
  <si>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</si>
  <si>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</si>
  <si>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</si>
  <si>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</si>
  <si>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</si>
  <si>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</si>
  <si>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</si>
  <si>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</si>
  <si>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</si>
  <si>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</si>
  <si>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</si>
  <si>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</si>
  <si>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</si>
  <si>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</si>
  <si>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</si>
  <si>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</si>
  <si>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</si>
  <si>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</si>
  <si>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</si>
  <si>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</si>
  <si>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</si>
  <si>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</si>
  <si>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</si>
  <si>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</si>
  <si>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</si>
  <si>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</si>
  <si>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</si>
  <si>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</si>
  <si>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</si>
  <si>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</si>
  <si>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</si>
  <si>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</si>
  <si>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</si>
  <si>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</si>
  <si>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</si>
  <si>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</si>
  <si>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</si>
  <si>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</si>
  <si>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</si>
  <si>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</si>
  <si>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</si>
  <si>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</si>
  <si>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</si>
  <si>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</si>
  <si>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</si>
  <si>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</si>
  <si>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</si>
  <si>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</si>
  <si>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</si>
  <si>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</si>
  <si>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</si>
  <si>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</si>
  <si>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</si>
  <si>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</si>
  <si>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</si>
  <si>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</si>
  <si>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</si>
  <si>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</si>
  <si>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</si>
  <si>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</si>
  <si>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</si>
  <si>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</si>
  <si>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</si>
  <si>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</si>
  <si>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</si>
  <si>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</si>
  <si>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</si>
  <si>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</si>
  <si>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</si>
  <si>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</si>
  <si>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</si>
  <si>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</si>
  <si>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</si>
  <si>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</si>
  <si>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</si>
  <si>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</si>
  <si>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</si>
  <si>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</si>
  <si>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</si>
  <si>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</si>
  <si>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</si>
  <si>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</si>
  <si>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</si>
  <si>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</si>
  <si>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</si>
  <si>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</si>
  <si>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</si>
  <si>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</si>
  <si>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</si>
  <si>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</si>
  <si>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</si>
  <si>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</si>
  <si>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</si>
  <si>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</si>
  <si>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</si>
  <si>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</si>
  <si>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</si>
  <si>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</si>
  <si>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</si>
  <si>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</si>
  <si>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</si>
  <si>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</si>
  <si>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</si>
  <si>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</si>
  <si>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</si>
  <si>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</si>
  <si>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</si>
  <si>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</si>
  <si>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</si>
  <si>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</si>
  <si>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</si>
  <si>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</si>
  <si>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</si>
  <si>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</si>
  <si>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</si>
  <si>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</si>
  <si>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</si>
  <si>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</si>
  <si>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</si>
  <si>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</si>
  <si>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</si>
  <si>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</si>
  <si>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</si>
  <si>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</si>
  <si>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</si>
  <si>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</si>
  <si>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</si>
  <si>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</si>
  <si>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</si>
  <si>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</si>
  <si>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</si>
  <si>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</si>
  <si>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</si>
  <si>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</si>
  <si>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</si>
  <si>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</si>
  <si>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</si>
  <si>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</si>
  <si>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</si>
  <si>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</si>
  <si>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</si>
  <si>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</si>
  <si>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</si>
  <si>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</si>
  <si>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</si>
  <si>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</si>
  <si>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</si>
  <si>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</si>
  <si>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</si>
  <si>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</si>
  <si>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</si>
  <si>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</si>
  <si>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</si>
  <si>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</si>
  <si>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</si>
  <si>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</si>
  <si>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</si>
  <si>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</si>
  <si>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</si>
  <si>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</si>
  <si>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</si>
  <si>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</si>
  <si>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</si>
  <si>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</si>
  <si>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</si>
  <si>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</si>
  <si>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</si>
  <si>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</si>
  <si>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</si>
  <si>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</si>
  <si>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</si>
  <si>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</si>
  <si>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</si>
  <si>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</si>
  <si>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</si>
  <si>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</si>
  <si>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</si>
  <si>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</si>
  <si>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</si>
  <si>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</si>
  <si>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</si>
  <si>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</si>
  <si>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</si>
  <si>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</si>
  <si>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</si>
  <si>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</si>
  <si>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</si>
  <si>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</si>
  <si>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</si>
  <si>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</si>
  <si>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</si>
  <si>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</si>
  <si>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</si>
  <si>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</si>
  <si>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</si>
  <si>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</si>
  <si>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</si>
  <si>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</si>
  <si>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</si>
  <si>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</si>
  <si>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</si>
  <si>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</si>
  <si>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</si>
  <si>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</si>
  <si>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</si>
  <si>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</si>
  <si>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</si>
  <si>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</si>
  <si>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</si>
  <si>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</si>
  <si>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</si>
  <si>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</si>
  <si>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</si>
  <si>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</si>
  <si>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</si>
  <si>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</si>
  <si>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</si>
  <si>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</si>
  <si>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</si>
  <si>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</si>
  <si>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</si>
  <si>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</si>
  <si>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</si>
  <si>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</si>
  <si>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</si>
  <si>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</si>
  <si>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</si>
  <si>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</si>
  <si>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</si>
  <si>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</si>
  <si>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</si>
  <si>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</si>
  <si>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</si>
  <si>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</si>
  <si>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</si>
  <si>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</si>
  <si>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</si>
  <si>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</si>
  <si>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</si>
  <si>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</si>
  <si>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</si>
  <si>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</si>
  <si>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</si>
  <si>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</si>
  <si>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</si>
  <si>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</si>
  <si>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</si>
  <si>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</si>
  <si>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</si>
  <si>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</si>
  <si>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</si>
  <si>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</si>
  <si>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</si>
  <si>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</si>
  <si>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</si>
  <si>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</si>
  <si>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</si>
  <si>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</si>
  <si>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</si>
  <si>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</si>
  <si>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</si>
  <si>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</si>
  <si>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</si>
  <si>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</si>
  <si>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</si>
  <si>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</si>
  <si>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</si>
  <si>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</si>
  <si>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</si>
  <si>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</si>
  <si>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</si>
  <si>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</si>
  <si>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</si>
  <si>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</si>
  <si>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</si>
  <si>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</si>
  <si>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</si>
  <si>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</si>
  <si>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</si>
  <si>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</si>
  <si>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</si>
  <si>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</si>
  <si>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</si>
  <si>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</si>
  <si>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</si>
  <si>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</si>
  <si>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</si>
  <si>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</si>
  <si>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</si>
  <si>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</si>
  <si>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</si>
  <si>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</si>
  <si>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</si>
  <si>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</si>
  <si>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</si>
  <si>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</si>
  <si>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</si>
  <si>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</si>
  <si>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</si>
  <si>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</si>
  <si>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</si>
  <si>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</si>
  <si>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</si>
  <si>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</si>
  <si>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</si>
  <si>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</si>
  <si>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</si>
  <si>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</si>
  <si>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</si>
  <si>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</si>
  <si>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</si>
  <si>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</si>
  <si>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</si>
  <si>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</si>
  <si>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</si>
  <si>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</si>
  <si>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</si>
  <si>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</si>
  <si>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</si>
  <si>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</si>
  <si>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</si>
  <si>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</si>
  <si>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</si>
  <si>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</si>
  <si>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</si>
  <si>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</si>
  <si>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</si>
  <si>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</si>
  <si>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</si>
  <si>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</si>
  <si>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</si>
  <si>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</si>
  <si>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</si>
  <si>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</si>
  <si>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</si>
  <si>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</si>
  <si>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</si>
  <si>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</si>
  <si>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</si>
  <si>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</si>
  <si>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</si>
  <si>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</si>
  <si>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</si>
  <si>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</si>
  <si>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</si>
  <si>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</si>
  <si>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</si>
  <si>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</si>
  <si>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</si>
  <si>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</si>
  <si>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</si>
  <si>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</si>
  <si>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</si>
  <si>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</si>
  <si>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</si>
  <si>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</si>
  <si>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</si>
  <si>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</si>
  <si>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</si>
  <si>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</si>
  <si>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</si>
  <si>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</si>
  <si>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</si>
  <si>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</si>
  <si>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</si>
  <si>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</si>
  <si>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</si>
  <si>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</si>
  <si>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</si>
  <si>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</si>
  <si>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</si>
  <si>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</si>
  <si>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</si>
  <si>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</si>
  <si>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</si>
  <si>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</si>
  <si>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</si>
  <si>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</si>
  <si>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</si>
  <si>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</si>
  <si>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</si>
  <si>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</si>
  <si>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</si>
  <si>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</si>
  <si>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</si>
  <si>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</si>
  <si>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</si>
  <si>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</si>
  <si>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</si>
  <si>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</si>
  <si>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</si>
  <si>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</si>
  <si>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</si>
  <si>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</si>
  <si>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</si>
  <si>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</si>
  <si>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</si>
  <si>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</si>
  <si>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</si>
  <si>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</si>
  <si>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</si>
  <si>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</si>
  <si>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</si>
  <si>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</si>
  <si>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</si>
  <si>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</si>
  <si>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</si>
  <si>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</si>
  <si>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</si>
  <si>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</si>
  <si>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</si>
  <si>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</si>
  <si>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</si>
  <si>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</si>
  <si>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</si>
  <si>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</si>
  <si>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</si>
  <si>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</si>
  <si>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</si>
  <si>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</si>
  <si>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</si>
  <si>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</si>
  <si>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</si>
  <si>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</si>
  <si>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</si>
  <si>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</si>
  <si>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</si>
  <si>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</si>
  <si>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</si>
  <si>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</si>
  <si>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</si>
  <si>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</si>
  <si>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</si>
  <si>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</si>
  <si>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</si>
  <si>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</si>
  <si>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</si>
  <si>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</si>
  <si>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</si>
  <si>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</si>
  <si>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</si>
  <si>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</si>
  <si>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</si>
  <si>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</si>
  <si>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</si>
  <si>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</si>
  <si>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</si>
  <si>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</si>
  <si>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</si>
  <si>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</si>
  <si>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</si>
  <si>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</si>
  <si>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</si>
  <si>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</si>
  <si>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</si>
  <si>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</si>
  <si>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</si>
  <si>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</si>
  <si>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</si>
  <si>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</si>
  <si>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</si>
  <si>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</si>
  <si>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</si>
  <si>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</si>
  <si>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</si>
  <si>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</si>
  <si>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</si>
  <si>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</si>
  <si>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</si>
  <si>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</si>
  <si>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</si>
  <si>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</si>
  <si>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</si>
  <si>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</si>
  <si>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</si>
  <si>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</si>
  <si>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</si>
  <si>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</si>
  <si>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</si>
  <si>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</si>
  <si>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</si>
  <si>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</si>
  <si>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</si>
  <si>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</si>
  <si>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</si>
  <si>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</si>
  <si>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</si>
  <si>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</si>
  <si>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</si>
  <si>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</si>
  <si>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</si>
  <si>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</si>
  <si>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</si>
  <si>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</si>
  <si>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</si>
  <si>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</si>
  <si>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</si>
  <si>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</si>
  <si>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</si>
  <si>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</si>
  <si>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</si>
  <si>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</si>
  <si>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</si>
  <si>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</si>
  <si>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</si>
  <si>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</si>
  <si>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</si>
  <si>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</si>
  <si>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</si>
  <si>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</si>
  <si>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</si>
  <si>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</si>
  <si>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</si>
  <si>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</si>
  <si>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</si>
  <si>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</si>
  <si>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</si>
  <si>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</si>
  <si>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</si>
  <si>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</si>
  <si>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</si>
  <si>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</si>
  <si>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</si>
  <si>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</si>
  <si>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</si>
  <si>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</si>
  <si>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</si>
  <si>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</si>
  <si>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</si>
  <si>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</si>
  <si>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</si>
  <si>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</si>
  <si>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</si>
  <si>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</si>
  <si>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</si>
  <si>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</si>
  <si>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</si>
  <si>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</si>
  <si>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</si>
  <si>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</si>
  <si>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</si>
  <si>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</si>
  <si>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</si>
  <si>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</si>
  <si>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</si>
  <si>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</si>
  <si>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</si>
  <si>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</si>
  <si>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</si>
  <si>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</si>
  <si>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</si>
  <si>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</si>
  <si>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</si>
  <si>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</si>
  <si>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</si>
  <si>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</si>
  <si>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</si>
  <si>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</si>
  <si>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</si>
  <si>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</si>
  <si>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</si>
  <si>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</si>
  <si>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</si>
  <si>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</si>
  <si>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</si>
  <si>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</si>
  <si>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</si>
  <si>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</si>
  <si>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</si>
  <si>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</si>
  <si>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</si>
  <si>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</si>
  <si>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</si>
  <si>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</si>
  <si>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</si>
  <si>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</si>
  <si>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</si>
  <si>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</si>
  <si>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</si>
  <si>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</si>
  <si>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</si>
  <si>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</si>
  <si>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</si>
  <si>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</si>
  <si>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</si>
  <si>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</si>
  <si>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</si>
  <si>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</si>
  <si>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</si>
  <si>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</si>
  <si>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</si>
  <si>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</si>
  <si>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</si>
  <si>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</si>
  <si>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</si>
  <si>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</si>
  <si>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</si>
  <si>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</si>
  <si>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</si>
  <si>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</si>
  <si>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</si>
  <si>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</si>
  <si>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</si>
  <si>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</si>
  <si>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</si>
  <si>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</si>
  <si>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</si>
  <si>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</si>
  <si>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</si>
  <si>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</si>
  <si>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</si>
  <si>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</si>
  <si>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</si>
  <si>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</si>
  <si>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</si>
  <si>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</si>
  <si>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</si>
  <si>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</si>
  <si>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</si>
  <si>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</si>
  <si>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</si>
  <si>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</si>
  <si>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</si>
  <si>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</si>
  <si>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</si>
  <si>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</si>
  <si>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</si>
  <si>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</si>
  <si>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</si>
  <si>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</si>
  <si>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</si>
  <si>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</si>
  <si>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</si>
  <si>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</si>
  <si>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</si>
  <si>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</si>
  <si>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</si>
  <si>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</si>
  <si>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</si>
  <si>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</si>
  <si>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</si>
  <si>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</si>
  <si>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</si>
  <si>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</si>
  <si>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</si>
  <si>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</si>
  <si>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</si>
  <si>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</si>
  <si>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</si>
  <si>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</si>
  <si>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</si>
  <si>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</si>
  <si>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</si>
  <si>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</si>
  <si>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</si>
  <si>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</si>
  <si>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</si>
  <si>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</si>
  <si>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</si>
  <si>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</si>
  <si>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</si>
  <si>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</si>
  <si>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</si>
  <si>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</si>
  <si>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</si>
  <si>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</si>
  <si>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</si>
  <si>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</si>
  <si>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</si>
  <si>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</si>
  <si>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</si>
  <si>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</si>
  <si>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</si>
  <si>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</si>
  <si>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</si>
  <si>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</si>
  <si>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</si>
  <si>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</si>
  <si>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</si>
  <si>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</si>
  <si>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</si>
  <si>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</si>
  <si>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</si>
  <si>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</si>
  <si>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</si>
  <si>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</si>
  <si>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</si>
  <si>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</si>
  <si>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</si>
  <si>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</si>
  <si>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</si>
  <si>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</si>
  <si>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</si>
  <si>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</si>
  <si>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</si>
  <si>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</si>
  <si>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</si>
  <si>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</si>
  <si>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</si>
  <si>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</si>
  <si>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</si>
  <si>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</si>
  <si>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</si>
  <si>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</si>
  <si>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</si>
  <si>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</si>
  <si>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</si>
  <si>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</si>
  <si>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</si>
  <si>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</si>
  <si>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</si>
  <si>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</si>
  <si>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</si>
  <si>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</si>
  <si>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</si>
  <si>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</si>
  <si>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</si>
  <si>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</si>
  <si>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</si>
  <si>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</si>
  <si>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</si>
  <si>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</si>
  <si>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</si>
  <si>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</si>
  <si>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</si>
  <si>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</si>
  <si>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</si>
  <si>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</si>
  <si>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</si>
  <si>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</si>
  <si>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</si>
  <si>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</si>
  <si>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</si>
  <si>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</si>
  <si>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</si>
  <si>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</si>
  <si>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</si>
  <si>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</si>
  <si>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</si>
  <si>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</si>
  <si>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</si>
  <si>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</si>
  <si>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</si>
  <si>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</si>
  <si>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</si>
  <si>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</si>
  <si>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</si>
  <si>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</si>
  <si>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</si>
  <si>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</si>
  <si>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</si>
  <si>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</si>
  <si>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</si>
  <si>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</si>
  <si>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</si>
  <si>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</si>
  <si>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</si>
  <si>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</si>
  <si>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</si>
  <si>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</si>
  <si>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</si>
  <si>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</si>
  <si>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</si>
  <si>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</si>
  <si>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</si>
  <si>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</si>
  <si>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</si>
  <si>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</si>
  <si>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</si>
  <si>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</si>
  <si>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</si>
  <si>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</si>
  <si>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</si>
  <si>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</si>
  <si>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</si>
  <si>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</si>
  <si>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</si>
  <si>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</si>
  <si>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</si>
  <si>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</si>
  <si>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</si>
  <si>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</si>
  <si>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</si>
  <si>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</si>
  <si>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</si>
  <si>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</si>
  <si>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</si>
  <si>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</si>
  <si>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</si>
  <si>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</si>
  <si>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</si>
  <si>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</si>
  <si>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</si>
  <si>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</si>
  <si>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</si>
  <si>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</si>
  <si>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</si>
  <si>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</si>
  <si>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</si>
  <si>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</si>
  <si>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</si>
  <si>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</si>
  <si>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</si>
  <si>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</si>
  <si>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</si>
  <si>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</si>
  <si>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</si>
  <si>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</si>
  <si>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</si>
  <si>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</si>
  <si>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</si>
  <si>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</si>
  <si>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</si>
  <si>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</si>
  <si>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</si>
  <si>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</si>
  <si>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</si>
  <si>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</si>
  <si>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</si>
  <si>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</si>
  <si>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</si>
  <si>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</si>
  <si>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</si>
  <si>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</si>
  <si>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</si>
  <si>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</si>
  <si>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</si>
  <si>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</si>
  <si>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</si>
  <si>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</si>
  <si>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</si>
  <si>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</si>
  <si>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</si>
  <si>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</si>
  <si>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</si>
  <si>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</si>
  <si>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</si>
  <si>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</si>
  <si>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</si>
  <si>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</si>
  <si>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</si>
  <si>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</si>
  <si>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</si>
  <si>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</si>
  <si>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</si>
  <si>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</si>
  <si>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</si>
  <si>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</si>
  <si>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</si>
  <si>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</si>
  <si>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</si>
  <si>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</si>
  <si>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</si>
  <si>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</si>
  <si>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</si>
  <si>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</si>
  <si>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</si>
  <si>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</si>
  <si>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</si>
  <si>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</si>
  <si>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</si>
  <si>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</si>
  <si>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</si>
  <si>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</si>
  <si>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</si>
  <si>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</si>
  <si>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</si>
  <si>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</si>
  <si>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</si>
  <si>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</si>
  <si>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</si>
  <si>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</si>
  <si>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</si>
  <si>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</si>
  <si>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</si>
  <si>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</si>
  <si>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</si>
  <si>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</si>
  <si>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</si>
  <si>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</si>
  <si>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</si>
  <si>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</si>
  <si>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</si>
  <si>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</si>
  <si>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</si>
  <si>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</si>
  <si>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</si>
  <si>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</si>
  <si>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</si>
  <si>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</si>
  <si>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</si>
  <si>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</si>
  <si>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</si>
  <si>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</si>
  <si>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</si>
  <si>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</si>
  <si>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</si>
  <si>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</si>
  <si>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</si>
  <si>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</si>
  <si>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</si>
  <si>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</si>
  <si>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</si>
  <si>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</si>
  <si>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</si>
  <si>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</si>
  <si>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</si>
  <si>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</si>
  <si>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</si>
  <si>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</si>
  <si>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</si>
  <si>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</si>
  <si>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</si>
  <si>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</si>
  <si>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</si>
  <si>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</si>
  <si>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</si>
  <si>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</si>
  <si>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</si>
  <si>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</si>
  <si>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</si>
  <si>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</si>
  <si>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</si>
  <si>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</si>
  <si>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</si>
  <si>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</si>
  <si>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</si>
  <si>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</si>
  <si>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</si>
  <si>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</si>
  <si>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</si>
  <si>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</si>
  <si>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</si>
  <si>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</si>
  <si>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</si>
  <si>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</si>
  <si>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</si>
  <si>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</si>
  <si>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</si>
  <si>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</si>
  <si>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</si>
  <si>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</si>
  <si>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</si>
  <si>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</si>
  <si>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</si>
  <si>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</si>
  <si>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</si>
  <si>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</si>
  <si>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</si>
  <si>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</si>
  <si>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</si>
  <si>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</si>
  <si>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</si>
  <si>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</si>
  <si>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</si>
  <si>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</si>
  <si>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</si>
  <si>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</si>
  <si>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</si>
  <si>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</si>
  <si>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</si>
  <si>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</si>
  <si>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</si>
  <si>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</si>
  <si>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</si>
  <si>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</si>
  <si>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</si>
  <si>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</si>
  <si>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</si>
  <si>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</si>
  <si>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</si>
  <si>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</si>
  <si>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</si>
  <si>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</si>
  <si>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</si>
  <si>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</si>
  <si>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</si>
  <si>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</si>
  <si>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</si>
  <si>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</si>
  <si>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</si>
  <si>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</si>
  <si>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</si>
  <si>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</si>
  <si>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</si>
  <si>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</si>
  <si>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</si>
  <si>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</si>
  <si>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</si>
  <si>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</si>
  <si>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</si>
  <si>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</si>
  <si>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</si>
  <si>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</si>
  <si>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</si>
  <si>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</si>
  <si>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</si>
  <si>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</si>
  <si>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</si>
  <si>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</si>
  <si>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</si>
  <si>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</si>
  <si>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</si>
  <si>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</si>
  <si>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</si>
  <si>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</si>
  <si>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</si>
  <si>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</si>
  <si>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</si>
  <si>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</si>
  <si>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</si>
  <si>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</si>
  <si>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</si>
  <si>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</si>
  <si>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</si>
  <si>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</si>
  <si>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</si>
  <si>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</si>
  <si>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</si>
  <si>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</si>
  <si>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</si>
  <si>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</si>
  <si>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</si>
  <si>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</si>
  <si>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</si>
  <si>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</si>
  <si>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</si>
  <si>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</si>
  <si>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</si>
  <si>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</si>
  <si>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</si>
  <si>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</si>
  <si>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</si>
  <si>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</si>
  <si>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</si>
  <si>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</si>
  <si>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</si>
  <si>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</si>
  <si>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</si>
  <si>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</si>
  <si>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</si>
  <si>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</si>
  <si>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</si>
  <si>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</si>
  <si>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</si>
  <si>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</si>
  <si>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</si>
  <si>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</si>
  <si>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</si>
  <si>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</si>
  <si>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</si>
  <si>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</si>
  <si>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</si>
  <si>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</si>
  <si>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</si>
  <si>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</si>
  <si>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</si>
  <si>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</si>
  <si>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</si>
  <si>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</si>
  <si>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</si>
  <si>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</si>
  <si>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</si>
  <si>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</si>
  <si>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</si>
  <si>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</si>
  <si>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</si>
  <si>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</si>
  <si>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</si>
  <si>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</si>
  <si>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</si>
  <si>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</si>
  <si>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</si>
  <si>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</si>
  <si>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</si>
  <si>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</si>
  <si>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</si>
  <si>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</si>
  <si>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</si>
  <si>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</si>
  <si>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</si>
  <si>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</si>
  <si>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</si>
  <si>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</si>
  <si>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</si>
  <si>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</si>
  <si>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</si>
  <si>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</si>
  <si>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</si>
  <si>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</si>
  <si>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</si>
  <si>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</si>
  <si>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</si>
  <si>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</si>
  <si>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</si>
  <si>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</si>
  <si>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</si>
  <si>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</si>
  <si>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</si>
  <si>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</si>
  <si>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</si>
  <si>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</si>
  <si>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</si>
  <si>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</si>
  <si>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</si>
  <si>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</si>
  <si>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</si>
  <si>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</si>
  <si>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</si>
  <si>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</si>
  <si>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</si>
  <si>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</si>
  <si>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</si>
  <si>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</si>
  <si>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</si>
  <si>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</si>
  <si>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</si>
  <si>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</si>
  <si>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</si>
  <si>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</si>
  <si>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</si>
  <si>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</si>
  <si>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</si>
  <si>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</si>
  <si>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</si>
  <si>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</si>
  <si>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</si>
  <si>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</si>
  <si>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</si>
  <si>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</si>
  <si>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</si>
  <si>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</si>
  <si>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</si>
  <si>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</si>
  <si>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</si>
  <si>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</si>
  <si>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</si>
  <si>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</si>
  <si>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</si>
  <si>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</si>
  <si>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</si>
  <si>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</si>
  <si>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</si>
  <si>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</si>
  <si>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</si>
  <si>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</si>
  <si>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</si>
  <si>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</si>
  <si>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</si>
  <si>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</si>
  <si>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</si>
  <si>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</si>
  <si>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</si>
  <si>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</si>
  <si>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</si>
  <si>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</si>
  <si>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</si>
  <si>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</si>
  <si>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</si>
  <si>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</si>
  <si>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</si>
  <si>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</si>
  <si>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</si>
  <si>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</si>
  <si>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</si>
  <si>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</si>
  <si>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</si>
  <si>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</si>
  <si>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</si>
  <si>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</si>
  <si>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</si>
  <si>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</si>
  <si>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</si>
  <si>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</si>
  <si>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</si>
  <si>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</si>
  <si>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</si>
  <si>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</si>
  <si>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</si>
  <si>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</si>
  <si>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</si>
  <si>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</si>
  <si>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</si>
  <si>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</si>
  <si>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</si>
  <si>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</si>
  <si>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</si>
  <si>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</si>
  <si>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</si>
  <si>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</si>
  <si>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</si>
  <si>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</si>
  <si>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</si>
  <si>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</si>
  <si>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</si>
  <si>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</si>
  <si>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</si>
  <si>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</si>
  <si>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</si>
  <si>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</si>
  <si>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</si>
  <si>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</si>
  <si>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</si>
  <si>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</si>
  <si>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</si>
  <si>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</si>
  <si>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</si>
  <si>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</si>
  <si>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</si>
  <si>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</si>
  <si>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</si>
  <si>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</si>
  <si>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</si>
  <si>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</si>
  <si>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</si>
  <si>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</si>
  <si>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</si>
  <si>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</si>
  <si>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</si>
  <si>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</si>
  <si>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</si>
  <si>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</si>
  <si>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</si>
  <si>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</si>
  <si>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</si>
  <si>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</si>
  <si>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</si>
  <si>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</si>
  <si>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</si>
  <si>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</si>
  <si>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</si>
  <si>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</si>
  <si>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</si>
  <si>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</si>
  <si>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</si>
  <si>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</si>
  <si>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</si>
  <si>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</si>
  <si>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</si>
  <si>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</si>
  <si>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</si>
  <si>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</si>
  <si>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</si>
  <si>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</si>
  <si>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</si>
  <si>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</si>
  <si>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</si>
  <si>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</si>
  <si>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</si>
  <si>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</si>
  <si>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</si>
  <si>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</si>
  <si>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</si>
  <si>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</si>
  <si>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</si>
  <si>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</si>
  <si>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</si>
  <si>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</si>
  <si>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</si>
  <si>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</si>
  <si>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</si>
  <si>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</si>
  <si>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</si>
  <si>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</si>
  <si>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</si>
  <si>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</si>
  <si>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</si>
  <si>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</si>
  <si>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</si>
  <si>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</si>
  <si>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</si>
  <si>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</si>
  <si>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</si>
  <si>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</si>
  <si>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</si>
  <si>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</si>
  <si>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</si>
  <si>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</si>
  <si>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抵押</t>
  </si>
  <si>
    <t>房地产抵押价值</t>
  </si>
  <si>
    <t>北京市</t>
  </si>
  <si>
    <t>企业</t>
  </si>
  <si>
    <t>出让</t>
  </si>
  <si>
    <t>办公项目</t>
  </si>
  <si>
    <t>无</t>
  </si>
  <si>
    <t>否</t>
  </si>
  <si>
    <t>现房</t>
  </si>
  <si>
    <t>是</t>
  </si>
  <si>
    <t>地上</t>
  </si>
  <si>
    <t>办公楼</t>
  </si>
  <si>
    <t>办公楼</t>
    <phoneticPr fontId="7" type="noConversion"/>
  </si>
  <si>
    <t>收益法</t>
  </si>
  <si>
    <t>较好</t>
    <phoneticPr fontId="3" type="noConversion"/>
  </si>
  <si>
    <t>七通</t>
    <phoneticPr fontId="3" type="noConversion"/>
  </si>
  <si>
    <t>成本法</t>
  </si>
  <si>
    <t>成本比率</t>
  </si>
  <si>
    <t>商务金融用地（办公类）</t>
  </si>
  <si>
    <t>不临58条商业街</t>
  </si>
  <si>
    <t>通路</t>
  </si>
  <si>
    <t>通电</t>
  </si>
  <si>
    <t>通讯</t>
  </si>
  <si>
    <t>通上水</t>
  </si>
  <si>
    <t>通下水</t>
  </si>
  <si>
    <t>与级别开发程度不一致</t>
  </si>
  <si>
    <t>按公示增长率计算</t>
  </si>
  <si>
    <t>容积率修正</t>
  </si>
  <si>
    <t>较好</t>
  </si>
  <si>
    <t>好</t>
  </si>
  <si>
    <t>未包含在土地购买价格中</t>
  </si>
  <si>
    <t>全部缴纳</t>
  </si>
  <si>
    <t>押一</t>
  </si>
  <si>
    <t>非生产用房</t>
  </si>
  <si>
    <t>钢混</t>
  </si>
  <si>
    <t>自定义</t>
  </si>
  <si>
    <t>正常</t>
  </si>
  <si>
    <t>30-40（含）</t>
  </si>
  <si>
    <t>七通</t>
  </si>
  <si>
    <r>
      <rPr>
        <sz val="11"/>
        <rFont val="宋体"/>
        <family val="3"/>
        <charset val="134"/>
      </rPr>
      <t>城市次干道</t>
    </r>
    <r>
      <rPr>
        <sz val="11"/>
        <rFont val="Arial"/>
        <family val="2"/>
      </rPr>
      <t>-</t>
    </r>
    <r>
      <rPr>
        <sz val="11"/>
        <rFont val="宋体"/>
        <family val="3"/>
        <charset val="134"/>
      </rPr>
      <t>中关村大街</t>
    </r>
    <phoneticPr fontId="3" type="noConversion"/>
  </si>
  <si>
    <t>次干道</t>
  </si>
  <si>
    <t>低区</t>
  </si>
  <si>
    <t>塔楼</t>
  </si>
  <si>
    <t>普通装修</t>
  </si>
  <si>
    <t>标准</t>
  </si>
  <si>
    <t>专业</t>
  </si>
  <si>
    <t>五通</t>
  </si>
  <si>
    <t>精装修</t>
  </si>
  <si>
    <r>
      <rPr>
        <sz val="11"/>
        <rFont val="宋体"/>
        <family val="3"/>
        <charset val="134"/>
      </rPr>
      <t>城市次干道</t>
    </r>
    <r>
      <rPr>
        <sz val="11"/>
        <rFont val="Arial"/>
        <family val="2"/>
      </rPr>
      <t>-</t>
    </r>
    <r>
      <rPr>
        <sz val="11"/>
        <rFont val="宋体"/>
        <family val="3"/>
        <charset val="134"/>
      </rPr>
      <t>中关村大街</t>
    </r>
    <phoneticPr fontId="3" type="noConversion"/>
  </si>
  <si>
    <t>海龙大厦</t>
    <phoneticPr fontId="3" type="noConversion"/>
  </si>
  <si>
    <r>
      <rPr>
        <sz val="11"/>
        <color theme="9" tint="-0.249977111117893"/>
        <rFont val="宋体"/>
        <family val="3"/>
        <charset val="134"/>
      </rPr>
      <t>中关村大街</t>
    </r>
    <r>
      <rPr>
        <sz val="11"/>
        <color theme="9" tint="-0.249977111117893"/>
        <rFont val="Arial"/>
        <family val="2"/>
      </rPr>
      <t>1</t>
    </r>
    <r>
      <rPr>
        <sz val="11"/>
        <color theme="9" tint="-0.249977111117893"/>
        <rFont val="宋体"/>
        <family val="3"/>
        <charset val="134"/>
      </rPr>
      <t>号</t>
    </r>
    <phoneticPr fontId="3" type="noConversion"/>
  </si>
  <si>
    <t>中关村大街38号</t>
    <phoneticPr fontId="3" type="noConversion"/>
  </si>
  <si>
    <t>中区</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</si>
  <si>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</si>
  <si>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</si>
  <si>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</si>
  <si>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</si>
  <si>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</si>
  <si>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</si>
  <si>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</si>
  <si>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</si>
  <si>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塔楼</t>
    <phoneticPr fontId="3" type="noConversion"/>
  </si>
  <si>
    <t>钢混</t>
    <phoneticPr fontId="3" type="noConversion"/>
  </si>
  <si>
    <t>精装修</t>
    <phoneticPr fontId="3" type="noConversion"/>
  </si>
  <si>
    <t>普通装修</t>
    <phoneticPr fontId="3" type="noConversion"/>
  </si>
  <si>
    <t>简装修</t>
    <phoneticPr fontId="3" type="noConversion"/>
  </si>
  <si>
    <t>毛坯</t>
    <phoneticPr fontId="3" type="noConversion"/>
  </si>
  <si>
    <t>标准</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</si>
  <si>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</si>
  <si>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</si>
  <si>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</si>
  <si>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</si>
  <si>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</si>
  <si>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</si>
  <si>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办公</t>
    <phoneticPr fontId="32" type="noConversion"/>
  </si>
  <si>
    <t xml:space="preserve"> </t>
    <phoneticPr fontId="32" type="noConversion"/>
  </si>
  <si>
    <t>租金</t>
  </si>
  <si>
    <t>中关村科贸电子城</t>
    <phoneticPr fontId="3" type="noConversion"/>
  </si>
  <si>
    <t>中关村大街18号</t>
    <phoneticPr fontId="3" type="noConversion"/>
  </si>
  <si>
    <t>银科大厦</t>
    <phoneticPr fontId="3" type="noConversion"/>
  </si>
  <si>
    <t>按租金收入计税</t>
  </si>
  <si>
    <t>平整</t>
  </si>
  <si>
    <t>成新度</t>
  </si>
  <si>
    <r>
      <rPr>
        <sz val="11"/>
        <rFont val="宋体"/>
        <family val="3"/>
        <charset val="134"/>
      </rPr>
      <t>城市次干道</t>
    </r>
    <r>
      <rPr>
        <sz val="11"/>
        <rFont val="Arial"/>
        <family val="2"/>
      </rPr>
      <t>-</t>
    </r>
    <r>
      <rPr>
        <sz val="11"/>
        <rFont val="宋体"/>
        <family val="3"/>
        <charset val="134"/>
      </rPr>
      <t>苏州街</t>
    </r>
    <phoneticPr fontId="3" type="noConversion"/>
  </si>
  <si>
    <t>《房屋所有权证》[X京房权海字第065779号]</t>
    <phoneticPr fontId="6" type="noConversion"/>
  </si>
  <si>
    <t>《国有土地使用证》[京海国用（2009转）第4657号]</t>
    <phoneticPr fontId="6" type="noConversion"/>
  </si>
  <si>
    <t>办公</t>
    <phoneticPr fontId="6" type="noConversion"/>
  </si>
  <si>
    <t>通热</t>
  </si>
  <si>
    <r>
      <t>6</t>
    </r>
    <r>
      <rPr>
        <sz val="10"/>
        <color indexed="8"/>
        <rFont val="宋体"/>
        <family val="3"/>
        <charset val="134"/>
      </rPr>
      <t>层</t>
    </r>
    <phoneticPr fontId="3" type="noConversion"/>
  </si>
  <si>
    <t>一般</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</si>
  <si>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中关村大街</t>
    </r>
    <phoneticPr fontId="3" type="noConversion"/>
  </si>
  <si>
    <t>高区</t>
  </si>
  <si>
    <r>
      <rPr>
        <sz val="12"/>
        <color theme="9" tint="-0.249977111117893"/>
        <rFont val="宋体"/>
        <family val="3"/>
        <charset val="134"/>
      </rPr>
      <t>海淀区中关村大街</t>
    </r>
    <r>
      <rPr>
        <sz val="12"/>
        <color theme="9" tint="-0.249977111117893"/>
        <rFont val="Arial"/>
        <family val="2"/>
      </rPr>
      <t>18</t>
    </r>
    <r>
      <rPr>
        <sz val="12"/>
        <color theme="9" tint="-0.249977111117893"/>
        <rFont val="宋体"/>
        <family val="3"/>
        <charset val="134"/>
      </rPr>
      <t>号六层综合用房</t>
    </r>
    <phoneticPr fontId="6" type="noConversion"/>
  </si>
  <si>
    <t>崔锴</t>
  </si>
  <si>
    <t>吴薇</t>
  </si>
  <si>
    <t>2.估价师知悉的除抵押担保权以外的法定优先受偿款</t>
  </si>
  <si>
    <t>北京鹏泽置业有限公司</t>
    <phoneticPr fontId="6" type="noConversion"/>
  </si>
  <si>
    <t>中国民生银行股份有限公司大连高新技术产业园区支行</t>
    <phoneticPr fontId="6" type="noConversion"/>
  </si>
  <si>
    <t>建筑物价值</t>
  </si>
  <si>
    <t>建筑面积</t>
  </si>
  <si>
    <t>大连国美电器有限公司</t>
    <phoneticPr fontId="6" type="noConversion"/>
  </si>
  <si>
    <r>
      <rPr>
        <sz val="12"/>
        <color theme="9" tint="-0.249977111117893"/>
        <rFont val="宋体"/>
        <family val="3"/>
        <charset val="134"/>
      </rPr>
      <t>办公</t>
    </r>
    <r>
      <rPr>
        <sz val="12"/>
        <color theme="9" tint="-0.249977111117893"/>
        <rFont val="Arial"/>
        <family val="2"/>
      </rPr>
      <t>31.52</t>
    </r>
    <r>
      <rPr>
        <sz val="12"/>
        <color theme="9" tint="-0.249977111117893"/>
        <rFont val="宋体"/>
        <family val="3"/>
        <charset val="134"/>
      </rPr>
      <t>年</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</si>
</sst>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50" fillId="5"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81" fontId="47" fillId="0" borderId="37"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10" fontId="54" fillId="7" borderId="1" xfId="0" applyNumberFormat="1" applyFont="1" applyFill="1" applyBorder="1" applyAlignment="1" applyProtection="1">
      <alignment horizontal="center" vertical="center"/>
      <protection locked="0"/>
    </xf>
    <xf numFmtId="181" fontId="56"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4" fillId="7" borderId="3" xfId="0" applyFont="1" applyFill="1" applyBorder="1" applyAlignment="1" applyProtection="1">
      <alignment vertical="center"/>
      <protection locked="0"/>
    </xf>
    <xf numFmtId="0" fontId="54" fillId="5" borderId="3" xfId="0" applyNumberFormat="1" applyFont="1" applyFill="1" applyBorder="1" applyAlignment="1" applyProtection="1">
      <alignment horizontal="center" vertical="center" wrapText="1"/>
      <protection locked="0"/>
    </xf>
    <xf numFmtId="176" fontId="50" fillId="0" borderId="1" xfId="0" applyNumberFormat="1" applyFont="1" applyFill="1" applyBorder="1" applyAlignment="1" applyProtection="1">
      <alignment vertical="center" wrapText="1"/>
      <protection locked="0"/>
    </xf>
    <xf numFmtId="176" fontId="47" fillId="0" borderId="1" xfId="0" applyNumberFormat="1" applyFont="1" applyFill="1" applyBorder="1" applyAlignment="1" applyProtection="1">
      <alignment vertical="center" wrapText="1"/>
      <protection locked="0"/>
    </xf>
    <xf numFmtId="0" fontId="47" fillId="0" borderId="1"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90" fillId="7" borderId="5" xfId="0" applyFont="1" applyFill="1" applyBorder="1" applyAlignment="1" applyProtection="1">
      <alignment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256286</xdr:colOff>
      <xdr:row>11</xdr:row>
      <xdr:rowOff>104526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4286" cy="1990476"/>
        </a:xfrm>
        <a:prstGeom prst="rect">
          <a:avLst/>
        </a:prstGeom>
      </xdr:spPr>
    </xdr:pic>
    <xdr:clientData/>
  </xdr:twoCellAnchor>
  <xdr:twoCellAnchor editAs="oneCell">
    <xdr:from>
      <xdr:col>0</xdr:col>
      <xdr:colOff>0</xdr:colOff>
      <xdr:row>13</xdr:row>
      <xdr:rowOff>0</xdr:rowOff>
    </xdr:from>
    <xdr:to>
      <xdr:col>10</xdr:col>
      <xdr:colOff>84858</xdr:colOff>
      <xdr:row>25</xdr:row>
      <xdr:rowOff>18791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228850"/>
          <a:ext cx="6942858" cy="2076191"/>
        </a:xfrm>
        <a:prstGeom prst="rect">
          <a:avLst/>
        </a:prstGeom>
      </xdr:spPr>
    </xdr:pic>
    <xdr:clientData/>
  </xdr:twoCellAnchor>
  <xdr:twoCellAnchor editAs="oneCell">
    <xdr:from>
      <xdr:col>0</xdr:col>
      <xdr:colOff>0</xdr:colOff>
      <xdr:row>24</xdr:row>
      <xdr:rowOff>57150</xdr:rowOff>
    </xdr:from>
    <xdr:to>
      <xdr:col>10</xdr:col>
      <xdr:colOff>584134</xdr:colOff>
      <xdr:row>32</xdr:row>
      <xdr:rowOff>161925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71950"/>
          <a:ext cx="7442134" cy="147637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北京市海淀区中关村大街18号六层综合用房房地产抵押价值预评估</v>
      </c>
    </row>
    <row r="3" spans="1:2" s="1593" customFormat="1">
      <c r="A3" s="1591" t="s">
        <v>1217</v>
      </c>
      <c r="B3" s="1592" t="str">
        <f>'预评函-封皮'!B40</f>
        <v>大连国美电器有限公司</v>
      </c>
    </row>
    <row r="4" spans="1:2" s="1593" customFormat="1">
      <c r="A4" s="1591" t="s">
        <v>1218</v>
      </c>
      <c r="B4" s="1592" t="str">
        <f ca="1">'预评函-封皮'!B46</f>
        <v>吴薇（注册号：1419970001)、崔锴（注册号：1120100036)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受贵公司委托，我公司对北京市海淀区中关村大街18号六层综合用房房地产抵押价值进行了预评估。</v>
      </c>
    </row>
    <row r="7" spans="1:2" s="1593" customFormat="1">
      <c r="A7" s="1591" t="s">
        <v>1260</v>
      </c>
      <c r="B7" s="1592" t="str">
        <f>'预评函-1'!A7</f>
        <v>估价对象为北京市海淀区中关村大街18号六层综合用房房地产，为所有。根据《国有土地使用证》[京海国用（2009转）第4657号]，估价对象（分摊）出让国有建设用地使用权面积为927.85平方米。根据《房屋所有权证》[X京房权海字第065779号]，估价对象建筑面积为8276.64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海淀区中关村大街18号六层综合用房房地产,属开发建设的办公项目，该项目尚在开发建设中。根据《国有土地使用证》[京海国用（2009转）第4657号]，估价对象（分摊）出让国有建设用地使用权面积为927.85平方米。根据《房屋所有权证》[X京房权海字第065779号]，估价对象规划建筑面积为8276.64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为估价委托人在向中国民生银行股份有限公司大连高新技术产业园区支行办理贷款手续过程中，确定房地产抵押贷款额度提供参考依据而评估房地产抵押价值。</v>
      </c>
    </row>
    <row r="12" spans="1:2" s="1593" customFormat="1">
      <c r="A12" s="1591" t="s">
        <v>1222</v>
      </c>
      <c r="B12" s="1592" t="str">
        <f>'预评函-1'!A15</f>
        <v>2019年12月23日（评估专业人员实地查勘之日）</v>
      </c>
    </row>
    <row r="13" spans="1:2" s="1593" customFormat="1">
      <c r="A13" s="1591" t="s">
        <v>1223</v>
      </c>
      <c r="B13" s="1592" t="str">
        <f>'预评函-1'!A18</f>
        <v>本次估价的“房地产价值”是指在正常市场情况下，在价值时点2019年12月23日，估价对象规划用途为办公，土地取得方式为出让，出让国有建设用地使用权剩余土地使用年限为办公31.52年，假定未设立法定优先受偿款下的房地产市场价值。</v>
      </c>
    </row>
    <row r="14" spans="1:2" s="1593" customFormat="1">
      <c r="A14" s="1591" t="s">
        <v>1224</v>
      </c>
      <c r="B14" s="1592" t="str">
        <f>'预评函-1'!A19</f>
        <v>其中，“出让国有建设用地使用权价值”是指估价对象用途为办公，实际开发程度为宗地红线外“七通”（即通路、通电、通讯、通上水、通下水、通热、）、红线内场地平整条件下，剩余土地使用年限为办公31.52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28850</v>
      </c>
    </row>
    <row r="21" spans="1:2" s="1593" customFormat="1">
      <c r="A21" s="1591" t="s">
        <v>1231</v>
      </c>
      <c r="B21" s="1592">
        <f ca="1">'预评函-2'!D7</f>
        <v>34857</v>
      </c>
    </row>
    <row r="22" spans="1:2" s="1593" customFormat="1">
      <c r="A22" s="1591" t="s">
        <v>1232</v>
      </c>
      <c r="B22" s="1592" t="str">
        <f ca="1">'预评函-2'!D6</f>
        <v>贰亿捌仟捌佰伍拾万元整</v>
      </c>
    </row>
    <row r="23" spans="1:2" s="1593" customFormat="1">
      <c r="A23" s="1591" t="s">
        <v>1283</v>
      </c>
      <c r="B23" s="1592" t="str">
        <f>'预评函-2'!B8</f>
        <v>2.估价师知悉的除抵押担保权以外的法定优先受偿款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28850</v>
      </c>
    </row>
    <row r="31" spans="1:2" s="1593" customFormat="1">
      <c r="A31" s="1591" t="s">
        <v>1270</v>
      </c>
      <c r="B31" s="1592">
        <f ca="1">'预评函-2'!D15</f>
        <v>34857</v>
      </c>
    </row>
    <row r="32" spans="1:2" s="1593" customFormat="1">
      <c r="A32" s="1591" t="s">
        <v>1237</v>
      </c>
      <c r="B32" s="1592" t="str">
        <f ca="1">'预评函-2'!D14</f>
        <v>贰亿捌仟捌佰伍拾万元整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北京市海淀区中关村大街18号六层综合用房房地产</v>
      </c>
    </row>
    <row r="42" spans="1:2" s="1593" customFormat="1">
      <c r="A42" s="1591" t="s">
        <v>1284</v>
      </c>
      <c r="B42" s="1592" t="str">
        <f>'预评函-3'!B2</f>
        <v>建筑面积</v>
      </c>
    </row>
    <row r="43" spans="1:2" s="1593" customFormat="1">
      <c r="A43" s="1591" t="s">
        <v>1285</v>
      </c>
      <c r="B43" s="1592">
        <f>'预评函-3'!B4</f>
        <v>8276.64</v>
      </c>
    </row>
    <row r="44" spans="1:2" s="1593" customFormat="1">
      <c r="A44" s="1591" t="s">
        <v>1269</v>
      </c>
      <c r="B44" s="1592" t="str">
        <f>'预评函-3'!C2</f>
        <v>(分摊)土地面积</v>
      </c>
    </row>
    <row r="45" spans="1:2" s="1593" customFormat="1">
      <c r="A45" s="1591" t="s">
        <v>1241</v>
      </c>
      <c r="B45" s="1592">
        <f>'预评函-3'!C4</f>
        <v>927.85</v>
      </c>
    </row>
    <row r="46" spans="1:2" s="1593" customFormat="1">
      <c r="A46" s="1591" t="s">
        <v>1267</v>
      </c>
      <c r="B46" s="1592" t="str">
        <f>'预评函-3'!D2</f>
        <v>出让国有建设用地使用权价值</v>
      </c>
    </row>
    <row r="47" spans="1:2" s="1593" customFormat="1">
      <c r="A47" s="1591" t="s">
        <v>1242</v>
      </c>
      <c r="B47" s="1592">
        <f ca="1">'预评函-3'!D4</f>
        <v>26427</v>
      </c>
    </row>
    <row r="48" spans="1:2" s="1593" customFormat="1">
      <c r="A48" s="1591" t="s">
        <v>1243</v>
      </c>
      <c r="B48" s="1592">
        <f ca="1">'预评函-3'!E4</f>
        <v>31929</v>
      </c>
    </row>
    <row r="49" spans="1:2" s="1593" customFormat="1">
      <c r="A49" s="1591" t="s">
        <v>1244</v>
      </c>
      <c r="B49" s="1592" t="str">
        <f ca="1">'预评函-3'!D5</f>
        <v>贰亿陆仟肆佰贰拾柒万元整</v>
      </c>
    </row>
    <row r="50" spans="1:2" s="1593" customFormat="1">
      <c r="A50" s="1591" t="s">
        <v>1268</v>
      </c>
      <c r="B50" s="1592" t="str">
        <f>'预评函-3'!F2</f>
        <v>建筑物价值</v>
      </c>
    </row>
    <row r="51" spans="1:2" s="1593" customFormat="1">
      <c r="A51" s="1591" t="s">
        <v>1245</v>
      </c>
      <c r="B51" s="1592">
        <f ca="1">'预评函-3'!F4</f>
        <v>2423</v>
      </c>
    </row>
    <row r="52" spans="1:2" s="1593" customFormat="1">
      <c r="A52" s="1591" t="s">
        <v>1246</v>
      </c>
      <c r="B52" s="1592">
        <f ca="1">'预评函-3'!G4</f>
        <v>2928</v>
      </c>
    </row>
    <row r="53" spans="1:2" s="1593" customFormat="1">
      <c r="A53" s="1591" t="s">
        <v>1274</v>
      </c>
      <c r="B53" s="1592" t="str">
        <f ca="1">'预评函-3'!F5</f>
        <v>贰仟肆佰贰拾叁万元整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估价师知悉的除抵押担保权以外的法定优先受偿款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故，本次评估不存在估价师知悉的除抵押担保权以外的法定优先受偿款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吴薇</v>
      </c>
    </row>
    <row r="71" spans="1:2">
      <c r="A71" s="1591" t="s">
        <v>1257</v>
      </c>
      <c r="B71" s="1592">
        <f ca="1">'预评函-4'!B4</f>
        <v>1419970001</v>
      </c>
    </row>
    <row r="72" spans="1:2">
      <c r="A72" s="1591" t="s">
        <v>1258</v>
      </c>
      <c r="B72" s="1600" t="str">
        <f>'预评函-4'!A5</f>
        <v>崔锴</v>
      </c>
    </row>
    <row r="73" spans="1:2" s="1587" customFormat="1" ht="15" thickBot="1">
      <c r="A73" s="1594" t="s">
        <v>1259</v>
      </c>
      <c r="B73" s="1595">
        <f ca="1">'预评函-4'!B5</f>
        <v>1120100036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1141</v>
      </c>
      <c r="R1" s="2009" t="s">
        <v>1135</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1137</v>
      </c>
      <c r="S2" s="2015" t="s">
        <v>1707</v>
      </c>
      <c r="T2" s="2015" t="s">
        <v>1708</v>
      </c>
      <c r="U2" s="2015" t="s">
        <v>1707</v>
      </c>
      <c r="V2" s="2015" t="s">
        <v>1709</v>
      </c>
      <c r="W2" s="2015" t="s">
        <v>1707</v>
      </c>
    </row>
    <row r="3" spans="1:23">
      <c r="A3" s="2013" t="s">
        <v>1710</v>
      </c>
      <c r="B3" s="2016" t="s">
        <v>1142</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1136</v>
      </c>
      <c r="S3" s="2015" t="s">
        <v>1715</v>
      </c>
      <c r="T3" s="2015" t="s">
        <v>1716</v>
      </c>
      <c r="U3" s="2015" t="s">
        <v>1715</v>
      </c>
      <c r="V3" s="2015" t="s">
        <v>1717</v>
      </c>
      <c r="W3" s="2015" t="s">
        <v>1715</v>
      </c>
    </row>
    <row r="4" spans="1:23">
      <c r="A4" s="2013" t="s">
        <v>1718</v>
      </c>
      <c r="B4" s="2013" t="s">
        <v>1719</v>
      </c>
      <c r="C4" s="2014" t="s">
        <v>762</v>
      </c>
      <c r="D4" s="2015" t="s">
        <v>865</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1138</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1139</v>
      </c>
      <c r="S5" s="2015" t="s">
        <v>1730</v>
      </c>
      <c r="T5" s="2015" t="s">
        <v>1731</v>
      </c>
      <c r="U5" s="2015" t="s">
        <v>1730</v>
      </c>
      <c r="W5" s="2015" t="s">
        <v>1730</v>
      </c>
    </row>
    <row r="6" spans="1:23">
      <c r="A6" s="2013" t="s">
        <v>1732</v>
      </c>
      <c r="B6" s="2016" t="s">
        <v>1143</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1140</v>
      </c>
      <c r="S6" s="2015" t="s">
        <v>1735</v>
      </c>
      <c r="T6" s="2015"/>
      <c r="U6" s="2015" t="s">
        <v>1735</v>
      </c>
      <c r="W6" s="2015" t="s">
        <v>1735</v>
      </c>
    </row>
    <row r="7" spans="1:23">
      <c r="A7" s="2013" t="s">
        <v>1736</v>
      </c>
      <c r="B7" s="2016" t="s">
        <v>1144</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为估价委托人在向中国民生银行股份有限公司大连高新技术产业园区支行办理贷款手续过程中，确定房地产抵押贷款额度提供参考依据而评估房地产抵押价值。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鹏泽置业有限公司拟使用北京市海淀区中关村大街18号六层综合用房房地产作为抵押担保物，向中国民生银行股份有限公司大连高新技术产业园区支行办理贷款手续。中国民生银行股份有限公司大连高新技术产业园区支行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10"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12月23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0"/>
      <c r="B54" s="2021" t="s">
        <v>861</v>
      </c>
      <c r="C54" s="2018" t="s">
        <v>1277</v>
      </c>
    </row>
    <row r="55" spans="1:4">
      <c r="A55" s="3010"/>
      <c r="B55" s="2021" t="s">
        <v>862</v>
      </c>
      <c r="C55" s="2018" t="s">
        <v>1278</v>
      </c>
    </row>
    <row r="56" spans="1:4">
      <c r="A56" s="3010"/>
      <c r="B56" s="2021" t="s">
        <v>863</v>
      </c>
      <c r="C56" s="2018" t="s">
        <v>1282</v>
      </c>
    </row>
    <row r="57" spans="1:4">
      <c r="A57" s="3010"/>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K20" sqref="K20:K22"/>
    </sheetView>
  </sheetViews>
  <sheetFormatPr defaultColWidth="10" defaultRowHeight="18" customHeight="1"/>
  <cols>
    <col min="1" max="1" width="14.875" style="2031" customWidth="1"/>
    <col min="2" max="2" width="13.5" style="2031" customWidth="1"/>
    <col min="3" max="3" width="11.5" style="2031" customWidth="1"/>
    <col min="4" max="4" width="11.75" style="2031" customWidth="1"/>
    <col min="5" max="6" width="10" style="2031" customWidth="1"/>
    <col min="7" max="7" width="10.75" style="2031" customWidth="1"/>
    <col min="8" max="8" width="10" style="2031" customWidth="1"/>
    <col min="9" max="9" width="11.125" style="2156" customWidth="1"/>
    <col min="10" max="10" width="10" style="2031" customWidth="1"/>
    <col min="11" max="11" width="10" style="2157" customWidth="1"/>
    <col min="12" max="13" width="10" style="2158" customWidth="1"/>
    <col min="14" max="14" width="10" style="2031" customWidth="1"/>
    <col min="15" max="15" width="10" style="2156" customWidth="1"/>
    <col min="16" max="17" width="10" style="2031"/>
    <col min="18" max="18" width="10" style="2031" customWidth="1"/>
    <col min="19" max="16384" width="10" style="2031"/>
  </cols>
  <sheetData>
    <row r="1" spans="1:19" ht="38.25" customHeight="1" thickBot="1">
      <c r="A1" s="2024" t="s">
        <v>1770</v>
      </c>
      <c r="B1" s="3011" t="str">
        <f>IF(B10="北京市","北京市",C10)&amp;F10&amp;IF(结果表!G1="在建","出让国有建设用地使用权及在建建筑物",IF(结果表!G1="土地","出让国有建设用地使用权",))&amp;B9&amp;"预评估"</f>
        <v>北京市海淀区中关村大街18号六层综合用房房地产抵押价值预评估</v>
      </c>
      <c r="C1" s="3012"/>
      <c r="D1" s="3012"/>
      <c r="E1" s="3012"/>
      <c r="F1" s="3012"/>
      <c r="G1" s="3012"/>
      <c r="H1" s="3012"/>
      <c r="I1" s="3013"/>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北京市海淀区中关村大街18号六层综合用房房地产抵押价值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北京市海淀区中关村大街18号六层综合用房房地产</v>
      </c>
    </row>
    <row r="3" spans="1:19" ht="18" customHeight="1">
      <c r="A3" s="2034" t="s">
        <v>1772</v>
      </c>
      <c r="B3" s="2035">
        <v>43822</v>
      </c>
      <c r="C3" s="2036" t="s">
        <v>1773</v>
      </c>
      <c r="D3" s="2035">
        <f>B3</f>
        <v>43822</v>
      </c>
      <c r="E3" s="2025"/>
      <c r="F3" s="2025"/>
      <c r="G3" s="2025"/>
      <c r="H3" s="2025"/>
      <c r="I3" s="2025"/>
      <c r="J3" s="2025"/>
      <c r="K3" s="2026"/>
      <c r="L3" s="2027"/>
      <c r="M3" s="2027"/>
      <c r="N3" s="2028"/>
      <c r="O3" s="2029"/>
      <c r="P3" s="2028"/>
      <c r="Q3" s="2028"/>
      <c r="R3" s="2028"/>
      <c r="S3" s="2030"/>
    </row>
    <row r="4" spans="1:19" ht="18" customHeight="1" thickBot="1">
      <c r="A4" s="2037" t="s">
        <v>1774</v>
      </c>
      <c r="B4" s="2038" t="s">
        <v>3143</v>
      </c>
      <c r="C4" s="1037">
        <f ca="1">SUMIF(注册房地产估价师,B4,估价师及机构信息!B3:B24)</f>
        <v>1419970001</v>
      </c>
      <c r="D4" s="2038" t="s">
        <v>3142</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吴薇（注册号：1419970001)、崔锴（注册号：1120100036)</v>
      </c>
      <c r="L4" s="2027"/>
      <c r="M4" s="2027"/>
      <c r="N4" s="2028"/>
      <c r="O4" s="2029"/>
      <c r="P4" s="2028"/>
      <c r="Q4" s="2028"/>
      <c r="R4" s="2028"/>
      <c r="S4" s="2030"/>
    </row>
    <row r="5" spans="1:19" ht="18" customHeight="1" thickTop="1">
      <c r="A5" s="2043" t="s">
        <v>1775</v>
      </c>
      <c r="B5" s="2949" t="s">
        <v>3149</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1776</v>
      </c>
      <c r="B6" s="2950" t="s">
        <v>3146</v>
      </c>
      <c r="C6" s="2047"/>
      <c r="D6" s="2048"/>
      <c r="E6" s="2033"/>
      <c r="F6" s="2041"/>
      <c r="G6" s="2041"/>
      <c r="H6" s="2041"/>
      <c r="I6" s="2041"/>
      <c r="J6" s="2041"/>
      <c r="K6" s="2049" t="str">
        <f>IF(COUNTIF(B6,"*上海银行*"),"上海银行","")</f>
        <v/>
      </c>
      <c r="L6" s="2027"/>
      <c r="M6" s="2027"/>
      <c r="N6" s="2028"/>
      <c r="O6" s="2029"/>
      <c r="P6" s="2028"/>
      <c r="Q6" s="2028"/>
      <c r="R6" s="2028"/>
    </row>
    <row r="7" spans="1:19" ht="18" customHeight="1">
      <c r="A7" s="2046" t="s">
        <v>1777</v>
      </c>
      <c r="B7" s="3298" t="s">
        <v>3145</v>
      </c>
      <c r="C7" s="2047"/>
      <c r="D7" s="2048"/>
      <c r="E7" s="2033"/>
      <c r="F7" s="2041"/>
      <c r="G7" s="2041"/>
      <c r="H7" s="2041"/>
      <c r="I7" s="2041"/>
      <c r="J7" s="2041"/>
      <c r="K7" s="2050"/>
      <c r="L7" s="2027"/>
      <c r="M7" s="2027"/>
      <c r="N7" s="2028"/>
      <c r="O7" s="2029"/>
      <c r="P7" s="2028"/>
      <c r="Q7" s="2028"/>
      <c r="R7" s="2028"/>
    </row>
    <row r="8" spans="1:19" ht="18" customHeight="1">
      <c r="A8" s="2046" t="s">
        <v>1778</v>
      </c>
      <c r="B8" s="2051" t="s">
        <v>3049</v>
      </c>
      <c r="C8" s="2052"/>
      <c r="D8" s="3014" t="s">
        <v>1779</v>
      </c>
      <c r="E8" s="2053" t="s">
        <v>3050</v>
      </c>
      <c r="F8" s="2054"/>
      <c r="G8" s="2025"/>
      <c r="H8" s="2025"/>
      <c r="I8" s="2025"/>
      <c r="J8" s="2041"/>
      <c r="K8" s="2042"/>
      <c r="L8" s="2027"/>
      <c r="M8" s="2027"/>
      <c r="N8" s="2028"/>
      <c r="O8" s="2029"/>
      <c r="P8" s="2028"/>
      <c r="Q8" s="2028"/>
      <c r="R8" s="2028"/>
    </row>
    <row r="9" spans="1:19" ht="18" customHeight="1" thickBot="1">
      <c r="A9" s="2039" t="s">
        <v>1780</v>
      </c>
      <c r="B9" s="2055" t="s">
        <v>3050</v>
      </c>
      <c r="C9" s="2056"/>
      <c r="D9" s="3015"/>
      <c r="E9" s="2055"/>
      <c r="F9" s="2057"/>
      <c r="G9" s="2058"/>
      <c r="H9" s="2058"/>
      <c r="I9" s="2058"/>
      <c r="J9" s="2041"/>
      <c r="K9" s="2050"/>
      <c r="L9" s="2027"/>
      <c r="M9" s="2027"/>
      <c r="N9" s="2028"/>
      <c r="O9" s="2029"/>
      <c r="P9" s="2028"/>
      <c r="Q9" s="2028"/>
      <c r="R9" s="2028"/>
    </row>
    <row r="10" spans="1:19" ht="18" customHeight="1" thickTop="1">
      <c r="A10" s="2059" t="s">
        <v>1781</v>
      </c>
      <c r="B10" s="2060" t="s">
        <v>3051</v>
      </c>
      <c r="C10" s="2061"/>
      <c r="D10" s="2045"/>
      <c r="E10" s="2062" t="s">
        <v>1782</v>
      </c>
      <c r="F10" s="2063" t="s">
        <v>3141</v>
      </c>
      <c r="G10" s="2064"/>
      <c r="H10" s="2065"/>
      <c r="I10" s="2045"/>
      <c r="J10" s="2041"/>
      <c r="K10" s="2050"/>
      <c r="L10" s="2027"/>
      <c r="M10" s="2027"/>
      <c r="N10" s="2028"/>
      <c r="O10" s="2029"/>
      <c r="P10" s="2028"/>
      <c r="Q10" s="2028"/>
      <c r="R10" s="2028"/>
    </row>
    <row r="11" spans="1:19" ht="18" customHeight="1">
      <c r="A11" s="2066" t="s">
        <v>1783</v>
      </c>
      <c r="B11" s="2067" t="s">
        <v>3052</v>
      </c>
      <c r="C11" s="2068"/>
      <c r="D11" s="2069"/>
      <c r="E11" s="2041"/>
      <c r="F11" s="2041"/>
      <c r="G11" s="2041"/>
      <c r="H11" s="2041"/>
      <c r="I11" s="2041"/>
      <c r="J11" s="2041"/>
      <c r="K11" s="2050"/>
      <c r="L11" s="2027"/>
      <c r="M11" s="2027"/>
      <c r="N11" s="2028"/>
      <c r="O11" s="2029"/>
      <c r="P11" s="2028"/>
      <c r="Q11" s="2028"/>
      <c r="R11" s="2028"/>
    </row>
    <row r="12" spans="1:19" ht="18" customHeight="1">
      <c r="A12" s="2070" t="s">
        <v>1784</v>
      </c>
      <c r="B12" s="2067" t="s">
        <v>3053</v>
      </c>
      <c r="C12" s="2071" t="s">
        <v>1785</v>
      </c>
      <c r="D12" s="2072" t="s">
        <v>1786</v>
      </c>
      <c r="E12" s="2072" t="s">
        <v>1787</v>
      </c>
      <c r="F12" s="2072" t="s">
        <v>1788</v>
      </c>
      <c r="G12" s="2072" t="s">
        <v>1789</v>
      </c>
      <c r="H12" s="2072" t="s">
        <v>1790</v>
      </c>
      <c r="I12" s="2072" t="s">
        <v>1791</v>
      </c>
      <c r="J12" s="2041"/>
      <c r="K12" s="2050"/>
      <c r="L12" s="2027"/>
      <c r="M12" s="2027"/>
      <c r="N12" s="2028"/>
      <c r="O12" s="2029"/>
      <c r="P12" s="2028"/>
      <c r="Q12" s="2028"/>
      <c r="R12" s="2028"/>
    </row>
    <row r="13" spans="1:19" ht="18" customHeight="1">
      <c r="A13" s="2073"/>
      <c r="B13" s="2074"/>
      <c r="C13" s="2075" t="s">
        <v>1792</v>
      </c>
      <c r="D13" s="2076"/>
      <c r="E13" s="2076"/>
      <c r="F13" s="2076">
        <v>55330</v>
      </c>
      <c r="G13" s="2076"/>
      <c r="H13" s="2076"/>
      <c r="I13" s="1047"/>
      <c r="J13" s="2041"/>
      <c r="K13" s="2050"/>
      <c r="L13" s="2027"/>
      <c r="M13" s="2027"/>
      <c r="N13" s="2028"/>
      <c r="O13" s="2029"/>
      <c r="P13" s="2028"/>
      <c r="Q13" s="2028"/>
      <c r="R13" s="2028"/>
    </row>
    <row r="14" spans="1:19" ht="18" customHeight="1">
      <c r="A14" s="2073"/>
      <c r="B14" s="2074"/>
      <c r="C14" s="2075" t="s">
        <v>1793</v>
      </c>
      <c r="D14" s="1050"/>
      <c r="E14" s="1050"/>
      <c r="F14" s="1050">
        <v>50</v>
      </c>
      <c r="G14" s="1050"/>
      <c r="H14" s="1050"/>
      <c r="I14" s="1050"/>
      <c r="J14" s="2041"/>
      <c r="K14" s="2077"/>
      <c r="L14" s="2027"/>
      <c r="M14" s="2027"/>
      <c r="N14" s="2028"/>
      <c r="O14" s="2029"/>
      <c r="P14" s="2028"/>
      <c r="Q14" s="2028"/>
      <c r="R14" s="2028"/>
    </row>
    <row r="15" spans="1:19" ht="18" customHeight="1">
      <c r="A15" s="2059"/>
      <c r="B15" s="2078"/>
      <c r="C15" s="2075" t="s">
        <v>1794</v>
      </c>
      <c r="D15" s="1049" t="str">
        <f>IF(B12="出让",IF(D13="","",ROUNDDOWN(MIN((D13-$D$3)/365,D14),2)),D14)</f>
        <v/>
      </c>
      <c r="E15" s="1049" t="str">
        <f>IF(B12="出让",IF(E13="","",ROUNDDOWN(MIN((E13-$D$3)/365,E14),2)),E14)</f>
        <v/>
      </c>
      <c r="F15" s="1049">
        <f>IF(B12="出让",IF(F13="","",ROUNDDOWN(MIN((F13-$D$3)/365,F14),2)),F14)</f>
        <v>31.52</v>
      </c>
      <c r="G15" s="1049" t="str">
        <f>IF(B12="出让",IF(G13="","",ROUNDDOWN(MIN((G13-$D$3)/365,G14),2)),G14)</f>
        <v/>
      </c>
      <c r="H15" s="1049" t="str">
        <f>IF(B12="出让",IF(H13="","",ROUNDDOWN(MIN((H13-$D$3)/365,H14),2)),H14)</f>
        <v/>
      </c>
      <c r="I15" s="1049" t="str">
        <f>IF(B12="出让",IF(I13="","",ROUNDDOWN(MIN((I13-$D$3)/365,I14),2)),I14)</f>
        <v/>
      </c>
      <c r="J15" s="2041"/>
      <c r="K15" s="2079"/>
      <c r="L15" s="2080"/>
      <c r="M15" s="2080"/>
      <c r="N15" s="2081"/>
      <c r="O15" s="2080"/>
      <c r="P15" s="2081"/>
      <c r="Q15" s="2028"/>
      <c r="R15" s="2028"/>
    </row>
    <row r="16" spans="1:19" ht="30.75" customHeight="1">
      <c r="A16" s="2062" t="s">
        <v>1795</v>
      </c>
      <c r="B16" s="3021" t="s">
        <v>3135</v>
      </c>
      <c r="C16" s="3022"/>
      <c r="D16" s="3023"/>
      <c r="E16" s="2082" t="s">
        <v>1796</v>
      </c>
      <c r="F16" s="3024" t="s">
        <v>3150</v>
      </c>
      <c r="G16" s="3025"/>
      <c r="H16" s="3025"/>
      <c r="I16" s="3026"/>
      <c r="J16" s="2028"/>
      <c r="K16" s="2079"/>
      <c r="L16" s="2080"/>
      <c r="M16" s="2080"/>
      <c r="N16" s="2081"/>
      <c r="O16" s="2080"/>
      <c r="P16" s="2081"/>
      <c r="Q16" s="2028"/>
      <c r="R16" s="2028"/>
    </row>
    <row r="17" spans="1:22" ht="18" customHeight="1">
      <c r="A17" s="2083" t="s">
        <v>1797</v>
      </c>
      <c r="B17" s="2034" t="s">
        <v>1798</v>
      </c>
      <c r="C17" s="1054">
        <f>'数据-汇总表'!E3</f>
        <v>8276.64</v>
      </c>
      <c r="D17" s="2084" t="s">
        <v>1799</v>
      </c>
      <c r="E17" s="3027" t="s">
        <v>3133</v>
      </c>
      <c r="F17" s="3028"/>
      <c r="G17" s="3028"/>
      <c r="H17" s="3028"/>
      <c r="I17" s="3029"/>
      <c r="J17" s="2028"/>
      <c r="K17" s="2085"/>
      <c r="L17" s="2080"/>
      <c r="M17" s="2080"/>
      <c r="N17" s="2081"/>
      <c r="O17" s="2080"/>
      <c r="P17" s="2081"/>
      <c r="Q17" s="2028"/>
      <c r="R17" s="2028"/>
      <c r="S17" s="2028"/>
      <c r="T17" s="2028"/>
      <c r="U17" s="2028"/>
      <c r="V17" s="2028"/>
    </row>
    <row r="18" spans="1:22" ht="36" customHeight="1" thickBot="1">
      <c r="A18" s="2086" t="s">
        <v>70</v>
      </c>
      <c r="B18" s="2037" t="s">
        <v>1800</v>
      </c>
      <c r="C18" s="1444">
        <f>'数据-汇总表'!D3</f>
        <v>927.85</v>
      </c>
      <c r="D18" s="2087" t="s">
        <v>1799</v>
      </c>
      <c r="E18" s="3030" t="s">
        <v>3134</v>
      </c>
      <c r="F18" s="3031"/>
      <c r="G18" s="3031"/>
      <c r="H18" s="3031"/>
      <c r="I18" s="3032"/>
      <c r="J18" s="2028"/>
      <c r="K18" s="2085"/>
      <c r="L18" s="2080"/>
      <c r="M18" s="2080"/>
      <c r="N18" s="2081"/>
      <c r="O18" s="2080"/>
      <c r="P18" s="2081"/>
      <c r="Q18" s="2028"/>
      <c r="R18" s="2028"/>
      <c r="S18" s="2028"/>
      <c r="T18" s="2028"/>
      <c r="U18" s="2028"/>
      <c r="V18" s="2028"/>
    </row>
    <row r="19" spans="1:22" ht="37.5" customHeight="1" thickTop="1" thickBot="1">
      <c r="A19" s="373" t="s">
        <v>1801</v>
      </c>
      <c r="B19" s="352" t="s">
        <v>1802</v>
      </c>
      <c r="C19" s="2088" t="s">
        <v>3058</v>
      </c>
      <c r="D19" s="2089" t="s">
        <v>1803</v>
      </c>
      <c r="E19" s="2090"/>
      <c r="F19" s="2091" t="str">
        <f>IF(AND(C19="是",E19="否"),"是否提供他项权证或相关说明","")</f>
        <v/>
      </c>
      <c r="G19" s="2092"/>
      <c r="H19" s="2041"/>
      <c r="I19" s="2041"/>
      <c r="J19" s="2041"/>
      <c r="K19" s="2050"/>
      <c r="L19" s="2027"/>
      <c r="M19" s="2027"/>
      <c r="N19" s="2081"/>
      <c r="O19" s="2080"/>
      <c r="P19" s="2081"/>
      <c r="Q19" s="2028"/>
      <c r="R19" s="2028"/>
      <c r="S19" s="2028"/>
      <c r="T19" s="2028"/>
      <c r="U19" s="2028"/>
      <c r="V19" s="2028"/>
    </row>
    <row r="20" spans="1:22" ht="18" customHeight="1">
      <c r="A20" s="2093" t="s">
        <v>1804</v>
      </c>
      <c r="B20" s="3017" t="s">
        <v>1805</v>
      </c>
      <c r="C20" s="3018"/>
      <c r="D20" s="3019" t="s">
        <v>1806</v>
      </c>
      <c r="E20" s="3020"/>
      <c r="F20" s="2094" t="s">
        <v>1807</v>
      </c>
      <c r="G20" s="2041"/>
      <c r="H20" s="2041"/>
      <c r="I20" s="2041"/>
      <c r="J20" s="2041"/>
      <c r="K20" s="3016" t="s">
        <v>1808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7"/>
      <c r="N20" s="2081"/>
      <c r="O20" s="2080"/>
      <c r="P20" s="2081"/>
      <c r="Q20" s="2028"/>
      <c r="R20" s="2028"/>
      <c r="S20" s="2028"/>
      <c r="T20" s="2028"/>
      <c r="U20" s="2028"/>
      <c r="V20" s="2028"/>
    </row>
    <row r="21" spans="1:22" ht="24.75" customHeight="1">
      <c r="A21" s="2093"/>
      <c r="B21" s="2095" t="s">
        <v>1809</v>
      </c>
      <c r="C21" s="2096" t="s">
        <v>1810</v>
      </c>
      <c r="D21" s="2097" t="s">
        <v>1811</v>
      </c>
      <c r="E21" s="2098" t="s">
        <v>1810</v>
      </c>
      <c r="F21" s="2099"/>
      <c r="G21" s="2041"/>
      <c r="H21" s="2041"/>
      <c r="I21" s="2041"/>
      <c r="J21" s="2041"/>
      <c r="K21" s="301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1"/>
      <c r="O21" s="2080"/>
      <c r="P21" s="2081"/>
      <c r="Q21" s="2028"/>
      <c r="R21" s="2028"/>
      <c r="S21" s="2028"/>
      <c r="T21" s="2028"/>
      <c r="U21" s="2028"/>
      <c r="V21" s="2028"/>
    </row>
    <row r="22" spans="1:22" ht="24.75" customHeight="1" thickBot="1">
      <c r="A22" s="2093"/>
      <c r="B22" s="2100" t="s">
        <v>1812</v>
      </c>
      <c r="C22" s="2096" t="s">
        <v>1813</v>
      </c>
      <c r="D22" s="2025"/>
      <c r="E22" s="2025"/>
      <c r="F22" s="2101"/>
      <c r="G22" s="2041"/>
      <c r="H22" s="2041"/>
      <c r="I22" s="2041"/>
      <c r="J22" s="2041"/>
      <c r="K22" s="301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1"/>
      <c r="O22" s="2080"/>
      <c r="P22" s="2081"/>
      <c r="Q22" s="2028"/>
      <c r="R22" s="2028"/>
      <c r="S22" s="2028"/>
      <c r="T22" s="2028"/>
      <c r="U22" s="2028"/>
      <c r="V22" s="2028"/>
    </row>
    <row r="23" spans="1:22" ht="18" customHeight="1">
      <c r="A23" s="2102" t="s">
        <v>1814</v>
      </c>
      <c r="B23" s="183" t="s">
        <v>1815</v>
      </c>
      <c r="C23" s="2103"/>
      <c r="D23" s="2104" t="s">
        <v>1815</v>
      </c>
      <c r="E23" s="2105"/>
      <c r="F23" s="2101"/>
      <c r="G23" s="2041"/>
      <c r="H23" s="2041"/>
      <c r="I23" s="2041"/>
      <c r="J23" s="2041"/>
      <c r="K23" s="2106"/>
      <c r="L23" s="748"/>
      <c r="M23" s="2027"/>
      <c r="N23" s="2081"/>
      <c r="O23" s="2080"/>
      <c r="P23" s="2081"/>
      <c r="Q23" s="2028"/>
      <c r="R23" s="2028"/>
      <c r="S23" s="2028"/>
      <c r="T23" s="2028"/>
      <c r="U23" s="2028"/>
      <c r="V23" s="2028"/>
    </row>
    <row r="24" spans="1:22" ht="18" customHeight="1">
      <c r="A24" s="2107"/>
      <c r="B24" s="183" t="s">
        <v>1816</v>
      </c>
      <c r="C24" s="2108"/>
      <c r="D24" s="2102" t="s">
        <v>1816</v>
      </c>
      <c r="E24" s="2109"/>
      <c r="F24" s="2101"/>
      <c r="G24" s="2041"/>
      <c r="H24" s="2041"/>
      <c r="I24" s="2041"/>
      <c r="J24" s="2041"/>
      <c r="K24" s="2106"/>
      <c r="L24" s="748"/>
      <c r="M24" s="2027"/>
      <c r="N24" s="2081"/>
      <c r="O24" s="2080"/>
      <c r="P24" s="2081"/>
      <c r="Q24" s="2028"/>
      <c r="R24" s="2028"/>
      <c r="S24" s="2028"/>
      <c r="T24" s="2028"/>
      <c r="U24" s="2028"/>
      <c r="V24" s="2028"/>
    </row>
    <row r="25" spans="1:22" ht="18" customHeight="1">
      <c r="A25" s="2107"/>
      <c r="B25" s="183" t="s">
        <v>1817</v>
      </c>
      <c r="C25" s="2108"/>
      <c r="D25" s="2102" t="s">
        <v>1817</v>
      </c>
      <c r="E25" s="2109"/>
      <c r="F25" s="2101"/>
      <c r="G25" s="2041"/>
      <c r="H25" s="2041"/>
      <c r="I25" s="2041"/>
      <c r="J25" s="2041"/>
      <c r="K25" s="2050"/>
      <c r="L25" s="2027"/>
      <c r="M25" s="2027"/>
      <c r="N25" s="2081"/>
      <c r="O25" s="2080"/>
      <c r="P25" s="2081"/>
      <c r="Q25" s="2028"/>
      <c r="R25" s="2028"/>
      <c r="S25" s="2028"/>
      <c r="T25" s="2028"/>
      <c r="U25" s="2028"/>
      <c r="V25" s="2028"/>
    </row>
    <row r="26" spans="1:22" ht="18" customHeight="1" thickBot="1">
      <c r="A26" s="2110"/>
      <c r="B26" s="2111" t="s">
        <v>1818</v>
      </c>
      <c r="C26" s="2112"/>
      <c r="D26" s="2113" t="s">
        <v>1819</v>
      </c>
      <c r="E26" s="2114"/>
      <c r="F26" s="2115"/>
      <c r="G26" s="2058"/>
      <c r="H26" s="2058"/>
      <c r="I26" s="2058"/>
      <c r="J26" s="2041"/>
      <c r="K26" s="2050"/>
      <c r="L26" s="2027"/>
      <c r="M26" s="2027"/>
      <c r="N26" s="2081"/>
      <c r="O26" s="2080"/>
      <c r="P26" s="2081"/>
      <c r="Q26" s="2028"/>
      <c r="R26" s="2028"/>
      <c r="S26" s="2028"/>
      <c r="T26" s="2028"/>
      <c r="U26" s="2028"/>
      <c r="V26" s="2028"/>
    </row>
    <row r="27" spans="1:22" ht="18" customHeight="1" thickTop="1">
      <c r="A27" s="3034" t="s">
        <v>1820</v>
      </c>
      <c r="B27" s="2059" t="s">
        <v>1821</v>
      </c>
      <c r="C27" s="2116" t="s">
        <v>3054</v>
      </c>
      <c r="D27" s="2117"/>
      <c r="E27" s="2041"/>
      <c r="F27" s="2041"/>
      <c r="G27" s="2041"/>
      <c r="H27" s="2041"/>
      <c r="I27" s="2041"/>
      <c r="J27" s="2028"/>
      <c r="K27" s="2079"/>
      <c r="L27" s="2080"/>
      <c r="M27" s="2080"/>
      <c r="N27" s="2081"/>
      <c r="O27" s="2080"/>
      <c r="P27" s="2081"/>
      <c r="Q27" s="2028"/>
      <c r="R27" s="2028"/>
      <c r="S27" s="2028"/>
      <c r="T27" s="2028"/>
      <c r="U27" s="2028"/>
      <c r="V27" s="2028"/>
    </row>
    <row r="28" spans="1:22" ht="18" customHeight="1">
      <c r="A28" s="3034"/>
      <c r="B28" s="2034" t="s">
        <v>1822</v>
      </c>
      <c r="C28" s="2118" t="s">
        <v>3055</v>
      </c>
      <c r="D28" s="2119"/>
      <c r="E28" s="2041"/>
      <c r="F28" s="2041"/>
      <c r="G28" s="2041"/>
      <c r="H28" s="2041"/>
      <c r="I28" s="2041"/>
      <c r="J28" s="2028"/>
      <c r="K28" s="2120"/>
      <c r="L28" s="2027"/>
      <c r="M28" s="2027"/>
      <c r="N28" s="2028"/>
      <c r="O28" s="2029"/>
      <c r="P28" s="2028"/>
      <c r="Q28" s="2028"/>
      <c r="R28" s="2028"/>
      <c r="S28" s="2028"/>
      <c r="T28" s="2028"/>
      <c r="U28" s="2028"/>
      <c r="V28" s="2028"/>
    </row>
    <row r="29" spans="1:22" ht="18" customHeight="1">
      <c r="A29" s="3034"/>
      <c r="B29" s="2034" t="s">
        <v>1823</v>
      </c>
      <c r="C29" s="2121" t="s">
        <v>3056</v>
      </c>
      <c r="D29" s="2122"/>
      <c r="E29" s="2041"/>
      <c r="F29" s="2041"/>
      <c r="G29" s="2041"/>
      <c r="H29" s="2041"/>
      <c r="I29" s="2041"/>
      <c r="J29" s="2028"/>
      <c r="K29" s="2120"/>
      <c r="L29" s="2027"/>
      <c r="M29" s="2027"/>
      <c r="N29" s="2028"/>
      <c r="O29" s="2029"/>
      <c r="P29" s="2028"/>
      <c r="Q29" s="2028"/>
      <c r="R29" s="2028"/>
      <c r="S29" s="2028"/>
      <c r="T29" s="2028"/>
      <c r="U29" s="2028"/>
      <c r="V29" s="2028"/>
    </row>
    <row r="30" spans="1:22" ht="18" customHeight="1">
      <c r="A30" s="3035"/>
      <c r="B30" s="2034" t="s">
        <v>1824</v>
      </c>
      <c r="C30" s="3036"/>
      <c r="D30" s="3037"/>
      <c r="E30" s="2041"/>
      <c r="F30" s="2041"/>
      <c r="G30" s="2041"/>
      <c r="H30" s="2041"/>
      <c r="I30" s="2041"/>
      <c r="J30" s="2028"/>
      <c r="K30" s="2120"/>
      <c r="L30" s="2027"/>
      <c r="M30" s="2027"/>
      <c r="N30" s="2028"/>
      <c r="O30" s="2029"/>
      <c r="P30" s="2028"/>
      <c r="Q30" s="2028"/>
      <c r="R30" s="2028"/>
      <c r="S30" s="2028"/>
      <c r="T30" s="2028"/>
      <c r="U30" s="2028"/>
      <c r="V30" s="2028"/>
    </row>
    <row r="31" spans="1:22" ht="18" customHeight="1">
      <c r="A31" s="3038" t="s">
        <v>1825</v>
      </c>
      <c r="B31" s="2123" t="s">
        <v>3057</v>
      </c>
      <c r="C31" s="2124" t="str">
        <f>IF(B31="现房","成新及维护状况正常否",IF(B31="在建","工程状态是否正常",IF(B31="土地","是否闲置","-")))</f>
        <v>成新及维护状况正常否</v>
      </c>
      <c r="D31" s="2125"/>
      <c r="E31" s="2126"/>
      <c r="F31" s="2041"/>
      <c r="G31" s="2041"/>
      <c r="H31" s="2041"/>
      <c r="I31" s="2041"/>
      <c r="J31" s="2041"/>
      <c r="K31" s="2049"/>
      <c r="L31" s="2027"/>
      <c r="M31" s="2027"/>
      <c r="N31" s="2028"/>
      <c r="O31" s="2029"/>
      <c r="P31" s="2028"/>
      <c r="Q31" s="2028"/>
      <c r="R31" s="2028"/>
      <c r="S31" s="2028"/>
      <c r="T31" s="2028"/>
      <c r="U31" s="2028"/>
      <c r="V31" s="2028"/>
    </row>
    <row r="32" spans="1:22" ht="18" customHeight="1">
      <c r="A32" s="3039"/>
      <c r="B32" s="2123"/>
      <c r="C32" s="2124" t="str">
        <f>IF(B32="现房","成新及维护状况是否正常",IF(B32="在建","工程状态是否正常",IF(B32="土地","是否闲置","-")))</f>
        <v>-</v>
      </c>
      <c r="D32" s="2125"/>
      <c r="E32" s="2126"/>
      <c r="F32" s="2041"/>
      <c r="G32" s="2041"/>
      <c r="H32" s="2041"/>
      <c r="I32" s="2041"/>
      <c r="J32" s="2041"/>
      <c r="K32" s="2050"/>
      <c r="L32" s="2027"/>
      <c r="M32" s="2027"/>
      <c r="N32" s="2028"/>
      <c r="O32" s="2029"/>
      <c r="P32" s="2028"/>
      <c r="Q32" s="2028"/>
      <c r="R32" s="2028"/>
      <c r="S32" s="2028"/>
      <c r="T32" s="2028"/>
      <c r="U32" s="2028"/>
      <c r="V32" s="2028"/>
    </row>
    <row r="33" spans="1:22" ht="18" customHeight="1">
      <c r="A33" s="3039"/>
      <c r="B33" s="2127"/>
      <c r="C33" s="2066" t="str">
        <f>IF(B33="现房","成新及维护状况是否正常",IF(B33="在建","工程状态是否正常",IF(B33="土地","是否闲置","-")))</f>
        <v>-</v>
      </c>
      <c r="D33" s="2128"/>
      <c r="E33" s="2129"/>
      <c r="F33" s="2041"/>
      <c r="G33" s="2041"/>
      <c r="H33" s="2041"/>
      <c r="I33" s="2041"/>
      <c r="J33" s="2041"/>
      <c r="K33" s="2050"/>
      <c r="L33" s="2027"/>
      <c r="M33" s="2027"/>
      <c r="N33" s="2028"/>
      <c r="O33" s="2029"/>
      <c r="P33" s="2028"/>
      <c r="Q33" s="2028"/>
      <c r="R33" s="2028"/>
      <c r="S33" s="2028"/>
      <c r="T33" s="2028"/>
      <c r="U33" s="2028"/>
      <c r="V33" s="2028"/>
    </row>
    <row r="34" spans="1:22" ht="18" customHeight="1">
      <c r="A34" s="2034" t="s">
        <v>1826</v>
      </c>
      <c r="B34" s="2130" t="s">
        <v>3069</v>
      </c>
      <c r="C34" s="2130" t="s">
        <v>3070</v>
      </c>
      <c r="D34" s="2130" t="s">
        <v>3071</v>
      </c>
      <c r="E34" s="2130" t="s">
        <v>3072</v>
      </c>
      <c r="F34" s="2130" t="s">
        <v>3073</v>
      </c>
      <c r="G34" s="2130" t="s">
        <v>3136</v>
      </c>
      <c r="H34" s="2130"/>
      <c r="I34" s="2041"/>
      <c r="J34" s="2041"/>
      <c r="K34" s="1795">
        <f>COUNTIF(B34:H34,"——")</f>
        <v>0</v>
      </c>
      <c r="L34" s="2071" t="s">
        <v>1827</v>
      </c>
      <c r="M34" s="2071" t="s">
        <v>1828</v>
      </c>
      <c r="N34" s="2071" t="s">
        <v>1829</v>
      </c>
      <c r="O34" s="2071" t="s">
        <v>1830</v>
      </c>
      <c r="P34" s="2071" t="s">
        <v>1831</v>
      </c>
      <c r="Q34" s="2071" t="s">
        <v>1832</v>
      </c>
      <c r="R34" s="2071" t="s">
        <v>1833</v>
      </c>
      <c r="S34" s="3033" t="s">
        <v>1834</v>
      </c>
      <c r="T34" s="2131" t="str">
        <f>NUMBERSTRING(7-K34,1)&amp;"通"</f>
        <v>七通</v>
      </c>
      <c r="U34" s="2028"/>
      <c r="V34" s="2028"/>
    </row>
    <row r="35" spans="1:22" ht="18" customHeight="1">
      <c r="A35" s="2132"/>
      <c r="B35" s="3040" t="s">
        <v>1835</v>
      </c>
      <c r="C35" s="3040"/>
      <c r="D35" s="3040"/>
      <c r="E35" s="3040"/>
      <c r="F35" s="2133">
        <f>C10</f>
        <v>0</v>
      </c>
      <c r="G35" s="2041"/>
      <c r="H35" s="2041"/>
      <c r="I35" s="2041"/>
      <c r="J35" s="2041"/>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33"/>
      <c r="T35" s="48" t="str">
        <f>IF(T34="一通",L35,IF(T34="二通",M35,IF(T34="三通",N35,IF(T34="四通",O35,IF(T34="五通",P35,IF(T34="六通",Q35,R35))))))</f>
        <v>通路、通电、通讯、通上水、通下水、通热、</v>
      </c>
      <c r="U35" s="2028"/>
      <c r="V35" s="2028"/>
    </row>
    <row r="36" spans="1:22" ht="18" customHeight="1">
      <c r="A36" s="2134"/>
      <c r="B36" s="2133" t="s">
        <v>1836</v>
      </c>
      <c r="C36" s="2133" t="s">
        <v>1837</v>
      </c>
      <c r="D36" s="2133" t="s">
        <v>1838</v>
      </c>
      <c r="E36" s="2133" t="s">
        <v>1839</v>
      </c>
      <c r="F36" s="2135"/>
      <c r="G36" s="2041"/>
      <c r="H36" s="2041"/>
      <c r="I36" s="2041"/>
      <c r="J36" s="2041"/>
      <c r="K36" s="2050"/>
      <c r="L36" s="2027"/>
      <c r="M36" s="2027"/>
      <c r="N36" s="2028"/>
      <c r="O36" s="2029"/>
      <c r="P36" s="2028"/>
      <c r="Q36" s="2028"/>
      <c r="R36" s="2028"/>
      <c r="S36" s="2028"/>
      <c r="T36" s="2028"/>
      <c r="U36" s="2028"/>
      <c r="V36" s="2028"/>
    </row>
    <row r="37" spans="1:22" ht="18" customHeight="1">
      <c r="A37" s="2136" t="s">
        <v>1840</v>
      </c>
      <c r="B37" s="2137"/>
      <c r="C37" s="2137" t="s">
        <v>269</v>
      </c>
      <c r="D37" s="2137" t="s">
        <v>269</v>
      </c>
      <c r="E37" s="2137"/>
      <c r="F37" s="2135"/>
      <c r="G37" s="2041"/>
      <c r="H37" s="2041"/>
      <c r="I37" s="2041"/>
      <c r="J37" s="2041"/>
      <c r="K37" s="2050"/>
      <c r="L37" s="2027"/>
      <c r="M37" s="2027"/>
      <c r="N37" s="2028"/>
      <c r="O37" s="2029"/>
      <c r="P37" s="2028"/>
      <c r="Q37" s="2028"/>
      <c r="R37" s="2028"/>
      <c r="S37" s="2028"/>
      <c r="T37" s="2028"/>
      <c r="U37" s="2028"/>
      <c r="V37" s="2028"/>
    </row>
    <row r="38" spans="1:22" ht="18" customHeight="1" thickBot="1">
      <c r="A38" s="2138" t="s">
        <v>1841</v>
      </c>
      <c r="B38" s="2139"/>
      <c r="C38" s="2139" t="s">
        <v>138</v>
      </c>
      <c r="D38" s="2139" t="s">
        <v>138</v>
      </c>
      <c r="E38" s="2139"/>
      <c r="F38" s="2140"/>
      <c r="G38" s="2058"/>
      <c r="H38" s="2058"/>
      <c r="I38" s="2058"/>
      <c r="J38" s="2041"/>
      <c r="K38" s="2050"/>
      <c r="L38" s="2027"/>
      <c r="M38" s="2027"/>
      <c r="N38" s="2028"/>
      <c r="O38" s="2029"/>
      <c r="P38" s="2028"/>
      <c r="Q38" s="2028"/>
      <c r="R38" s="2028"/>
      <c r="S38" s="2028"/>
      <c r="T38" s="2028"/>
      <c r="U38" s="2028"/>
      <c r="V38" s="2028"/>
    </row>
    <row r="39" spans="1:22" s="2145" customFormat="1" ht="18" customHeight="1" thickTop="1" thickBot="1">
      <c r="A39" s="2141" t="s">
        <v>1842</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8"/>
      <c r="B40" s="2028"/>
      <c r="C40" s="2028"/>
      <c r="D40" s="2028"/>
      <c r="E40" s="2028"/>
      <c r="F40" s="2028"/>
      <c r="G40" s="2028"/>
      <c r="H40" s="2028"/>
      <c r="I40" s="2146"/>
      <c r="J40" s="2081"/>
      <c r="K40" s="666"/>
      <c r="L40" s="2080"/>
      <c r="M40" s="2080"/>
      <c r="N40" s="2081"/>
      <c r="O40" s="2080"/>
      <c r="P40" s="2028"/>
      <c r="Q40" s="2028"/>
      <c r="R40" s="2028"/>
      <c r="S40" s="2028"/>
      <c r="T40" s="2028"/>
      <c r="U40" s="2028"/>
      <c r="V40" s="2028"/>
    </row>
    <row r="41" spans="1:22" ht="18" customHeight="1">
      <c r="A41" s="8" t="s">
        <v>1843</v>
      </c>
      <c r="B41" s="2147"/>
      <c r="C41" s="2148"/>
      <c r="D41" s="2028"/>
      <c r="E41" s="2028"/>
      <c r="F41" s="2028"/>
      <c r="G41" s="2028"/>
      <c r="H41" s="2028"/>
      <c r="I41" s="2029"/>
      <c r="J41" s="2028"/>
      <c r="K41" s="2120"/>
      <c r="L41" s="2027"/>
      <c r="M41" s="2027"/>
      <c r="N41" s="2028"/>
      <c r="O41" s="2029"/>
      <c r="P41" s="2028"/>
      <c r="Q41" s="2028"/>
      <c r="R41" s="2028"/>
      <c r="S41" s="2028"/>
      <c r="T41" s="2028"/>
      <c r="U41" s="2028"/>
      <c r="V41" s="2028"/>
    </row>
    <row r="42" spans="1:22" ht="18" customHeight="1">
      <c r="A42" s="2071" t="s">
        <v>1844</v>
      </c>
      <c r="B42" s="1795" t="s">
        <v>1845</v>
      </c>
      <c r="C42" s="1795" t="s">
        <v>1846</v>
      </c>
      <c r="D42" s="1795" t="s">
        <v>1847</v>
      </c>
      <c r="E42" s="1795" t="s">
        <v>1848</v>
      </c>
      <c r="F42" s="1795" t="s">
        <v>1849</v>
      </c>
      <c r="G42" s="1795" t="s">
        <v>1850</v>
      </c>
      <c r="H42" s="1795" t="s">
        <v>1851</v>
      </c>
      <c r="I42" s="1795" t="s">
        <v>1852</v>
      </c>
      <c r="J42" s="2149" t="s">
        <v>1853</v>
      </c>
      <c r="K42" s="2072" t="s">
        <v>1854</v>
      </c>
      <c r="L42" s="2072" t="s">
        <v>1855</v>
      </c>
      <c r="M42" s="2072" t="s">
        <v>1856</v>
      </c>
      <c r="N42" s="1795" t="s">
        <v>1857</v>
      </c>
      <c r="O42" s="1795" t="s">
        <v>1858</v>
      </c>
      <c r="P42" s="1795" t="s">
        <v>1859</v>
      </c>
      <c r="Q42" s="2071" t="s">
        <v>1860</v>
      </c>
      <c r="R42" s="2071" t="s">
        <v>1861</v>
      </c>
      <c r="S42" s="2028"/>
      <c r="T42" s="2028"/>
      <c r="U42" s="2028"/>
      <c r="V42" s="2028"/>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8"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1862</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0" t="s">
        <v>1863</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4" customFormat="1" ht="24">
      <c r="A2" s="11" t="s">
        <v>1864</v>
      </c>
      <c r="B2" s="11" t="s">
        <v>1865</v>
      </c>
      <c r="C2" s="11" t="s">
        <v>1866</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1867</v>
      </c>
      <c r="AZ2" s="1270" t="s">
        <v>1868</v>
      </c>
      <c r="BA2" s="11" t="s">
        <v>1869</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927.85</v>
      </c>
      <c r="B3" s="14">
        <f>IF(C3="否",G5-AT5,G5)</f>
        <v>8276.64</v>
      </c>
      <c r="C3" s="2165" t="s">
        <v>1870</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1871</v>
      </c>
      <c r="B5" s="1803"/>
      <c r="C5" s="1803"/>
      <c r="D5" s="1806"/>
      <c r="E5" s="16" t="s">
        <v>1</v>
      </c>
      <c r="F5" s="16">
        <f>SUM(F13:F587)</f>
        <v>0</v>
      </c>
      <c r="G5" s="16">
        <f>SUM(G13:G587)</f>
        <v>8276.64</v>
      </c>
      <c r="H5" s="16">
        <f t="shared" ref="H5:AT5" si="0">SUM(H13:H656)</f>
        <v>8276.64</v>
      </c>
      <c r="I5" s="16">
        <f t="shared" si="0"/>
        <v>8276.64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1871</v>
      </c>
      <c r="AW5" s="1803"/>
      <c r="AX5" s="1803"/>
      <c r="AY5" s="17" t="s">
        <v>3</v>
      </c>
      <c r="AZ5" s="18">
        <f t="shared" ref="AZ5:BT5" si="1">SUM(AZ13:AZ656)</f>
        <v>8276.64</v>
      </c>
      <c r="BA5" s="18">
        <f t="shared" si="1"/>
        <v>8276.64</v>
      </c>
      <c r="BB5" s="18">
        <f t="shared" si="1"/>
        <v>8276.64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1872</v>
      </c>
      <c r="B6" s="2171"/>
      <c r="C6" s="2171"/>
      <c r="D6" s="2172"/>
      <c r="E6" s="16">
        <f>H6+AC6+AT6</f>
        <v>927.85</v>
      </c>
      <c r="F6" s="16" t="s">
        <v>1</v>
      </c>
      <c r="G6" s="16" t="s">
        <v>2</v>
      </c>
      <c r="H6" s="20">
        <f>SUMIF(I$12:AB$12,"总值",I6:AB6)</f>
        <v>927.85</v>
      </c>
      <c r="I6" s="16">
        <f t="shared" ref="I6:AB6" si="2">ROUND($A$3*I5/$B$3,2)</f>
        <v>927.85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1872</v>
      </c>
      <c r="AW6" s="2171"/>
      <c r="AX6" s="2171"/>
      <c r="AY6" s="21">
        <f>IF(AY3&gt;0,AY3,ROUND($A$3*AZ5/$B$3,2))</f>
        <v>927.85</v>
      </c>
      <c r="AZ6" s="16" t="s">
        <v>3</v>
      </c>
      <c r="BA6" s="16">
        <f>ROUND($AY$6*BA5/$AZ$5,2)</f>
        <v>927.85</v>
      </c>
      <c r="BB6" s="16">
        <f>ROUND($AY$6*BB5/$AZ$5,2)</f>
        <v>927.85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1873</v>
      </c>
      <c r="B7" s="2106" t="s">
        <v>1874</v>
      </c>
      <c r="C7" s="2106" t="s">
        <v>1875</v>
      </c>
      <c r="D7" s="2106" t="s">
        <v>1876</v>
      </c>
      <c r="E7" s="2106" t="s">
        <v>1877</v>
      </c>
      <c r="F7" s="2106" t="s">
        <v>1878</v>
      </c>
      <c r="G7" s="2175" t="s">
        <v>1879</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1880</v>
      </c>
      <c r="AV7" s="23" t="s">
        <v>1881</v>
      </c>
      <c r="AW7" s="2163" t="s">
        <v>1882</v>
      </c>
      <c r="AX7" s="23" t="s">
        <v>1875</v>
      </c>
      <c r="AY7" s="1803" t="s">
        <v>1883</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1884</v>
      </c>
      <c r="H8" s="2181" t="s">
        <v>1885</v>
      </c>
      <c r="I8" s="2182"/>
      <c r="J8" s="1818"/>
      <c r="K8" s="1818"/>
      <c r="L8" s="1818"/>
      <c r="M8" s="1818"/>
      <c r="N8" s="1818"/>
      <c r="O8" s="1818"/>
      <c r="P8" s="1818"/>
      <c r="Q8" s="1818"/>
      <c r="R8" s="1818"/>
      <c r="S8" s="1818"/>
      <c r="T8" s="1818"/>
      <c r="U8" s="1818"/>
      <c r="V8" s="2183"/>
      <c r="W8" s="1818"/>
      <c r="X8" s="1818"/>
      <c r="Y8" s="1818"/>
      <c r="Z8" s="1818"/>
      <c r="AA8" s="2183"/>
      <c r="AB8" s="2184"/>
      <c r="AC8" s="981" t="s">
        <v>1886</v>
      </c>
      <c r="AD8" s="2185"/>
      <c r="AE8" s="2177"/>
      <c r="AF8" s="1818"/>
      <c r="AG8" s="1818"/>
      <c r="AH8" s="1818"/>
      <c r="AI8" s="1818"/>
      <c r="AJ8" s="1818"/>
      <c r="AK8" s="1818"/>
      <c r="AL8" s="1818"/>
      <c r="AM8" s="1818"/>
      <c r="AN8" s="1818"/>
      <c r="AO8" s="1818"/>
      <c r="AP8" s="1818"/>
      <c r="AQ8" s="1818"/>
      <c r="AR8" s="1818"/>
      <c r="AS8" s="1818"/>
      <c r="AT8" s="1292" t="s">
        <v>1887</v>
      </c>
      <c r="AU8" s="2179" t="s">
        <v>1888</v>
      </c>
      <c r="AV8" s="1292"/>
      <c r="AW8" s="2162"/>
      <c r="AX8" s="1292"/>
      <c r="AY8" s="2163" t="s">
        <v>1889</v>
      </c>
      <c r="AZ8" s="1817" t="s">
        <v>1890</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1891</v>
      </c>
      <c r="I9" s="2188" t="s">
        <v>3059</v>
      </c>
      <c r="J9" s="981"/>
      <c r="K9" s="2188"/>
      <c r="L9" s="981"/>
      <c r="M9" s="2188"/>
      <c r="N9" s="981"/>
      <c r="O9" s="2188"/>
      <c r="P9" s="981"/>
      <c r="Q9" s="2188"/>
      <c r="R9" s="981"/>
      <c r="S9" s="2188"/>
      <c r="T9" s="981"/>
      <c r="U9" s="2188"/>
      <c r="V9" s="981"/>
      <c r="W9" s="2188"/>
      <c r="X9" s="2189"/>
      <c r="Y9" s="2188"/>
      <c r="Z9" s="981"/>
      <c r="AA9" s="2188"/>
      <c r="AB9" s="981"/>
      <c r="AC9" s="2180" t="s">
        <v>1891</v>
      </c>
      <c r="AD9" s="15" t="s">
        <v>1892</v>
      </c>
      <c r="AE9" s="1298"/>
      <c r="AF9" s="15" t="s">
        <v>1893</v>
      </c>
      <c r="AG9" s="1298"/>
      <c r="AH9" s="15" t="s">
        <v>1892</v>
      </c>
      <c r="AI9" s="1298"/>
      <c r="AJ9" s="15" t="s">
        <v>1893</v>
      </c>
      <c r="AK9" s="1298"/>
      <c r="AL9" s="15" t="s">
        <v>1892</v>
      </c>
      <c r="AM9" s="1298"/>
      <c r="AN9" s="15" t="s">
        <v>1893</v>
      </c>
      <c r="AO9" s="1298"/>
      <c r="AP9" s="15" t="s">
        <v>1892</v>
      </c>
      <c r="AQ9" s="1298"/>
      <c r="AR9" s="15" t="s">
        <v>1893</v>
      </c>
      <c r="AS9" s="2190"/>
      <c r="AT9" s="2179"/>
      <c r="AU9" s="2179" t="s">
        <v>1894</v>
      </c>
      <c r="AV9" s="1292"/>
      <c r="AW9" s="2162"/>
      <c r="AX9" s="1292"/>
      <c r="AY9" s="28"/>
      <c r="AZ9" s="28" t="s">
        <v>1884</v>
      </c>
      <c r="BA9" s="2191" t="s">
        <v>1895</v>
      </c>
      <c r="BB9" s="2192"/>
      <c r="BC9" s="1338"/>
      <c r="BD9" s="1338"/>
      <c r="BE9" s="1338"/>
      <c r="BF9" s="1338"/>
      <c r="BG9" s="1338"/>
      <c r="BH9" s="1338"/>
      <c r="BI9" s="1338"/>
      <c r="BJ9" s="1338"/>
      <c r="BK9" s="2193"/>
      <c r="BL9" s="15" t="s">
        <v>1896</v>
      </c>
      <c r="BM9" s="1818"/>
      <c r="BN9" s="2182"/>
      <c r="BO9" s="1818"/>
      <c r="BP9" s="1818"/>
      <c r="BQ9" s="1818"/>
      <c r="BR9" s="1818"/>
      <c r="BS9" s="1818"/>
      <c r="BT9" s="26"/>
    </row>
    <row r="10" spans="1:72" s="2186" customFormat="1" ht="12.75">
      <c r="A10" s="2179"/>
      <c r="B10" s="2179"/>
      <c r="C10" s="2179"/>
      <c r="D10" s="2179"/>
      <c r="E10" s="2179"/>
      <c r="F10" s="2179"/>
      <c r="G10" s="1292"/>
      <c r="H10" s="28"/>
      <c r="I10" s="2188" t="s">
        <v>27</v>
      </c>
      <c r="J10" s="981"/>
      <c r="K10" s="2194"/>
      <c r="L10" s="981"/>
      <c r="M10" s="2194"/>
      <c r="N10" s="981"/>
      <c r="O10" s="2194"/>
      <c r="P10" s="981"/>
      <c r="Q10" s="2194"/>
      <c r="R10" s="981"/>
      <c r="S10" s="2194"/>
      <c r="T10" s="981"/>
      <c r="U10" s="2194"/>
      <c r="V10" s="981"/>
      <c r="W10" s="2194"/>
      <c r="X10" s="981"/>
      <c r="Y10" s="2194"/>
      <c r="Z10" s="981"/>
      <c r="AA10" s="2194"/>
      <c r="AB10" s="981"/>
      <c r="AC10" s="1292"/>
      <c r="AD10" s="15" t="s">
        <v>1897</v>
      </c>
      <c r="AE10" s="2195"/>
      <c r="AF10" s="15" t="s">
        <v>1897</v>
      </c>
      <c r="AG10" s="2195"/>
      <c r="AH10" s="15" t="s">
        <v>1898</v>
      </c>
      <c r="AI10" s="2195"/>
      <c r="AJ10" s="15" t="s">
        <v>1898</v>
      </c>
      <c r="AK10" s="2195"/>
      <c r="AL10" s="15" t="s">
        <v>1899</v>
      </c>
      <c r="AM10" s="1298"/>
      <c r="AN10" s="15" t="s">
        <v>1899</v>
      </c>
      <c r="AO10" s="1298"/>
      <c r="AP10" s="15" t="s">
        <v>1900</v>
      </c>
      <c r="AQ10" s="1298"/>
      <c r="AR10" s="15" t="s">
        <v>1900</v>
      </c>
      <c r="AS10" s="1298"/>
      <c r="AT10" s="2179"/>
      <c r="AU10" s="2179"/>
      <c r="AV10" s="1292"/>
      <c r="AW10" s="2162"/>
      <c r="AX10" s="1292"/>
      <c r="AY10" s="28"/>
      <c r="AZ10" s="28"/>
      <c r="BA10" s="2196" t="s">
        <v>1891</v>
      </c>
      <c r="BB10" s="2197" t="str">
        <f>I9</f>
        <v>地上</v>
      </c>
      <c r="BC10" s="29">
        <f>K9</f>
        <v>0</v>
      </c>
      <c r="BD10" s="29">
        <f>M9</f>
        <v>0</v>
      </c>
      <c r="BE10" s="29">
        <f>O9</f>
        <v>0</v>
      </c>
      <c r="BF10" s="29">
        <f>Q9</f>
        <v>0</v>
      </c>
      <c r="BG10" s="29">
        <f>S9</f>
        <v>0</v>
      </c>
      <c r="BH10" s="29">
        <f>U9</f>
        <v>0</v>
      </c>
      <c r="BI10" s="29">
        <f>W9</f>
        <v>0</v>
      </c>
      <c r="BJ10" s="29">
        <f>Y9</f>
        <v>0</v>
      </c>
      <c r="BK10" s="29">
        <f>AA9</f>
        <v>0</v>
      </c>
      <c r="BL10" s="25" t="s">
        <v>1891</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t="s">
        <v>3060</v>
      </c>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1901</v>
      </c>
      <c r="AE11" s="1819"/>
      <c r="AF11" s="2201" t="s">
        <v>1901</v>
      </c>
      <c r="AG11" s="1819"/>
      <c r="AH11" s="2201" t="s">
        <v>1902</v>
      </c>
      <c r="AI11" s="2202"/>
      <c r="AJ11" s="2201" t="s">
        <v>1902</v>
      </c>
      <c r="AK11" s="1819"/>
      <c r="AL11" s="1817"/>
      <c r="AM11" s="1819"/>
      <c r="AN11" s="1817"/>
      <c r="AO11" s="1819"/>
      <c r="AP11" s="1817"/>
      <c r="AQ11" s="1819"/>
      <c r="AR11" s="1817"/>
      <c r="AS11" s="1819"/>
      <c r="AT11" s="2162"/>
      <c r="AU11" s="2179"/>
      <c r="AV11" s="1292"/>
      <c r="AW11" s="2162"/>
      <c r="AX11" s="1292"/>
      <c r="AY11" s="28"/>
      <c r="AZ11" s="28"/>
      <c r="BA11" s="28"/>
      <c r="BB11" s="2184" t="str">
        <f>I10</f>
        <v>办公</v>
      </c>
      <c r="BC11" s="2184">
        <f>K10</f>
        <v>0</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802" t="s">
        <v>1904</v>
      </c>
      <c r="W12" s="11" t="s">
        <v>1903</v>
      </c>
      <c r="X12" s="11" t="s">
        <v>1904</v>
      </c>
      <c r="Y12" s="11" t="s">
        <v>1903</v>
      </c>
      <c r="Z12" s="11" t="s">
        <v>1904</v>
      </c>
      <c r="AA12" s="11" t="s">
        <v>1903</v>
      </c>
      <c r="AB12" s="11" t="s">
        <v>1904</v>
      </c>
      <c r="AC12" s="2206"/>
      <c r="AD12" s="1806"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204" t="s">
        <v>1904</v>
      </c>
      <c r="AT12" s="2207"/>
      <c r="AU12" s="2204"/>
      <c r="AV12" s="31"/>
      <c r="AW12" s="2163"/>
      <c r="AX12" s="31"/>
      <c r="AY12" s="2208"/>
      <c r="AZ12" s="28"/>
      <c r="BA12" s="2196"/>
      <c r="BB12" s="24" t="str">
        <f>I11</f>
        <v>办公楼</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t="s">
        <v>3137</v>
      </c>
      <c r="D13" s="2210" t="s">
        <v>3058</v>
      </c>
      <c r="E13" s="16">
        <f>IF($C$3="是",ROUND($A$3*G13/$B$3,2),ROUND($A$3*(G13-AT13)/$B$3,2))</f>
        <v>927.85</v>
      </c>
      <c r="F13" s="32"/>
      <c r="G13" s="33">
        <f>H13+AC13+AT13</f>
        <v>8276.64</v>
      </c>
      <c r="H13" s="20">
        <f>SUMIF(I$12:AB$12,"总值",I13:AB13)</f>
        <v>8276.64</v>
      </c>
      <c r="I13" s="2964">
        <v>8276.64</v>
      </c>
      <c r="J13" s="2964"/>
      <c r="K13" s="2211"/>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6层</v>
      </c>
      <c r="AY13" s="1806">
        <f>ROUND($AY$6*AZ13/$AZ$5,2)</f>
        <v>927.85</v>
      </c>
      <c r="AZ13" s="16">
        <f>BA13+BL13</f>
        <v>8276.64</v>
      </c>
      <c r="BA13" s="16">
        <f>SUM(BB13:BK13)</f>
        <v>8276.64</v>
      </c>
      <c r="BB13" s="16">
        <f>IF($D13="是",I13-J13,0)</f>
        <v>8276.64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t="s">
        <v>3058</v>
      </c>
      <c r="E14" s="16">
        <f>IF($C$3="是",ROUND($A$3*G14/$B$3,2),ROUND($A$3*(G14-AT14)/$B$3,2))</f>
        <v>0</v>
      </c>
      <c r="F14" s="32"/>
      <c r="G14" s="33">
        <f>H14+AC14+AT14</f>
        <v>0</v>
      </c>
      <c r="H14" s="20">
        <f>SUMIF(I$12:AB$12,"总值",I14:AB14)</f>
        <v>0</v>
      </c>
      <c r="I14" s="2964"/>
      <c r="J14" s="2964"/>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t="s">
        <v>3058</v>
      </c>
      <c r="E15" s="16">
        <f>IF($C$3="是",ROUND($A$3*G15/$B$3,2),ROUND($A$3*(G15-AT15)/$B$3,2))</f>
        <v>0</v>
      </c>
      <c r="F15" s="32"/>
      <c r="G15" s="33">
        <f>H15+AC15+AT15</f>
        <v>0</v>
      </c>
      <c r="H15" s="20">
        <f>SUMIF(I$12:AB$12,"总值",I15:AB15)</f>
        <v>0</v>
      </c>
      <c r="I15" s="2964"/>
      <c r="J15" s="2964"/>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t="s">
        <v>3058</v>
      </c>
      <c r="E16" s="16">
        <f>IF($C$3="是",ROUND($A$3*G16/$B$3,2),ROUND($A$3*(G16-AT16)/$B$3,2))</f>
        <v>0</v>
      </c>
      <c r="F16" s="32"/>
      <c r="G16" s="33">
        <f>H16+AC16+AT16</f>
        <v>0</v>
      </c>
      <c r="H16" s="20">
        <f>SUMIF(I$12:AB$12,"总值",I16:AB16)</f>
        <v>0</v>
      </c>
      <c r="I16" s="2964"/>
      <c r="J16" s="2964"/>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t="s">
        <v>3058</v>
      </c>
      <c r="E17" s="16">
        <f>IF($C$3="是",ROUND($A$3*G17/$B$3,2),ROUND($A$3*(G17-AT17)/$B$3,2))</f>
        <v>0</v>
      </c>
      <c r="F17" s="32"/>
      <c r="G17" s="33">
        <f>H17+AC17+AT17</f>
        <v>0</v>
      </c>
      <c r="H17" s="20">
        <f>SUMIF(I$12:AB$12,"总值",I17:AB17)</f>
        <v>0</v>
      </c>
      <c r="I17" s="2964"/>
      <c r="J17" s="2964"/>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1272"/>
      <c r="B18" s="34"/>
      <c r="C18" s="34"/>
      <c r="D18" s="2951" t="s">
        <v>3058</v>
      </c>
      <c r="E18" s="16">
        <f t="shared" ref="E18:E112" si="7">IF($C$3="是",ROUND($A$3*G18/$B$3,2),ROUND($A$3*(G18-AT18)/$B$3,2))</f>
        <v>0</v>
      </c>
      <c r="F18" s="36"/>
      <c r="G18" s="37">
        <f t="shared" ref="G18:G109" si="8">H18+AC18+AT18</f>
        <v>0</v>
      </c>
      <c r="H18" s="38">
        <f t="shared" ref="H18:H109" si="9">SUMIF(I$12:AB$12,"总值",I18:AB18)</f>
        <v>0</v>
      </c>
      <c r="I18" s="2964"/>
      <c r="J18" s="2965"/>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2"/>
      <c r="B19" s="34"/>
      <c r="C19" s="34"/>
      <c r="D19" s="2951" t="s">
        <v>3058</v>
      </c>
      <c r="E19" s="16">
        <f t="shared" si="7"/>
        <v>0</v>
      </c>
      <c r="F19" s="36"/>
      <c r="G19" s="37">
        <f t="shared" si="8"/>
        <v>0</v>
      </c>
      <c r="H19" s="38">
        <f t="shared" si="9"/>
        <v>0</v>
      </c>
      <c r="I19" s="2964"/>
      <c r="J19" s="2965"/>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2"/>
      <c r="B20" s="34"/>
      <c r="C20" s="34"/>
      <c r="D20" s="2951" t="s">
        <v>3058</v>
      </c>
      <c r="E20" s="16">
        <f t="shared" si="7"/>
        <v>0</v>
      </c>
      <c r="F20" s="36"/>
      <c r="G20" s="37">
        <f t="shared" si="8"/>
        <v>0</v>
      </c>
      <c r="H20" s="38">
        <f t="shared" si="9"/>
        <v>0</v>
      </c>
      <c r="I20" s="2964"/>
      <c r="J20" s="2965"/>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1272"/>
      <c r="B21" s="34"/>
      <c r="C21" s="34"/>
      <c r="D21" s="2951" t="s">
        <v>3058</v>
      </c>
      <c r="E21" s="16">
        <f t="shared" si="7"/>
        <v>0</v>
      </c>
      <c r="F21" s="36"/>
      <c r="G21" s="37">
        <f t="shared" si="8"/>
        <v>0</v>
      </c>
      <c r="H21" s="38">
        <f t="shared" si="9"/>
        <v>0</v>
      </c>
      <c r="I21" s="2964"/>
      <c r="J21" s="2965"/>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1272"/>
      <c r="B22" s="34"/>
      <c r="C22" s="34"/>
      <c r="D22" s="2951" t="s">
        <v>3058</v>
      </c>
      <c r="E22" s="16">
        <f t="shared" si="7"/>
        <v>0</v>
      </c>
      <c r="F22" s="36"/>
      <c r="G22" s="37">
        <f t="shared" si="8"/>
        <v>0</v>
      </c>
      <c r="H22" s="38">
        <f t="shared" si="9"/>
        <v>0</v>
      </c>
      <c r="I22" s="2964"/>
      <c r="J22" s="2965"/>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1272"/>
      <c r="B23" s="34"/>
      <c r="C23" s="34"/>
      <c r="D23" s="2951" t="s">
        <v>3058</v>
      </c>
      <c r="E23" s="16">
        <f t="shared" si="7"/>
        <v>0</v>
      </c>
      <c r="F23" s="36"/>
      <c r="G23" s="37">
        <f t="shared" si="8"/>
        <v>0</v>
      </c>
      <c r="H23" s="38">
        <f t="shared" si="9"/>
        <v>0</v>
      </c>
      <c r="I23" s="2964"/>
      <c r="J23" s="2965"/>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1272"/>
      <c r="B24" s="34"/>
      <c r="C24" s="34"/>
      <c r="D24" s="2951" t="s">
        <v>3058</v>
      </c>
      <c r="E24" s="16">
        <f t="shared" si="7"/>
        <v>0</v>
      </c>
      <c r="F24" s="36"/>
      <c r="G24" s="37">
        <f t="shared" si="8"/>
        <v>0</v>
      </c>
      <c r="H24" s="38">
        <f t="shared" si="9"/>
        <v>0</v>
      </c>
      <c r="I24" s="2964"/>
      <c r="J24" s="2965"/>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1272"/>
      <c r="B25" s="34"/>
      <c r="C25" s="34"/>
      <c r="D25" s="2951" t="s">
        <v>3058</v>
      </c>
      <c r="E25" s="16">
        <f t="shared" si="7"/>
        <v>0</v>
      </c>
      <c r="F25" s="36"/>
      <c r="G25" s="37">
        <f t="shared" si="8"/>
        <v>0</v>
      </c>
      <c r="H25" s="38">
        <f t="shared" si="9"/>
        <v>0</v>
      </c>
      <c r="I25" s="2964"/>
      <c r="J25" s="2965"/>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1272"/>
      <c r="B26" s="34"/>
      <c r="C26" s="34"/>
      <c r="D26" s="2951" t="s">
        <v>3058</v>
      </c>
      <c r="E26" s="16">
        <f t="shared" si="7"/>
        <v>0</v>
      </c>
      <c r="F26" s="36"/>
      <c r="G26" s="37">
        <f t="shared" si="8"/>
        <v>0</v>
      </c>
      <c r="H26" s="38">
        <f t="shared" si="9"/>
        <v>0</v>
      </c>
      <c r="I26" s="2964"/>
      <c r="J26" s="2965"/>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1272"/>
      <c r="B27" s="34"/>
      <c r="C27" s="34"/>
      <c r="D27" s="2951" t="s">
        <v>3058</v>
      </c>
      <c r="E27" s="16">
        <f t="shared" si="7"/>
        <v>0</v>
      </c>
      <c r="F27" s="36"/>
      <c r="G27" s="37">
        <f t="shared" si="8"/>
        <v>0</v>
      </c>
      <c r="H27" s="38">
        <f t="shared" si="9"/>
        <v>0</v>
      </c>
      <c r="I27" s="2964"/>
      <c r="J27" s="2965"/>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1272"/>
      <c r="B28" s="34"/>
      <c r="C28" s="34"/>
      <c r="D28" s="2951" t="s">
        <v>3058</v>
      </c>
      <c r="E28" s="16">
        <f t="shared" si="7"/>
        <v>0</v>
      </c>
      <c r="F28" s="36"/>
      <c r="G28" s="37">
        <f t="shared" si="8"/>
        <v>0</v>
      </c>
      <c r="H28" s="38">
        <f t="shared" si="9"/>
        <v>0</v>
      </c>
      <c r="I28" s="2964"/>
      <c r="J28" s="2965"/>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1272"/>
      <c r="B29" s="34"/>
      <c r="C29" s="34"/>
      <c r="D29" s="2951" t="s">
        <v>3058</v>
      </c>
      <c r="E29" s="16">
        <f t="shared" si="7"/>
        <v>0</v>
      </c>
      <c r="F29" s="36"/>
      <c r="G29" s="37">
        <f t="shared" si="8"/>
        <v>0</v>
      </c>
      <c r="H29" s="38">
        <f t="shared" si="9"/>
        <v>0</v>
      </c>
      <c r="I29" s="2964"/>
      <c r="J29" s="2965"/>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1272"/>
      <c r="B30" s="34"/>
      <c r="C30" s="34"/>
      <c r="D30" s="2951" t="s">
        <v>3058</v>
      </c>
      <c r="E30" s="16">
        <f t="shared" si="7"/>
        <v>0</v>
      </c>
      <c r="F30" s="36"/>
      <c r="G30" s="37">
        <f t="shared" si="8"/>
        <v>0</v>
      </c>
      <c r="H30" s="38">
        <f t="shared" si="9"/>
        <v>0</v>
      </c>
      <c r="I30" s="2964"/>
      <c r="J30" s="2965"/>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1272"/>
      <c r="B31" s="34"/>
      <c r="C31" s="34"/>
      <c r="D31" s="2951" t="s">
        <v>3058</v>
      </c>
      <c r="E31" s="16">
        <f t="shared" si="7"/>
        <v>0</v>
      </c>
      <c r="F31" s="36"/>
      <c r="G31" s="37">
        <f t="shared" si="8"/>
        <v>0</v>
      </c>
      <c r="H31" s="38">
        <f t="shared" si="9"/>
        <v>0</v>
      </c>
      <c r="I31" s="2964"/>
      <c r="J31" s="2965"/>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1272"/>
      <c r="B32" s="34"/>
      <c r="C32" s="34"/>
      <c r="D32" s="2951" t="s">
        <v>3058</v>
      </c>
      <c r="E32" s="16">
        <f t="shared" si="7"/>
        <v>0</v>
      </c>
      <c r="F32" s="36"/>
      <c r="G32" s="37">
        <f t="shared" si="8"/>
        <v>0</v>
      </c>
      <c r="H32" s="38">
        <f t="shared" si="9"/>
        <v>0</v>
      </c>
      <c r="I32" s="2964"/>
      <c r="J32" s="2965"/>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1272"/>
      <c r="B33" s="34"/>
      <c r="C33" s="34"/>
      <c r="D33" s="2951" t="s">
        <v>3058</v>
      </c>
      <c r="E33" s="16">
        <f t="shared" si="7"/>
        <v>0</v>
      </c>
      <c r="F33" s="36"/>
      <c r="G33" s="37">
        <f t="shared" si="8"/>
        <v>0</v>
      </c>
      <c r="H33" s="38">
        <f t="shared" si="9"/>
        <v>0</v>
      </c>
      <c r="I33" s="2964"/>
      <c r="J33" s="2965"/>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1272"/>
      <c r="B34" s="34"/>
      <c r="C34" s="34"/>
      <c r="D34" s="2951" t="s">
        <v>3058</v>
      </c>
      <c r="E34" s="16">
        <f t="shared" si="7"/>
        <v>0</v>
      </c>
      <c r="F34" s="36"/>
      <c r="G34" s="37">
        <f t="shared" si="8"/>
        <v>0</v>
      </c>
      <c r="H34" s="38">
        <f t="shared" si="9"/>
        <v>0</v>
      </c>
      <c r="I34" s="2964"/>
      <c r="J34" s="2965"/>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1272"/>
      <c r="B35" s="34"/>
      <c r="C35" s="34"/>
      <c r="D35" s="2951" t="s">
        <v>3058</v>
      </c>
      <c r="E35" s="16">
        <f t="shared" si="7"/>
        <v>0</v>
      </c>
      <c r="F35" s="36"/>
      <c r="G35" s="37">
        <f t="shared" si="8"/>
        <v>0</v>
      </c>
      <c r="H35" s="38">
        <f t="shared" si="9"/>
        <v>0</v>
      </c>
      <c r="I35" s="2964"/>
      <c r="J35" s="2965"/>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1272"/>
      <c r="B36" s="34"/>
      <c r="C36" s="34"/>
      <c r="D36" s="2951" t="s">
        <v>3058</v>
      </c>
      <c r="E36" s="16">
        <f t="shared" si="7"/>
        <v>0</v>
      </c>
      <c r="F36" s="36"/>
      <c r="G36" s="37">
        <f t="shared" si="8"/>
        <v>0</v>
      </c>
      <c r="H36" s="38">
        <f t="shared" si="9"/>
        <v>0</v>
      </c>
      <c r="I36" s="2964"/>
      <c r="J36" s="2965"/>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1272"/>
      <c r="B37" s="34"/>
      <c r="C37" s="34"/>
      <c r="D37" s="2951" t="s">
        <v>3058</v>
      </c>
      <c r="E37" s="16">
        <f t="shared" si="7"/>
        <v>0</v>
      </c>
      <c r="F37" s="36"/>
      <c r="G37" s="37">
        <f t="shared" si="8"/>
        <v>0</v>
      </c>
      <c r="H37" s="38">
        <f t="shared" si="9"/>
        <v>0</v>
      </c>
      <c r="I37" s="2964"/>
      <c r="J37" s="2965"/>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1272"/>
      <c r="B38" s="34"/>
      <c r="C38" s="34"/>
      <c r="D38" s="2951" t="s">
        <v>3058</v>
      </c>
      <c r="E38" s="16">
        <f t="shared" si="7"/>
        <v>0</v>
      </c>
      <c r="F38" s="36"/>
      <c r="G38" s="37">
        <f t="shared" si="8"/>
        <v>0</v>
      </c>
      <c r="H38" s="38">
        <f t="shared" si="9"/>
        <v>0</v>
      </c>
      <c r="I38" s="2964"/>
      <c r="J38" s="2965"/>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1272"/>
      <c r="B39" s="34"/>
      <c r="C39" s="34"/>
      <c r="D39" s="2951" t="s">
        <v>3058</v>
      </c>
      <c r="E39" s="16">
        <f t="shared" si="7"/>
        <v>0</v>
      </c>
      <c r="F39" s="36"/>
      <c r="G39" s="37">
        <f t="shared" si="8"/>
        <v>0</v>
      </c>
      <c r="H39" s="38">
        <f t="shared" si="9"/>
        <v>0</v>
      </c>
      <c r="I39" s="2964"/>
      <c r="J39" s="2965"/>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1272"/>
      <c r="B40" s="34"/>
      <c r="C40" s="34"/>
      <c r="D40" s="2951" t="s">
        <v>3058</v>
      </c>
      <c r="E40" s="16">
        <f t="shared" si="7"/>
        <v>0</v>
      </c>
      <c r="F40" s="36"/>
      <c r="G40" s="37">
        <f t="shared" si="8"/>
        <v>0</v>
      </c>
      <c r="H40" s="38">
        <f t="shared" si="9"/>
        <v>0</v>
      </c>
      <c r="I40" s="2964"/>
      <c r="J40" s="2965"/>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1272"/>
      <c r="B41" s="34"/>
      <c r="C41" s="34"/>
      <c r="D41" s="2951" t="s">
        <v>3058</v>
      </c>
      <c r="E41" s="16">
        <f t="shared" si="7"/>
        <v>0</v>
      </c>
      <c r="F41" s="36"/>
      <c r="G41" s="37">
        <f t="shared" si="8"/>
        <v>0</v>
      </c>
      <c r="H41" s="38">
        <f t="shared" si="9"/>
        <v>0</v>
      </c>
      <c r="I41" s="2964"/>
      <c r="J41" s="2965"/>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1272"/>
      <c r="B42" s="34"/>
      <c r="C42" s="34"/>
      <c r="D42" s="2951" t="s">
        <v>3058</v>
      </c>
      <c r="E42" s="16">
        <f t="shared" si="7"/>
        <v>0</v>
      </c>
      <c r="F42" s="36"/>
      <c r="G42" s="37">
        <f t="shared" si="8"/>
        <v>0</v>
      </c>
      <c r="H42" s="38">
        <f t="shared" si="9"/>
        <v>0</v>
      </c>
      <c r="I42" s="2964"/>
      <c r="J42" s="2965"/>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1272"/>
      <c r="B43" s="34"/>
      <c r="C43" s="34"/>
      <c r="D43" s="2951" t="s">
        <v>3058</v>
      </c>
      <c r="E43" s="16">
        <f t="shared" si="7"/>
        <v>0</v>
      </c>
      <c r="F43" s="36"/>
      <c r="G43" s="37">
        <f t="shared" si="8"/>
        <v>0</v>
      </c>
      <c r="H43" s="38">
        <f t="shared" si="9"/>
        <v>0</v>
      </c>
      <c r="I43" s="2964"/>
      <c r="J43" s="2965"/>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1272"/>
      <c r="B44" s="34"/>
      <c r="C44" s="34"/>
      <c r="D44" s="2951" t="s">
        <v>3058</v>
      </c>
      <c r="E44" s="16">
        <f t="shared" si="7"/>
        <v>0</v>
      </c>
      <c r="F44" s="36"/>
      <c r="G44" s="37">
        <f t="shared" si="8"/>
        <v>0</v>
      </c>
      <c r="H44" s="38">
        <f t="shared" si="9"/>
        <v>0</v>
      </c>
      <c r="I44" s="2964"/>
      <c r="J44" s="2965"/>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1272"/>
      <c r="B45" s="34"/>
      <c r="C45" s="34"/>
      <c r="D45" s="2951" t="s">
        <v>3058</v>
      </c>
      <c r="E45" s="16">
        <f t="shared" si="7"/>
        <v>0</v>
      </c>
      <c r="F45" s="36"/>
      <c r="G45" s="37">
        <f t="shared" si="8"/>
        <v>0</v>
      </c>
      <c r="H45" s="38">
        <f t="shared" si="9"/>
        <v>0</v>
      </c>
      <c r="I45" s="2964"/>
      <c r="J45" s="2965"/>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1272"/>
      <c r="B46" s="34"/>
      <c r="C46" s="34"/>
      <c r="D46" s="2951" t="s">
        <v>3058</v>
      </c>
      <c r="E46" s="16">
        <f t="shared" si="7"/>
        <v>0</v>
      </c>
      <c r="F46" s="36"/>
      <c r="G46" s="37">
        <f t="shared" si="8"/>
        <v>0</v>
      </c>
      <c r="H46" s="38">
        <f t="shared" si="9"/>
        <v>0</v>
      </c>
      <c r="I46" s="2964"/>
      <c r="J46" s="2965"/>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1272"/>
      <c r="B47" s="34"/>
      <c r="C47" s="34"/>
      <c r="D47" s="2951" t="s">
        <v>3058</v>
      </c>
      <c r="E47" s="16">
        <f t="shared" si="7"/>
        <v>0</v>
      </c>
      <c r="F47" s="36"/>
      <c r="G47" s="37">
        <f t="shared" si="8"/>
        <v>0</v>
      </c>
      <c r="H47" s="38">
        <f t="shared" si="9"/>
        <v>0</v>
      </c>
      <c r="I47" s="2964"/>
      <c r="J47" s="2965"/>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1272"/>
      <c r="B48" s="34"/>
      <c r="C48" s="34"/>
      <c r="D48" s="2951" t="s">
        <v>3058</v>
      </c>
      <c r="E48" s="16">
        <f t="shared" si="7"/>
        <v>0</v>
      </c>
      <c r="F48" s="36"/>
      <c r="G48" s="37">
        <f t="shared" si="8"/>
        <v>0</v>
      </c>
      <c r="H48" s="38">
        <f t="shared" si="9"/>
        <v>0</v>
      </c>
      <c r="I48" s="2964"/>
      <c r="J48" s="2965"/>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1272"/>
      <c r="B49" s="34"/>
      <c r="C49" s="34"/>
      <c r="D49" s="2951" t="s">
        <v>3058</v>
      </c>
      <c r="E49" s="16">
        <f t="shared" si="7"/>
        <v>0</v>
      </c>
      <c r="F49" s="36"/>
      <c r="G49" s="37">
        <f t="shared" si="8"/>
        <v>0</v>
      </c>
      <c r="H49" s="38">
        <f t="shared" si="9"/>
        <v>0</v>
      </c>
      <c r="I49" s="2964"/>
      <c r="J49" s="2965"/>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1272"/>
      <c r="B50" s="34"/>
      <c r="C50" s="34"/>
      <c r="D50" s="2951" t="s">
        <v>3058</v>
      </c>
      <c r="E50" s="16">
        <f t="shared" si="7"/>
        <v>0</v>
      </c>
      <c r="F50" s="36"/>
      <c r="G50" s="37">
        <f t="shared" si="8"/>
        <v>0</v>
      </c>
      <c r="H50" s="38">
        <f t="shared" si="9"/>
        <v>0</v>
      </c>
      <c r="I50" s="2964"/>
      <c r="J50" s="2965"/>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1272"/>
      <c r="B51" s="34"/>
      <c r="C51" s="34"/>
      <c r="D51" s="2951" t="s">
        <v>3058</v>
      </c>
      <c r="E51" s="16">
        <f t="shared" si="7"/>
        <v>0</v>
      </c>
      <c r="F51" s="36"/>
      <c r="G51" s="37">
        <f t="shared" si="8"/>
        <v>0</v>
      </c>
      <c r="H51" s="38">
        <f t="shared" si="9"/>
        <v>0</v>
      </c>
      <c r="I51" s="2964"/>
      <c r="J51" s="2965"/>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1272"/>
      <c r="B52" s="34"/>
      <c r="C52" s="34"/>
      <c r="D52" s="2951" t="s">
        <v>3058</v>
      </c>
      <c r="E52" s="16">
        <f t="shared" si="7"/>
        <v>0</v>
      </c>
      <c r="F52" s="36"/>
      <c r="G52" s="37">
        <f t="shared" si="8"/>
        <v>0</v>
      </c>
      <c r="H52" s="38">
        <f t="shared" si="9"/>
        <v>0</v>
      </c>
      <c r="I52" s="2964"/>
      <c r="J52" s="2965"/>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1272"/>
      <c r="B53" s="34"/>
      <c r="C53" s="34"/>
      <c r="D53" s="2951" t="s">
        <v>3058</v>
      </c>
      <c r="E53" s="16">
        <f t="shared" si="7"/>
        <v>0</v>
      </c>
      <c r="F53" s="36"/>
      <c r="G53" s="37">
        <f t="shared" si="8"/>
        <v>0</v>
      </c>
      <c r="H53" s="38">
        <f t="shared" si="9"/>
        <v>0</v>
      </c>
      <c r="I53" s="2964"/>
      <c r="J53" s="2965"/>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1272"/>
      <c r="B54" s="34"/>
      <c r="C54" s="34"/>
      <c r="D54" s="2951" t="s">
        <v>3058</v>
      </c>
      <c r="E54" s="16">
        <f t="shared" si="7"/>
        <v>0</v>
      </c>
      <c r="F54" s="36"/>
      <c r="G54" s="37">
        <f t="shared" si="8"/>
        <v>0</v>
      </c>
      <c r="H54" s="38">
        <f t="shared" si="9"/>
        <v>0</v>
      </c>
      <c r="I54" s="2964"/>
      <c r="J54" s="2965"/>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1272"/>
      <c r="B55" s="34"/>
      <c r="C55" s="34"/>
      <c r="D55" s="2951" t="s">
        <v>3058</v>
      </c>
      <c r="E55" s="16">
        <f t="shared" si="7"/>
        <v>0</v>
      </c>
      <c r="F55" s="36"/>
      <c r="G55" s="37">
        <f t="shared" si="8"/>
        <v>0</v>
      </c>
      <c r="H55" s="38">
        <f t="shared" si="9"/>
        <v>0</v>
      </c>
      <c r="I55" s="2964"/>
      <c r="J55" s="2965"/>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1272"/>
      <c r="B56" s="34"/>
      <c r="C56" s="34"/>
      <c r="D56" s="2951" t="s">
        <v>3058</v>
      </c>
      <c r="E56" s="16">
        <f t="shared" si="7"/>
        <v>0</v>
      </c>
      <c r="F56" s="36"/>
      <c r="G56" s="37">
        <f t="shared" si="8"/>
        <v>0</v>
      </c>
      <c r="H56" s="38">
        <f t="shared" si="9"/>
        <v>0</v>
      </c>
      <c r="I56" s="2964"/>
      <c r="J56" s="2965"/>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1272"/>
      <c r="B57" s="34"/>
      <c r="C57" s="34"/>
      <c r="D57" s="2951" t="s">
        <v>3058</v>
      </c>
      <c r="E57" s="16">
        <f t="shared" si="7"/>
        <v>0</v>
      </c>
      <c r="F57" s="36"/>
      <c r="G57" s="37">
        <f t="shared" si="8"/>
        <v>0</v>
      </c>
      <c r="H57" s="38">
        <f t="shared" si="9"/>
        <v>0</v>
      </c>
      <c r="I57" s="2964"/>
      <c r="J57" s="2965"/>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1272"/>
      <c r="B58" s="34"/>
      <c r="C58" s="34"/>
      <c r="D58" s="2951" t="s">
        <v>3058</v>
      </c>
      <c r="E58" s="16">
        <f t="shared" si="7"/>
        <v>0</v>
      </c>
      <c r="F58" s="36"/>
      <c r="G58" s="37">
        <f t="shared" si="8"/>
        <v>0</v>
      </c>
      <c r="H58" s="38">
        <f t="shared" si="9"/>
        <v>0</v>
      </c>
      <c r="I58" s="2964"/>
      <c r="J58" s="2965"/>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1272"/>
      <c r="B59" s="34"/>
      <c r="C59" s="34"/>
      <c r="D59" s="2951" t="s">
        <v>3058</v>
      </c>
      <c r="E59" s="16">
        <f t="shared" si="7"/>
        <v>0</v>
      </c>
      <c r="F59" s="36"/>
      <c r="G59" s="37">
        <f t="shared" si="8"/>
        <v>0</v>
      </c>
      <c r="H59" s="38">
        <f t="shared" si="9"/>
        <v>0</v>
      </c>
      <c r="I59" s="2964"/>
      <c r="J59" s="2965"/>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1272"/>
      <c r="B60" s="34"/>
      <c r="C60" s="34"/>
      <c r="D60" s="2951" t="s">
        <v>3058</v>
      </c>
      <c r="E60" s="16">
        <f t="shared" si="7"/>
        <v>0</v>
      </c>
      <c r="F60" s="36"/>
      <c r="G60" s="37">
        <f t="shared" si="8"/>
        <v>0</v>
      </c>
      <c r="H60" s="38">
        <f t="shared" si="9"/>
        <v>0</v>
      </c>
      <c r="I60" s="2964"/>
      <c r="J60" s="2965"/>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1272"/>
      <c r="B61" s="34"/>
      <c r="C61" s="34"/>
      <c r="D61" s="2951" t="s">
        <v>3058</v>
      </c>
      <c r="E61" s="16">
        <f t="shared" si="7"/>
        <v>0</v>
      </c>
      <c r="F61" s="36"/>
      <c r="G61" s="37">
        <f t="shared" si="8"/>
        <v>0</v>
      </c>
      <c r="H61" s="38">
        <f t="shared" si="9"/>
        <v>0</v>
      </c>
      <c r="I61" s="2964"/>
      <c r="J61" s="2965"/>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1272"/>
      <c r="B62" s="34"/>
      <c r="C62" s="34"/>
      <c r="D62" s="2951" t="s">
        <v>3058</v>
      </c>
      <c r="E62" s="16">
        <f t="shared" si="7"/>
        <v>0</v>
      </c>
      <c r="F62" s="36"/>
      <c r="G62" s="37">
        <f t="shared" si="8"/>
        <v>0</v>
      </c>
      <c r="H62" s="38">
        <f t="shared" si="9"/>
        <v>0</v>
      </c>
      <c r="I62" s="2964"/>
      <c r="J62" s="2965"/>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1272"/>
      <c r="B63" s="34"/>
      <c r="C63" s="34"/>
      <c r="D63" s="2951" t="s">
        <v>3058</v>
      </c>
      <c r="E63" s="16">
        <f t="shared" si="7"/>
        <v>0</v>
      </c>
      <c r="F63" s="36"/>
      <c r="G63" s="37">
        <f t="shared" si="8"/>
        <v>0</v>
      </c>
      <c r="H63" s="38">
        <f t="shared" si="9"/>
        <v>0</v>
      </c>
      <c r="I63" s="2964"/>
      <c r="J63" s="2965"/>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1272"/>
      <c r="B64" s="34"/>
      <c r="C64" s="34"/>
      <c r="D64" s="2951" t="s">
        <v>3058</v>
      </c>
      <c r="E64" s="16">
        <f t="shared" si="7"/>
        <v>0</v>
      </c>
      <c r="F64" s="36"/>
      <c r="G64" s="37">
        <f t="shared" si="8"/>
        <v>0</v>
      </c>
      <c r="H64" s="38">
        <f t="shared" si="9"/>
        <v>0</v>
      </c>
      <c r="I64" s="2964"/>
      <c r="J64" s="2965"/>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1272"/>
      <c r="B65" s="34"/>
      <c r="C65" s="34"/>
      <c r="D65" s="2951" t="s">
        <v>3058</v>
      </c>
      <c r="E65" s="16">
        <f t="shared" si="7"/>
        <v>0</v>
      </c>
      <c r="F65" s="36"/>
      <c r="G65" s="37">
        <f t="shared" si="8"/>
        <v>0</v>
      </c>
      <c r="H65" s="38">
        <f t="shared" si="9"/>
        <v>0</v>
      </c>
      <c r="I65" s="2964"/>
      <c r="J65" s="2965"/>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1272"/>
      <c r="B66" s="34"/>
      <c r="C66" s="34"/>
      <c r="D66" s="2951" t="s">
        <v>3058</v>
      </c>
      <c r="E66" s="16">
        <f t="shared" si="7"/>
        <v>0</v>
      </c>
      <c r="F66" s="36"/>
      <c r="G66" s="37">
        <f t="shared" si="8"/>
        <v>0</v>
      </c>
      <c r="H66" s="38">
        <f t="shared" si="9"/>
        <v>0</v>
      </c>
      <c r="I66" s="2964"/>
      <c r="J66" s="2965"/>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1272"/>
      <c r="B67" s="34"/>
      <c r="C67" s="34"/>
      <c r="D67" s="2951" t="s">
        <v>3058</v>
      </c>
      <c r="E67" s="16">
        <f t="shared" si="7"/>
        <v>0</v>
      </c>
      <c r="F67" s="36"/>
      <c r="G67" s="37">
        <f t="shared" si="8"/>
        <v>0</v>
      </c>
      <c r="H67" s="38">
        <f t="shared" si="9"/>
        <v>0</v>
      </c>
      <c r="I67" s="2964"/>
      <c r="J67" s="2965"/>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1272"/>
      <c r="B68" s="34"/>
      <c r="C68" s="34"/>
      <c r="D68" s="2951" t="s">
        <v>3058</v>
      </c>
      <c r="E68" s="16">
        <f t="shared" si="7"/>
        <v>0</v>
      </c>
      <c r="F68" s="36"/>
      <c r="G68" s="37">
        <f t="shared" si="8"/>
        <v>0</v>
      </c>
      <c r="H68" s="38">
        <f t="shared" si="9"/>
        <v>0</v>
      </c>
      <c r="I68" s="2964"/>
      <c r="J68" s="2965"/>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1272"/>
      <c r="B69" s="34"/>
      <c r="C69" s="34"/>
      <c r="D69" s="2951" t="s">
        <v>3058</v>
      </c>
      <c r="E69" s="16">
        <f t="shared" si="7"/>
        <v>0</v>
      </c>
      <c r="F69" s="36"/>
      <c r="G69" s="37">
        <f t="shared" si="8"/>
        <v>0</v>
      </c>
      <c r="H69" s="38">
        <f t="shared" si="9"/>
        <v>0</v>
      </c>
      <c r="I69" s="2964"/>
      <c r="J69" s="2965"/>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1272"/>
      <c r="B70" s="34"/>
      <c r="C70" s="34"/>
      <c r="D70" s="2951" t="s">
        <v>3058</v>
      </c>
      <c r="E70" s="16">
        <f t="shared" si="7"/>
        <v>0</v>
      </c>
      <c r="F70" s="36"/>
      <c r="G70" s="37">
        <f t="shared" si="8"/>
        <v>0</v>
      </c>
      <c r="H70" s="38">
        <f t="shared" si="9"/>
        <v>0</v>
      </c>
      <c r="I70" s="2964"/>
      <c r="J70" s="2965"/>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1272"/>
      <c r="B71" s="34"/>
      <c r="C71" s="34"/>
      <c r="D71" s="2951" t="s">
        <v>3058</v>
      </c>
      <c r="E71" s="16">
        <f t="shared" si="7"/>
        <v>0</v>
      </c>
      <c r="F71" s="36"/>
      <c r="G71" s="37">
        <f t="shared" si="8"/>
        <v>0</v>
      </c>
      <c r="H71" s="38">
        <f t="shared" si="9"/>
        <v>0</v>
      </c>
      <c r="I71" s="2964"/>
      <c r="J71" s="2965"/>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1272"/>
      <c r="B72" s="34"/>
      <c r="C72" s="34"/>
      <c r="D72" s="2951" t="s">
        <v>3058</v>
      </c>
      <c r="E72" s="16">
        <f t="shared" si="7"/>
        <v>0</v>
      </c>
      <c r="F72" s="36"/>
      <c r="G72" s="37">
        <f t="shared" si="8"/>
        <v>0</v>
      </c>
      <c r="H72" s="38">
        <f t="shared" si="9"/>
        <v>0</v>
      </c>
      <c r="I72" s="2964"/>
      <c r="J72" s="2965"/>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1272"/>
      <c r="B73" s="34"/>
      <c r="C73" s="34"/>
      <c r="D73" s="2951" t="s">
        <v>3058</v>
      </c>
      <c r="E73" s="16">
        <f t="shared" si="7"/>
        <v>0</v>
      </c>
      <c r="F73" s="36"/>
      <c r="G73" s="37">
        <f t="shared" si="8"/>
        <v>0</v>
      </c>
      <c r="H73" s="38">
        <f t="shared" si="9"/>
        <v>0</v>
      </c>
      <c r="I73" s="2964"/>
      <c r="J73" s="2965"/>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1272"/>
      <c r="B74" s="34"/>
      <c r="C74" s="34"/>
      <c r="D74" s="2951" t="s">
        <v>3058</v>
      </c>
      <c r="E74" s="16">
        <f t="shared" si="7"/>
        <v>0</v>
      </c>
      <c r="F74" s="36"/>
      <c r="G74" s="37">
        <f t="shared" si="8"/>
        <v>0</v>
      </c>
      <c r="H74" s="38">
        <f t="shared" si="9"/>
        <v>0</v>
      </c>
      <c r="I74" s="2964"/>
      <c r="J74" s="2965"/>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1272"/>
      <c r="B75" s="34"/>
      <c r="C75" s="34"/>
      <c r="D75" s="2951" t="s">
        <v>3058</v>
      </c>
      <c r="E75" s="16">
        <f t="shared" si="7"/>
        <v>0</v>
      </c>
      <c r="F75" s="36"/>
      <c r="G75" s="37">
        <f t="shared" si="8"/>
        <v>0</v>
      </c>
      <c r="H75" s="38">
        <f t="shared" si="9"/>
        <v>0</v>
      </c>
      <c r="I75" s="2964"/>
      <c r="J75" s="2965"/>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1272"/>
      <c r="B76" s="34"/>
      <c r="C76" s="34"/>
      <c r="D76" s="2951" t="s">
        <v>3058</v>
      </c>
      <c r="E76" s="16">
        <f t="shared" si="7"/>
        <v>0</v>
      </c>
      <c r="F76" s="36"/>
      <c r="G76" s="37">
        <f t="shared" si="8"/>
        <v>0</v>
      </c>
      <c r="H76" s="38">
        <f t="shared" si="9"/>
        <v>0</v>
      </c>
      <c r="I76" s="2964"/>
      <c r="J76" s="2965"/>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1272"/>
      <c r="B77" s="34"/>
      <c r="C77" s="34"/>
      <c r="D77" s="2951" t="s">
        <v>3058</v>
      </c>
      <c r="E77" s="16">
        <f t="shared" si="7"/>
        <v>0</v>
      </c>
      <c r="F77" s="36"/>
      <c r="G77" s="37">
        <f t="shared" si="8"/>
        <v>0</v>
      </c>
      <c r="H77" s="38">
        <f t="shared" si="9"/>
        <v>0</v>
      </c>
      <c r="I77" s="2964"/>
      <c r="J77" s="2965"/>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1272"/>
      <c r="B78" s="34"/>
      <c r="C78" s="34"/>
      <c r="D78" s="2951" t="s">
        <v>3058</v>
      </c>
      <c r="E78" s="16">
        <f t="shared" si="7"/>
        <v>0</v>
      </c>
      <c r="F78" s="36"/>
      <c r="G78" s="37">
        <f t="shared" si="8"/>
        <v>0</v>
      </c>
      <c r="H78" s="38">
        <f t="shared" si="9"/>
        <v>0</v>
      </c>
      <c r="I78" s="2964"/>
      <c r="J78" s="2965"/>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1272"/>
      <c r="B79" s="34"/>
      <c r="C79" s="34"/>
      <c r="D79" s="2951" t="s">
        <v>3058</v>
      </c>
      <c r="E79" s="16">
        <f t="shared" si="7"/>
        <v>0</v>
      </c>
      <c r="F79" s="36"/>
      <c r="G79" s="37">
        <f t="shared" si="8"/>
        <v>0</v>
      </c>
      <c r="H79" s="38">
        <f t="shared" si="9"/>
        <v>0</v>
      </c>
      <c r="I79" s="2964"/>
      <c r="J79" s="2965"/>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1272"/>
      <c r="B80" s="34"/>
      <c r="C80" s="34"/>
      <c r="D80" s="2951" t="s">
        <v>3058</v>
      </c>
      <c r="E80" s="16">
        <f t="shared" si="7"/>
        <v>0</v>
      </c>
      <c r="F80" s="36"/>
      <c r="G80" s="37">
        <f t="shared" si="8"/>
        <v>0</v>
      </c>
      <c r="H80" s="38">
        <f t="shared" si="9"/>
        <v>0</v>
      </c>
      <c r="I80" s="2964"/>
      <c r="J80" s="2965"/>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1272"/>
      <c r="B81" s="34"/>
      <c r="C81" s="34"/>
      <c r="D81" s="2951" t="s">
        <v>3058</v>
      </c>
      <c r="E81" s="16">
        <f t="shared" si="7"/>
        <v>0</v>
      </c>
      <c r="F81" s="36"/>
      <c r="G81" s="37">
        <f t="shared" si="8"/>
        <v>0</v>
      </c>
      <c r="H81" s="38">
        <f t="shared" si="9"/>
        <v>0</v>
      </c>
      <c r="I81" s="2964"/>
      <c r="J81" s="2965"/>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1272"/>
      <c r="B82" s="34"/>
      <c r="C82" s="34"/>
      <c r="D82" s="2951" t="s">
        <v>3058</v>
      </c>
      <c r="E82" s="16">
        <f t="shared" si="7"/>
        <v>0</v>
      </c>
      <c r="F82" s="36"/>
      <c r="G82" s="37">
        <f t="shared" si="8"/>
        <v>0</v>
      </c>
      <c r="H82" s="38">
        <f t="shared" si="9"/>
        <v>0</v>
      </c>
      <c r="I82" s="2964"/>
      <c r="J82" s="2965"/>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1272"/>
      <c r="B83" s="34"/>
      <c r="C83" s="34"/>
      <c r="D83" s="2951" t="s">
        <v>3058</v>
      </c>
      <c r="E83" s="16">
        <f t="shared" si="7"/>
        <v>0</v>
      </c>
      <c r="F83" s="36"/>
      <c r="G83" s="37">
        <f t="shared" si="8"/>
        <v>0</v>
      </c>
      <c r="H83" s="38">
        <f t="shared" si="9"/>
        <v>0</v>
      </c>
      <c r="I83" s="2964"/>
      <c r="J83" s="2965"/>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1272"/>
      <c r="B84" s="34"/>
      <c r="C84" s="34"/>
      <c r="D84" s="2951" t="s">
        <v>3058</v>
      </c>
      <c r="E84" s="16">
        <f t="shared" si="7"/>
        <v>0</v>
      </c>
      <c r="F84" s="36"/>
      <c r="G84" s="37">
        <f t="shared" si="8"/>
        <v>0</v>
      </c>
      <c r="H84" s="38">
        <f t="shared" si="9"/>
        <v>0</v>
      </c>
      <c r="I84" s="2964"/>
      <c r="J84" s="2965"/>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1272"/>
      <c r="B85" s="34"/>
      <c r="C85" s="34"/>
      <c r="D85" s="2951" t="s">
        <v>3058</v>
      </c>
      <c r="E85" s="16">
        <f t="shared" si="7"/>
        <v>0</v>
      </c>
      <c r="F85" s="36"/>
      <c r="G85" s="37">
        <f t="shared" si="8"/>
        <v>0</v>
      </c>
      <c r="H85" s="38">
        <f t="shared" si="9"/>
        <v>0</v>
      </c>
      <c r="I85" s="2964"/>
      <c r="J85" s="2965"/>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1272"/>
      <c r="B86" s="34"/>
      <c r="C86" s="34"/>
      <c r="D86" s="2951" t="s">
        <v>3058</v>
      </c>
      <c r="E86" s="16">
        <f t="shared" si="7"/>
        <v>0</v>
      </c>
      <c r="F86" s="36"/>
      <c r="G86" s="37">
        <f t="shared" si="8"/>
        <v>0</v>
      </c>
      <c r="H86" s="38">
        <f t="shared" si="9"/>
        <v>0</v>
      </c>
      <c r="I86" s="2964"/>
      <c r="J86" s="2965"/>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1272"/>
      <c r="B87" s="34"/>
      <c r="C87" s="34"/>
      <c r="D87" s="2951" t="s">
        <v>3058</v>
      </c>
      <c r="E87" s="16">
        <f t="shared" si="7"/>
        <v>0</v>
      </c>
      <c r="F87" s="36"/>
      <c r="G87" s="37">
        <f t="shared" si="8"/>
        <v>0</v>
      </c>
      <c r="H87" s="38">
        <f t="shared" si="9"/>
        <v>0</v>
      </c>
      <c r="I87" s="2964"/>
      <c r="J87" s="2965"/>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1272"/>
      <c r="B88" s="34"/>
      <c r="C88" s="34"/>
      <c r="D88" s="2951" t="s">
        <v>3058</v>
      </c>
      <c r="E88" s="16">
        <f t="shared" si="7"/>
        <v>0</v>
      </c>
      <c r="F88" s="36"/>
      <c r="G88" s="37">
        <f t="shared" si="8"/>
        <v>0</v>
      </c>
      <c r="H88" s="38">
        <f t="shared" si="9"/>
        <v>0</v>
      </c>
      <c r="I88" s="2964"/>
      <c r="J88" s="2965"/>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1272"/>
      <c r="B89" s="34"/>
      <c r="C89" s="34"/>
      <c r="D89" s="2951" t="s">
        <v>3058</v>
      </c>
      <c r="E89" s="16">
        <f t="shared" si="7"/>
        <v>0</v>
      </c>
      <c r="F89" s="36"/>
      <c r="G89" s="37">
        <f t="shared" si="8"/>
        <v>0</v>
      </c>
      <c r="H89" s="38">
        <f t="shared" si="9"/>
        <v>0</v>
      </c>
      <c r="I89" s="2964"/>
      <c r="J89" s="2965"/>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1272"/>
      <c r="B90" s="34"/>
      <c r="C90" s="34"/>
      <c r="D90" s="2951" t="s">
        <v>3058</v>
      </c>
      <c r="E90" s="16">
        <f t="shared" si="7"/>
        <v>0</v>
      </c>
      <c r="F90" s="36"/>
      <c r="G90" s="37">
        <f t="shared" si="8"/>
        <v>0</v>
      </c>
      <c r="H90" s="38">
        <f t="shared" si="9"/>
        <v>0</v>
      </c>
      <c r="I90" s="2964"/>
      <c r="J90" s="2965"/>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1272"/>
      <c r="B91" s="34"/>
      <c r="C91" s="34"/>
      <c r="D91" s="2951" t="s">
        <v>3058</v>
      </c>
      <c r="E91" s="16">
        <f t="shared" si="7"/>
        <v>0</v>
      </c>
      <c r="F91" s="36"/>
      <c r="G91" s="37">
        <f t="shared" si="8"/>
        <v>0</v>
      </c>
      <c r="H91" s="38">
        <f t="shared" si="9"/>
        <v>0</v>
      </c>
      <c r="I91" s="2964"/>
      <c r="J91" s="2965"/>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1272"/>
      <c r="B92" s="34"/>
      <c r="C92" s="34"/>
      <c r="D92" s="2951" t="s">
        <v>3058</v>
      </c>
      <c r="E92" s="16">
        <f t="shared" si="7"/>
        <v>0</v>
      </c>
      <c r="F92" s="36"/>
      <c r="G92" s="37">
        <f t="shared" si="8"/>
        <v>0</v>
      </c>
      <c r="H92" s="38">
        <f t="shared" si="9"/>
        <v>0</v>
      </c>
      <c r="I92" s="2964"/>
      <c r="J92" s="2965"/>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1272"/>
      <c r="B93" s="34"/>
      <c r="C93" s="34"/>
      <c r="D93" s="2951" t="s">
        <v>3058</v>
      </c>
      <c r="E93" s="16">
        <f t="shared" si="7"/>
        <v>0</v>
      </c>
      <c r="F93" s="36"/>
      <c r="G93" s="37">
        <f t="shared" si="8"/>
        <v>0</v>
      </c>
      <c r="H93" s="38">
        <f t="shared" si="9"/>
        <v>0</v>
      </c>
      <c r="I93" s="2964"/>
      <c r="J93" s="2965"/>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1272"/>
      <c r="B94" s="34"/>
      <c r="C94" s="34"/>
      <c r="D94" s="2951" t="s">
        <v>3058</v>
      </c>
      <c r="E94" s="16">
        <f t="shared" si="7"/>
        <v>0</v>
      </c>
      <c r="F94" s="36"/>
      <c r="G94" s="37">
        <f t="shared" si="8"/>
        <v>0</v>
      </c>
      <c r="H94" s="38">
        <f t="shared" si="9"/>
        <v>0</v>
      </c>
      <c r="I94" s="2964"/>
      <c r="J94" s="2965"/>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1272"/>
      <c r="B95" s="34"/>
      <c r="C95" s="34"/>
      <c r="D95" s="2951" t="s">
        <v>3058</v>
      </c>
      <c r="E95" s="16">
        <f t="shared" si="7"/>
        <v>0</v>
      </c>
      <c r="F95" s="36"/>
      <c r="G95" s="37">
        <f t="shared" si="8"/>
        <v>0</v>
      </c>
      <c r="H95" s="38">
        <f t="shared" si="9"/>
        <v>0</v>
      </c>
      <c r="I95" s="2964"/>
      <c r="J95" s="2965"/>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1272"/>
      <c r="B96" s="34"/>
      <c r="C96" s="34"/>
      <c r="D96" s="2951" t="s">
        <v>3058</v>
      </c>
      <c r="E96" s="16">
        <f t="shared" si="7"/>
        <v>0</v>
      </c>
      <c r="F96" s="36"/>
      <c r="G96" s="37">
        <f t="shared" si="8"/>
        <v>0</v>
      </c>
      <c r="H96" s="38">
        <f t="shared" si="9"/>
        <v>0</v>
      </c>
      <c r="I96" s="2964"/>
      <c r="J96" s="2965"/>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1272"/>
      <c r="B97" s="34"/>
      <c r="C97" s="34"/>
      <c r="D97" s="2951" t="s">
        <v>3058</v>
      </c>
      <c r="E97" s="16">
        <f t="shared" si="7"/>
        <v>0</v>
      </c>
      <c r="F97" s="36"/>
      <c r="G97" s="37">
        <f t="shared" si="8"/>
        <v>0</v>
      </c>
      <c r="H97" s="38">
        <f t="shared" si="9"/>
        <v>0</v>
      </c>
      <c r="I97" s="2964"/>
      <c r="J97" s="2965"/>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1272"/>
      <c r="B98" s="34"/>
      <c r="C98" s="34"/>
      <c r="D98" s="2951" t="s">
        <v>3058</v>
      </c>
      <c r="E98" s="16">
        <f t="shared" si="7"/>
        <v>0</v>
      </c>
      <c r="F98" s="36"/>
      <c r="G98" s="37">
        <f t="shared" si="8"/>
        <v>0</v>
      </c>
      <c r="H98" s="38">
        <f t="shared" si="9"/>
        <v>0</v>
      </c>
      <c r="I98" s="2964"/>
      <c r="J98" s="2965"/>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1272"/>
      <c r="B99" s="34"/>
      <c r="C99" s="34"/>
      <c r="D99" s="2951" t="s">
        <v>3058</v>
      </c>
      <c r="E99" s="16">
        <f t="shared" si="7"/>
        <v>0</v>
      </c>
      <c r="F99" s="36"/>
      <c r="G99" s="37">
        <f t="shared" si="8"/>
        <v>0</v>
      </c>
      <c r="H99" s="38">
        <f t="shared" si="9"/>
        <v>0</v>
      </c>
      <c r="I99" s="2964"/>
      <c r="J99" s="2965"/>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1272"/>
      <c r="B100" s="34"/>
      <c r="C100" s="34"/>
      <c r="D100" s="2951" t="s">
        <v>3058</v>
      </c>
      <c r="E100" s="16">
        <f t="shared" si="7"/>
        <v>0</v>
      </c>
      <c r="F100" s="36"/>
      <c r="G100" s="37">
        <f t="shared" si="8"/>
        <v>0</v>
      </c>
      <c r="H100" s="38">
        <f t="shared" si="9"/>
        <v>0</v>
      </c>
      <c r="I100" s="2964"/>
      <c r="J100" s="2965"/>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1272"/>
      <c r="B101" s="34"/>
      <c r="C101" s="34"/>
      <c r="D101" s="2951" t="s">
        <v>3058</v>
      </c>
      <c r="E101" s="16">
        <f t="shared" si="7"/>
        <v>0</v>
      </c>
      <c r="F101" s="36"/>
      <c r="G101" s="37">
        <f t="shared" si="8"/>
        <v>0</v>
      </c>
      <c r="H101" s="38">
        <f t="shared" si="9"/>
        <v>0</v>
      </c>
      <c r="I101" s="2964"/>
      <c r="J101" s="2965"/>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1272"/>
      <c r="B102" s="34"/>
      <c r="C102" s="34"/>
      <c r="D102" s="2951" t="s">
        <v>3058</v>
      </c>
      <c r="E102" s="16">
        <f t="shared" si="7"/>
        <v>0</v>
      </c>
      <c r="F102" s="36"/>
      <c r="G102" s="37">
        <f t="shared" si="8"/>
        <v>0</v>
      </c>
      <c r="H102" s="38">
        <f t="shared" si="9"/>
        <v>0</v>
      </c>
      <c r="I102" s="2964"/>
      <c r="J102" s="2965"/>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1272"/>
      <c r="B103" s="34"/>
      <c r="C103" s="34"/>
      <c r="D103" s="2951" t="s">
        <v>3058</v>
      </c>
      <c r="E103" s="16">
        <f t="shared" si="7"/>
        <v>0</v>
      </c>
      <c r="F103" s="36"/>
      <c r="G103" s="37">
        <f t="shared" si="8"/>
        <v>0</v>
      </c>
      <c r="H103" s="38">
        <f t="shared" si="9"/>
        <v>0</v>
      </c>
      <c r="I103" s="2964"/>
      <c r="J103" s="2965"/>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1272"/>
      <c r="B104" s="34"/>
      <c r="C104" s="34"/>
      <c r="D104" s="2951" t="s">
        <v>3058</v>
      </c>
      <c r="E104" s="16">
        <f t="shared" si="7"/>
        <v>0</v>
      </c>
      <c r="F104" s="36"/>
      <c r="G104" s="37">
        <f t="shared" si="8"/>
        <v>0</v>
      </c>
      <c r="H104" s="38">
        <f t="shared" si="9"/>
        <v>0</v>
      </c>
      <c r="I104" s="2964"/>
      <c r="J104" s="2965"/>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1272"/>
      <c r="B105" s="34"/>
      <c r="C105" s="34"/>
      <c r="D105" s="2951" t="s">
        <v>3058</v>
      </c>
      <c r="E105" s="16">
        <f t="shared" si="7"/>
        <v>0</v>
      </c>
      <c r="F105" s="36"/>
      <c r="G105" s="37">
        <f t="shared" si="8"/>
        <v>0</v>
      </c>
      <c r="H105" s="38">
        <f t="shared" si="9"/>
        <v>0</v>
      </c>
      <c r="I105" s="2964"/>
      <c r="J105" s="2965"/>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1272"/>
      <c r="B106" s="34"/>
      <c r="C106" s="34"/>
      <c r="D106" s="2951" t="s">
        <v>3058</v>
      </c>
      <c r="E106" s="16">
        <f t="shared" si="7"/>
        <v>0</v>
      </c>
      <c r="F106" s="36"/>
      <c r="G106" s="37">
        <f t="shared" si="8"/>
        <v>0</v>
      </c>
      <c r="H106" s="38">
        <f t="shared" si="9"/>
        <v>0</v>
      </c>
      <c r="I106" s="2964"/>
      <c r="J106" s="2965"/>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1272"/>
      <c r="B107" s="34"/>
      <c r="C107" s="34"/>
      <c r="D107" s="2951" t="s">
        <v>3058</v>
      </c>
      <c r="E107" s="16">
        <f t="shared" si="7"/>
        <v>0</v>
      </c>
      <c r="F107" s="36"/>
      <c r="G107" s="37">
        <f t="shared" si="8"/>
        <v>0</v>
      </c>
      <c r="H107" s="38">
        <f t="shared" si="9"/>
        <v>0</v>
      </c>
      <c r="I107" s="2964"/>
      <c r="J107" s="2965"/>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1272"/>
      <c r="B108" s="34"/>
      <c r="C108" s="34"/>
      <c r="D108" s="2951" t="s">
        <v>3058</v>
      </c>
      <c r="E108" s="16">
        <f t="shared" si="7"/>
        <v>0</v>
      </c>
      <c r="F108" s="36"/>
      <c r="G108" s="37">
        <f t="shared" si="8"/>
        <v>0</v>
      </c>
      <c r="H108" s="38">
        <f t="shared" si="9"/>
        <v>0</v>
      </c>
      <c r="I108" s="2964"/>
      <c r="J108" s="2965"/>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1272"/>
      <c r="B109" s="34"/>
      <c r="C109" s="34"/>
      <c r="D109" s="2951" t="s">
        <v>3058</v>
      </c>
      <c r="E109" s="16">
        <f t="shared" si="7"/>
        <v>0</v>
      </c>
      <c r="F109" s="36"/>
      <c r="G109" s="37">
        <f t="shared" si="8"/>
        <v>0</v>
      </c>
      <c r="H109" s="38">
        <f t="shared" si="9"/>
        <v>0</v>
      </c>
      <c r="I109" s="2964"/>
      <c r="J109" s="2965"/>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1272"/>
      <c r="B110" s="9"/>
      <c r="C110" s="9"/>
      <c r="D110" s="2951" t="s">
        <v>3058</v>
      </c>
      <c r="E110" s="16">
        <f t="shared" si="7"/>
        <v>0</v>
      </c>
      <c r="F110" s="44"/>
      <c r="G110" s="37">
        <f t="shared" ref="G110:G141" si="36">H110+AC110+AT110</f>
        <v>0</v>
      </c>
      <c r="H110" s="38">
        <f t="shared" ref="H110:H141" si="37">SUMIF(I$12:AB$12,"总值",I110:AB110)</f>
        <v>0</v>
      </c>
      <c r="I110" s="2964"/>
      <c r="J110" s="2966"/>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1272"/>
      <c r="B111" s="9"/>
      <c r="C111" s="9"/>
      <c r="D111" s="2951" t="s">
        <v>3058</v>
      </c>
      <c r="E111" s="16">
        <f t="shared" si="7"/>
        <v>0</v>
      </c>
      <c r="F111" s="44"/>
      <c r="G111" s="37">
        <f t="shared" si="36"/>
        <v>0</v>
      </c>
      <c r="H111" s="38">
        <f t="shared" si="37"/>
        <v>0</v>
      </c>
      <c r="I111" s="2964"/>
      <c r="J111" s="2965"/>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1272"/>
      <c r="B112" s="9"/>
      <c r="C112" s="9"/>
      <c r="D112" s="2951" t="s">
        <v>3058</v>
      </c>
      <c r="E112" s="16">
        <f t="shared" si="7"/>
        <v>0</v>
      </c>
      <c r="F112" s="44"/>
      <c r="G112" s="37">
        <f t="shared" si="36"/>
        <v>0</v>
      </c>
      <c r="H112" s="38">
        <f t="shared" si="37"/>
        <v>0</v>
      </c>
      <c r="I112" s="2964"/>
      <c r="J112" s="2965"/>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1272"/>
      <c r="B113" s="34"/>
      <c r="C113" s="34"/>
      <c r="D113" s="2951" t="s">
        <v>3058</v>
      </c>
      <c r="E113" s="16">
        <f t="shared" ref="E113:E144" si="61">IF($C$3="是",ROUND($A$3*G113/$B$3,2),ROUND($A$3*(G113-AT113)/$B$3,2))</f>
        <v>0</v>
      </c>
      <c r="F113" s="36"/>
      <c r="G113" s="37">
        <f t="shared" si="36"/>
        <v>0</v>
      </c>
      <c r="H113" s="38">
        <f t="shared" si="37"/>
        <v>0</v>
      </c>
      <c r="I113" s="2964"/>
      <c r="J113" s="2965"/>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1272"/>
      <c r="B114" s="34"/>
      <c r="C114" s="34"/>
      <c r="D114" s="2951" t="s">
        <v>3058</v>
      </c>
      <c r="E114" s="16">
        <f t="shared" si="61"/>
        <v>0</v>
      </c>
      <c r="F114" s="36"/>
      <c r="G114" s="37">
        <f t="shared" si="36"/>
        <v>0</v>
      </c>
      <c r="H114" s="38">
        <f t="shared" si="37"/>
        <v>0</v>
      </c>
      <c r="I114" s="2964"/>
      <c r="J114" s="2965"/>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1272"/>
      <c r="B115" s="34"/>
      <c r="C115" s="34"/>
      <c r="D115" s="2951" t="s">
        <v>3058</v>
      </c>
      <c r="E115" s="16">
        <f t="shared" si="61"/>
        <v>0</v>
      </c>
      <c r="F115" s="36"/>
      <c r="G115" s="37">
        <f t="shared" si="36"/>
        <v>0</v>
      </c>
      <c r="H115" s="38">
        <f t="shared" si="37"/>
        <v>0</v>
      </c>
      <c r="I115" s="2964"/>
      <c r="J115" s="2965"/>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1272"/>
      <c r="B116" s="34"/>
      <c r="C116" s="34"/>
      <c r="D116" s="2951" t="s">
        <v>3058</v>
      </c>
      <c r="E116" s="16">
        <f t="shared" si="61"/>
        <v>0</v>
      </c>
      <c r="F116" s="36"/>
      <c r="G116" s="37">
        <f t="shared" si="36"/>
        <v>0</v>
      </c>
      <c r="H116" s="38">
        <f t="shared" si="37"/>
        <v>0</v>
      </c>
      <c r="I116" s="2964"/>
      <c r="J116" s="2965"/>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1272"/>
      <c r="B117" s="34"/>
      <c r="C117" s="34"/>
      <c r="D117" s="2951" t="s">
        <v>3058</v>
      </c>
      <c r="E117" s="16">
        <f t="shared" si="61"/>
        <v>0</v>
      </c>
      <c r="F117" s="36"/>
      <c r="G117" s="37">
        <f t="shared" si="36"/>
        <v>0</v>
      </c>
      <c r="H117" s="38">
        <f t="shared" si="37"/>
        <v>0</v>
      </c>
      <c r="I117" s="2964"/>
      <c r="J117" s="2965"/>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1272"/>
      <c r="B118" s="34"/>
      <c r="C118" s="34"/>
      <c r="D118" s="2951" t="s">
        <v>3058</v>
      </c>
      <c r="E118" s="16">
        <f t="shared" si="61"/>
        <v>0</v>
      </c>
      <c r="F118" s="36"/>
      <c r="G118" s="37">
        <f t="shared" si="36"/>
        <v>0</v>
      </c>
      <c r="H118" s="38">
        <f t="shared" si="37"/>
        <v>0</v>
      </c>
      <c r="I118" s="2964"/>
      <c r="J118" s="2965"/>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1272"/>
      <c r="B119" s="34"/>
      <c r="C119" s="34"/>
      <c r="D119" s="2951" t="s">
        <v>3058</v>
      </c>
      <c r="E119" s="16">
        <f t="shared" si="61"/>
        <v>0</v>
      </c>
      <c r="F119" s="36"/>
      <c r="G119" s="37">
        <f t="shared" si="36"/>
        <v>0</v>
      </c>
      <c r="H119" s="38">
        <f t="shared" si="37"/>
        <v>0</v>
      </c>
      <c r="I119" s="2964"/>
      <c r="J119" s="2965"/>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1272"/>
      <c r="B120" s="34"/>
      <c r="C120" s="34"/>
      <c r="D120" s="2951" t="s">
        <v>3058</v>
      </c>
      <c r="E120" s="16">
        <f t="shared" si="61"/>
        <v>0</v>
      </c>
      <c r="F120" s="36"/>
      <c r="G120" s="37">
        <f t="shared" si="36"/>
        <v>0</v>
      </c>
      <c r="H120" s="38">
        <f t="shared" si="37"/>
        <v>0</v>
      </c>
      <c r="I120" s="2964"/>
      <c r="J120" s="2965"/>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1272"/>
      <c r="B121" s="34"/>
      <c r="C121" s="34"/>
      <c r="D121" s="2951" t="s">
        <v>3058</v>
      </c>
      <c r="E121" s="16">
        <f t="shared" si="61"/>
        <v>0</v>
      </c>
      <c r="F121" s="36"/>
      <c r="G121" s="37">
        <f t="shared" si="36"/>
        <v>0</v>
      </c>
      <c r="H121" s="38">
        <f t="shared" si="37"/>
        <v>0</v>
      </c>
      <c r="I121" s="2964"/>
      <c r="J121" s="2965"/>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1272"/>
      <c r="B122" s="34"/>
      <c r="C122" s="34"/>
      <c r="D122" s="2951" t="s">
        <v>3058</v>
      </c>
      <c r="E122" s="16">
        <f t="shared" si="61"/>
        <v>0</v>
      </c>
      <c r="F122" s="36"/>
      <c r="G122" s="37">
        <f t="shared" si="36"/>
        <v>0</v>
      </c>
      <c r="H122" s="38">
        <f t="shared" si="37"/>
        <v>0</v>
      </c>
      <c r="I122" s="2964"/>
      <c r="J122" s="2965"/>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1272"/>
      <c r="B123" s="34"/>
      <c r="C123" s="34"/>
      <c r="D123" s="2951" t="s">
        <v>3058</v>
      </c>
      <c r="E123" s="16">
        <f t="shared" si="61"/>
        <v>0</v>
      </c>
      <c r="F123" s="36"/>
      <c r="G123" s="37">
        <f t="shared" si="36"/>
        <v>0</v>
      </c>
      <c r="H123" s="38">
        <f t="shared" si="37"/>
        <v>0</v>
      </c>
      <c r="I123" s="2964"/>
      <c r="J123" s="2965"/>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1272"/>
      <c r="B124" s="34"/>
      <c r="C124" s="34"/>
      <c r="D124" s="2951" t="s">
        <v>3058</v>
      </c>
      <c r="E124" s="16">
        <f t="shared" si="61"/>
        <v>0</v>
      </c>
      <c r="F124" s="36"/>
      <c r="G124" s="37">
        <f t="shared" si="36"/>
        <v>0</v>
      </c>
      <c r="H124" s="38">
        <f t="shared" si="37"/>
        <v>0</v>
      </c>
      <c r="I124" s="2964"/>
      <c r="J124" s="2965"/>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1272"/>
      <c r="B125" s="34"/>
      <c r="C125" s="34"/>
      <c r="D125" s="2951" t="s">
        <v>3058</v>
      </c>
      <c r="E125" s="16">
        <f t="shared" si="61"/>
        <v>0</v>
      </c>
      <c r="F125" s="36"/>
      <c r="G125" s="37">
        <f t="shared" si="36"/>
        <v>0</v>
      </c>
      <c r="H125" s="38">
        <f t="shared" si="37"/>
        <v>0</v>
      </c>
      <c r="I125" s="2964"/>
      <c r="J125" s="2965"/>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1272"/>
      <c r="B126" s="34"/>
      <c r="C126" s="34"/>
      <c r="D126" s="2951" t="s">
        <v>3058</v>
      </c>
      <c r="E126" s="16">
        <f t="shared" si="61"/>
        <v>0</v>
      </c>
      <c r="F126" s="36"/>
      <c r="G126" s="37">
        <f t="shared" si="36"/>
        <v>0</v>
      </c>
      <c r="H126" s="38">
        <f t="shared" si="37"/>
        <v>0</v>
      </c>
      <c r="I126" s="2964"/>
      <c r="J126" s="2965"/>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1272"/>
      <c r="B127" s="34"/>
      <c r="C127" s="34"/>
      <c r="D127" s="2951" t="s">
        <v>3058</v>
      </c>
      <c r="E127" s="16">
        <f t="shared" si="61"/>
        <v>0</v>
      </c>
      <c r="F127" s="36"/>
      <c r="G127" s="37">
        <f t="shared" si="36"/>
        <v>0</v>
      </c>
      <c r="H127" s="38">
        <f t="shared" si="37"/>
        <v>0</v>
      </c>
      <c r="I127" s="2964"/>
      <c r="J127" s="2965"/>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1272"/>
      <c r="B128" s="34"/>
      <c r="C128" s="34"/>
      <c r="D128" s="2951" t="s">
        <v>3058</v>
      </c>
      <c r="E128" s="16">
        <f t="shared" si="61"/>
        <v>0</v>
      </c>
      <c r="F128" s="36"/>
      <c r="G128" s="37">
        <f t="shared" si="36"/>
        <v>0</v>
      </c>
      <c r="H128" s="38">
        <f t="shared" si="37"/>
        <v>0</v>
      </c>
      <c r="I128" s="2964"/>
      <c r="J128" s="2965"/>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1272"/>
      <c r="B129" s="34"/>
      <c r="C129" s="34"/>
      <c r="D129" s="2951" t="s">
        <v>3058</v>
      </c>
      <c r="E129" s="16">
        <f t="shared" si="61"/>
        <v>0</v>
      </c>
      <c r="F129" s="36"/>
      <c r="G129" s="37">
        <f t="shared" si="36"/>
        <v>0</v>
      </c>
      <c r="H129" s="38">
        <f t="shared" si="37"/>
        <v>0</v>
      </c>
      <c r="I129" s="2964"/>
      <c r="J129" s="2965"/>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1272"/>
      <c r="B130" s="34"/>
      <c r="C130" s="34"/>
      <c r="D130" s="2951" t="s">
        <v>3058</v>
      </c>
      <c r="E130" s="16">
        <f t="shared" si="61"/>
        <v>0</v>
      </c>
      <c r="F130" s="36"/>
      <c r="G130" s="37">
        <f t="shared" si="36"/>
        <v>0</v>
      </c>
      <c r="H130" s="38">
        <f t="shared" si="37"/>
        <v>0</v>
      </c>
      <c r="I130" s="2964"/>
      <c r="J130" s="2965"/>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1272"/>
      <c r="B131" s="34"/>
      <c r="C131" s="34"/>
      <c r="D131" s="2951" t="s">
        <v>3058</v>
      </c>
      <c r="E131" s="16">
        <f t="shared" si="61"/>
        <v>0</v>
      </c>
      <c r="F131" s="36"/>
      <c r="G131" s="37">
        <f t="shared" si="36"/>
        <v>0</v>
      </c>
      <c r="H131" s="38">
        <f t="shared" si="37"/>
        <v>0</v>
      </c>
      <c r="I131" s="2964"/>
      <c r="J131" s="2965"/>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1272"/>
      <c r="B132" s="34"/>
      <c r="C132" s="34"/>
      <c r="D132" s="2951" t="s">
        <v>3058</v>
      </c>
      <c r="E132" s="16">
        <f t="shared" si="61"/>
        <v>0</v>
      </c>
      <c r="F132" s="36"/>
      <c r="G132" s="37">
        <f t="shared" si="36"/>
        <v>0</v>
      </c>
      <c r="H132" s="38">
        <f t="shared" si="37"/>
        <v>0</v>
      </c>
      <c r="I132" s="2964"/>
      <c r="J132" s="2965"/>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1272"/>
      <c r="B133" s="34"/>
      <c r="C133" s="34"/>
      <c r="D133" s="2951" t="s">
        <v>3058</v>
      </c>
      <c r="E133" s="16">
        <f t="shared" si="61"/>
        <v>0</v>
      </c>
      <c r="F133" s="36"/>
      <c r="G133" s="37">
        <f t="shared" si="36"/>
        <v>0</v>
      </c>
      <c r="H133" s="38">
        <f t="shared" si="37"/>
        <v>0</v>
      </c>
      <c r="I133" s="2964"/>
      <c r="J133" s="2965"/>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1272"/>
      <c r="B134" s="34"/>
      <c r="C134" s="34"/>
      <c r="D134" s="2951" t="s">
        <v>3058</v>
      </c>
      <c r="E134" s="16">
        <f t="shared" si="61"/>
        <v>0</v>
      </c>
      <c r="F134" s="36"/>
      <c r="G134" s="37">
        <f t="shared" si="36"/>
        <v>0</v>
      </c>
      <c r="H134" s="38">
        <f t="shared" si="37"/>
        <v>0</v>
      </c>
      <c r="I134" s="2964"/>
      <c r="J134" s="2965"/>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1272"/>
      <c r="B135" s="34"/>
      <c r="C135" s="34"/>
      <c r="D135" s="2951" t="s">
        <v>3058</v>
      </c>
      <c r="E135" s="16">
        <f t="shared" si="61"/>
        <v>0</v>
      </c>
      <c r="F135" s="36"/>
      <c r="G135" s="37">
        <f t="shared" si="36"/>
        <v>0</v>
      </c>
      <c r="H135" s="38">
        <f t="shared" si="37"/>
        <v>0</v>
      </c>
      <c r="I135" s="2964"/>
      <c r="J135" s="2965"/>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1272"/>
      <c r="B136" s="34"/>
      <c r="C136" s="34"/>
      <c r="D136" s="2951" t="s">
        <v>3058</v>
      </c>
      <c r="E136" s="16">
        <f t="shared" si="61"/>
        <v>0</v>
      </c>
      <c r="F136" s="36"/>
      <c r="G136" s="37">
        <f t="shared" si="36"/>
        <v>0</v>
      </c>
      <c r="H136" s="38">
        <f t="shared" si="37"/>
        <v>0</v>
      </c>
      <c r="I136" s="2964"/>
      <c r="J136" s="2965"/>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1272"/>
      <c r="B137" s="34"/>
      <c r="C137" s="34"/>
      <c r="D137" s="2951" t="s">
        <v>3058</v>
      </c>
      <c r="E137" s="16">
        <f t="shared" si="61"/>
        <v>0</v>
      </c>
      <c r="F137" s="36"/>
      <c r="G137" s="37">
        <f t="shared" si="36"/>
        <v>0</v>
      </c>
      <c r="H137" s="38">
        <f t="shared" si="37"/>
        <v>0</v>
      </c>
      <c r="I137" s="2964"/>
      <c r="J137" s="2965"/>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1272"/>
      <c r="B138" s="34"/>
      <c r="C138" s="34"/>
      <c r="D138" s="2951" t="s">
        <v>3058</v>
      </c>
      <c r="E138" s="16">
        <f t="shared" si="61"/>
        <v>0</v>
      </c>
      <c r="F138" s="36"/>
      <c r="G138" s="37">
        <f t="shared" si="36"/>
        <v>0</v>
      </c>
      <c r="H138" s="38">
        <f t="shared" si="37"/>
        <v>0</v>
      </c>
      <c r="I138" s="2964"/>
      <c r="J138" s="2965"/>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1272"/>
      <c r="B139" s="34"/>
      <c r="C139" s="34"/>
      <c r="D139" s="2951" t="s">
        <v>3058</v>
      </c>
      <c r="E139" s="16">
        <f t="shared" si="61"/>
        <v>0</v>
      </c>
      <c r="F139" s="36"/>
      <c r="G139" s="37">
        <f t="shared" si="36"/>
        <v>0</v>
      </c>
      <c r="H139" s="38">
        <f t="shared" si="37"/>
        <v>0</v>
      </c>
      <c r="I139" s="2964"/>
      <c r="J139" s="2965"/>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1272"/>
      <c r="B140" s="34"/>
      <c r="C140" s="34"/>
      <c r="D140" s="2951" t="s">
        <v>3058</v>
      </c>
      <c r="E140" s="16">
        <f t="shared" si="61"/>
        <v>0</v>
      </c>
      <c r="F140" s="36"/>
      <c r="G140" s="37">
        <f t="shared" si="36"/>
        <v>0</v>
      </c>
      <c r="H140" s="38">
        <f t="shared" si="37"/>
        <v>0</v>
      </c>
      <c r="I140" s="2964"/>
      <c r="J140" s="2965"/>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1272"/>
      <c r="B141" s="34"/>
      <c r="C141" s="34"/>
      <c r="D141" s="2951" t="s">
        <v>3058</v>
      </c>
      <c r="E141" s="16">
        <f t="shared" si="61"/>
        <v>0</v>
      </c>
      <c r="F141" s="36"/>
      <c r="G141" s="37">
        <f t="shared" si="36"/>
        <v>0</v>
      </c>
      <c r="H141" s="38">
        <f t="shared" si="37"/>
        <v>0</v>
      </c>
      <c r="I141" s="2964"/>
      <c r="J141" s="2965"/>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1272"/>
      <c r="B142" s="34"/>
      <c r="C142" s="34"/>
      <c r="D142" s="2951" t="s">
        <v>3058</v>
      </c>
      <c r="E142" s="16">
        <f t="shared" si="61"/>
        <v>0</v>
      </c>
      <c r="F142" s="36"/>
      <c r="G142" s="37">
        <f t="shared" ref="G142:G173" si="65">H142+AC142+AT142</f>
        <v>0</v>
      </c>
      <c r="H142" s="38">
        <f t="shared" ref="H142:H173" si="66">SUMIF(I$12:AB$12,"总值",I142:AB142)</f>
        <v>0</v>
      </c>
      <c r="I142" s="2964"/>
      <c r="J142" s="2965"/>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1272"/>
      <c r="B143" s="34"/>
      <c r="C143" s="34"/>
      <c r="D143" s="2951" t="s">
        <v>3058</v>
      </c>
      <c r="E143" s="16">
        <f t="shared" si="61"/>
        <v>0</v>
      </c>
      <c r="F143" s="36"/>
      <c r="G143" s="37">
        <f t="shared" si="65"/>
        <v>0</v>
      </c>
      <c r="H143" s="38">
        <f t="shared" si="66"/>
        <v>0</v>
      </c>
      <c r="I143" s="2964"/>
      <c r="J143" s="2965"/>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1272"/>
      <c r="B144" s="34"/>
      <c r="C144" s="34"/>
      <c r="D144" s="2951" t="s">
        <v>3058</v>
      </c>
      <c r="E144" s="16">
        <f t="shared" si="61"/>
        <v>0</v>
      </c>
      <c r="F144" s="36"/>
      <c r="G144" s="37">
        <f t="shared" si="65"/>
        <v>0</v>
      </c>
      <c r="H144" s="38">
        <f t="shared" si="66"/>
        <v>0</v>
      </c>
      <c r="I144" s="2964"/>
      <c r="J144" s="2965"/>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1272"/>
      <c r="B145" s="34"/>
      <c r="C145" s="34"/>
      <c r="D145" s="2951" t="s">
        <v>3058</v>
      </c>
      <c r="E145" s="16">
        <f t="shared" ref="E145:E176" si="90">IF($C$3="是",ROUND($A$3*G145/$B$3,2),ROUND($A$3*(G145-AT145)/$B$3,2))</f>
        <v>0</v>
      </c>
      <c r="F145" s="36"/>
      <c r="G145" s="37">
        <f t="shared" si="65"/>
        <v>0</v>
      </c>
      <c r="H145" s="38">
        <f t="shared" si="66"/>
        <v>0</v>
      </c>
      <c r="I145" s="2964"/>
      <c r="J145" s="2965"/>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1272"/>
      <c r="B146" s="34"/>
      <c r="C146" s="34"/>
      <c r="D146" s="2951" t="s">
        <v>3058</v>
      </c>
      <c r="E146" s="16">
        <f t="shared" si="90"/>
        <v>0</v>
      </c>
      <c r="F146" s="36"/>
      <c r="G146" s="37">
        <f t="shared" si="65"/>
        <v>0</v>
      </c>
      <c r="H146" s="38">
        <f t="shared" si="66"/>
        <v>0</v>
      </c>
      <c r="I146" s="2964"/>
      <c r="J146" s="2965"/>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1272"/>
      <c r="B147" s="34"/>
      <c r="C147" s="34"/>
      <c r="D147" s="2951" t="s">
        <v>3058</v>
      </c>
      <c r="E147" s="16">
        <f t="shared" si="90"/>
        <v>0</v>
      </c>
      <c r="F147" s="36"/>
      <c r="G147" s="37">
        <f t="shared" si="65"/>
        <v>0</v>
      </c>
      <c r="H147" s="38">
        <f t="shared" si="66"/>
        <v>0</v>
      </c>
      <c r="I147" s="2964"/>
      <c r="J147" s="2965"/>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1272"/>
      <c r="B148" s="34"/>
      <c r="C148" s="34"/>
      <c r="D148" s="2951" t="s">
        <v>3058</v>
      </c>
      <c r="E148" s="16">
        <f t="shared" si="90"/>
        <v>0</v>
      </c>
      <c r="F148" s="36"/>
      <c r="G148" s="37">
        <f t="shared" si="65"/>
        <v>0</v>
      </c>
      <c r="H148" s="38">
        <f t="shared" si="66"/>
        <v>0</v>
      </c>
      <c r="I148" s="2964"/>
      <c r="J148" s="2965"/>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1272"/>
      <c r="B149" s="34"/>
      <c r="C149" s="34"/>
      <c r="D149" s="2951" t="s">
        <v>3058</v>
      </c>
      <c r="E149" s="16">
        <f t="shared" si="90"/>
        <v>0</v>
      </c>
      <c r="F149" s="36"/>
      <c r="G149" s="37">
        <f t="shared" si="65"/>
        <v>0</v>
      </c>
      <c r="H149" s="38">
        <f t="shared" si="66"/>
        <v>0</v>
      </c>
      <c r="I149" s="2964"/>
      <c r="J149" s="2965"/>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1272"/>
      <c r="B150" s="34"/>
      <c r="C150" s="34"/>
      <c r="D150" s="2951" t="s">
        <v>3058</v>
      </c>
      <c r="E150" s="16">
        <f t="shared" si="90"/>
        <v>0</v>
      </c>
      <c r="F150" s="36"/>
      <c r="G150" s="37">
        <f t="shared" si="65"/>
        <v>0</v>
      </c>
      <c r="H150" s="38">
        <f t="shared" si="66"/>
        <v>0</v>
      </c>
      <c r="I150" s="2964"/>
      <c r="J150" s="2965"/>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1272"/>
      <c r="B151" s="34"/>
      <c r="C151" s="34"/>
      <c r="D151" s="2951" t="s">
        <v>3058</v>
      </c>
      <c r="E151" s="16">
        <f t="shared" si="90"/>
        <v>0</v>
      </c>
      <c r="F151" s="36"/>
      <c r="G151" s="37">
        <f t="shared" si="65"/>
        <v>0</v>
      </c>
      <c r="H151" s="38">
        <f t="shared" si="66"/>
        <v>0</v>
      </c>
      <c r="I151" s="2964"/>
      <c r="J151" s="2965"/>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1272"/>
      <c r="B152" s="34"/>
      <c r="C152" s="34"/>
      <c r="D152" s="2951" t="s">
        <v>3058</v>
      </c>
      <c r="E152" s="16">
        <f t="shared" si="90"/>
        <v>0</v>
      </c>
      <c r="F152" s="36"/>
      <c r="G152" s="37">
        <f t="shared" si="65"/>
        <v>0</v>
      </c>
      <c r="H152" s="38">
        <f t="shared" si="66"/>
        <v>0</v>
      </c>
      <c r="I152" s="2964"/>
      <c r="J152" s="2965"/>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1272"/>
      <c r="B153" s="34"/>
      <c r="C153" s="34"/>
      <c r="D153" s="2951" t="s">
        <v>3058</v>
      </c>
      <c r="E153" s="16">
        <f t="shared" si="90"/>
        <v>0</v>
      </c>
      <c r="F153" s="36"/>
      <c r="G153" s="37">
        <f t="shared" si="65"/>
        <v>0</v>
      </c>
      <c r="H153" s="38">
        <f t="shared" si="66"/>
        <v>0</v>
      </c>
      <c r="I153" s="2964"/>
      <c r="J153" s="2965"/>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1272"/>
      <c r="B154" s="34"/>
      <c r="C154" s="34"/>
      <c r="D154" s="2951" t="s">
        <v>3058</v>
      </c>
      <c r="E154" s="16">
        <f t="shared" si="90"/>
        <v>0</v>
      </c>
      <c r="F154" s="36"/>
      <c r="G154" s="37">
        <f t="shared" si="65"/>
        <v>0</v>
      </c>
      <c r="H154" s="38">
        <f t="shared" si="66"/>
        <v>0</v>
      </c>
      <c r="I154" s="2964"/>
      <c r="J154" s="2965"/>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1272"/>
      <c r="B155" s="34"/>
      <c r="C155" s="34"/>
      <c r="D155" s="2951" t="s">
        <v>3058</v>
      </c>
      <c r="E155" s="16">
        <f t="shared" si="90"/>
        <v>0</v>
      </c>
      <c r="F155" s="36"/>
      <c r="G155" s="37">
        <f t="shared" si="65"/>
        <v>0</v>
      </c>
      <c r="H155" s="38">
        <f t="shared" si="66"/>
        <v>0</v>
      </c>
      <c r="I155" s="2964"/>
      <c r="J155" s="2965"/>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1272"/>
      <c r="B156" s="34"/>
      <c r="C156" s="34"/>
      <c r="D156" s="2951" t="s">
        <v>3058</v>
      </c>
      <c r="E156" s="16">
        <f t="shared" si="90"/>
        <v>0</v>
      </c>
      <c r="F156" s="36"/>
      <c r="G156" s="37">
        <f t="shared" si="65"/>
        <v>0</v>
      </c>
      <c r="H156" s="38">
        <f t="shared" si="66"/>
        <v>0</v>
      </c>
      <c r="I156" s="2964"/>
      <c r="J156" s="2965"/>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1272"/>
      <c r="B157" s="34"/>
      <c r="C157" s="34"/>
      <c r="D157" s="2951" t="s">
        <v>3058</v>
      </c>
      <c r="E157" s="16">
        <f t="shared" si="90"/>
        <v>0</v>
      </c>
      <c r="F157" s="36"/>
      <c r="G157" s="37">
        <f t="shared" si="65"/>
        <v>0</v>
      </c>
      <c r="H157" s="38">
        <f t="shared" si="66"/>
        <v>0</v>
      </c>
      <c r="I157" s="2964"/>
      <c r="J157" s="2965"/>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1272"/>
      <c r="B158" s="34"/>
      <c r="C158" s="34"/>
      <c r="D158" s="2951" t="s">
        <v>3058</v>
      </c>
      <c r="E158" s="16">
        <f t="shared" si="90"/>
        <v>0</v>
      </c>
      <c r="F158" s="36"/>
      <c r="G158" s="37">
        <f t="shared" si="65"/>
        <v>0</v>
      </c>
      <c r="H158" s="38">
        <f t="shared" si="66"/>
        <v>0</v>
      </c>
      <c r="I158" s="2964"/>
      <c r="J158" s="2965"/>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1272"/>
      <c r="B159" s="34"/>
      <c r="C159" s="34"/>
      <c r="D159" s="2951" t="s">
        <v>3058</v>
      </c>
      <c r="E159" s="16">
        <f t="shared" si="90"/>
        <v>0</v>
      </c>
      <c r="F159" s="36"/>
      <c r="G159" s="37">
        <f t="shared" si="65"/>
        <v>0</v>
      </c>
      <c r="H159" s="38">
        <f t="shared" si="66"/>
        <v>0</v>
      </c>
      <c r="I159" s="2964"/>
      <c r="J159" s="2965"/>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1272"/>
      <c r="B160" s="34"/>
      <c r="C160" s="34"/>
      <c r="D160" s="2951" t="s">
        <v>3058</v>
      </c>
      <c r="E160" s="16">
        <f t="shared" si="90"/>
        <v>0</v>
      </c>
      <c r="F160" s="36"/>
      <c r="G160" s="37">
        <f t="shared" si="65"/>
        <v>0</v>
      </c>
      <c r="H160" s="38">
        <f t="shared" si="66"/>
        <v>0</v>
      </c>
      <c r="I160" s="2964"/>
      <c r="J160" s="2965"/>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1272"/>
      <c r="B161" s="34"/>
      <c r="C161" s="34"/>
      <c r="D161" s="2951" t="s">
        <v>3058</v>
      </c>
      <c r="E161" s="16">
        <f t="shared" si="90"/>
        <v>0</v>
      </c>
      <c r="F161" s="36"/>
      <c r="G161" s="37">
        <f t="shared" si="65"/>
        <v>0</v>
      </c>
      <c r="H161" s="38">
        <f t="shared" si="66"/>
        <v>0</v>
      </c>
      <c r="I161" s="2964"/>
      <c r="J161" s="2965"/>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1272"/>
      <c r="B162" s="34"/>
      <c r="C162" s="34"/>
      <c r="D162" s="2951" t="s">
        <v>3058</v>
      </c>
      <c r="E162" s="16">
        <f t="shared" si="90"/>
        <v>0</v>
      </c>
      <c r="F162" s="36"/>
      <c r="G162" s="37">
        <f t="shared" si="65"/>
        <v>0</v>
      </c>
      <c r="H162" s="38">
        <f t="shared" si="66"/>
        <v>0</v>
      </c>
      <c r="I162" s="2964"/>
      <c r="J162" s="2965"/>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1272"/>
      <c r="B163" s="34"/>
      <c r="C163" s="34"/>
      <c r="D163" s="2951" t="s">
        <v>3058</v>
      </c>
      <c r="E163" s="16">
        <f t="shared" si="90"/>
        <v>0</v>
      </c>
      <c r="F163" s="36"/>
      <c r="G163" s="37">
        <f t="shared" si="65"/>
        <v>0</v>
      </c>
      <c r="H163" s="38">
        <f t="shared" si="66"/>
        <v>0</v>
      </c>
      <c r="I163" s="2964"/>
      <c r="J163" s="2965"/>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1272"/>
      <c r="B164" s="34"/>
      <c r="C164" s="34"/>
      <c r="D164" s="2951" t="s">
        <v>3058</v>
      </c>
      <c r="E164" s="16">
        <f t="shared" si="90"/>
        <v>0</v>
      </c>
      <c r="F164" s="36"/>
      <c r="G164" s="37">
        <f t="shared" si="65"/>
        <v>0</v>
      </c>
      <c r="H164" s="38">
        <f t="shared" si="66"/>
        <v>0</v>
      </c>
      <c r="I164" s="2964"/>
      <c r="J164" s="2965"/>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1272"/>
      <c r="B165" s="34"/>
      <c r="C165" s="34"/>
      <c r="D165" s="2951" t="s">
        <v>3058</v>
      </c>
      <c r="E165" s="16">
        <f t="shared" si="90"/>
        <v>0</v>
      </c>
      <c r="F165" s="36"/>
      <c r="G165" s="37">
        <f t="shared" si="65"/>
        <v>0</v>
      </c>
      <c r="H165" s="38">
        <f t="shared" si="66"/>
        <v>0</v>
      </c>
      <c r="I165" s="2964"/>
      <c r="J165" s="2965"/>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1272"/>
      <c r="B166" s="34"/>
      <c r="C166" s="34"/>
      <c r="D166" s="2951" t="s">
        <v>3058</v>
      </c>
      <c r="E166" s="16">
        <f t="shared" si="90"/>
        <v>0</v>
      </c>
      <c r="F166" s="36"/>
      <c r="G166" s="37">
        <f t="shared" si="65"/>
        <v>0</v>
      </c>
      <c r="H166" s="38">
        <f t="shared" si="66"/>
        <v>0</v>
      </c>
      <c r="I166" s="2964"/>
      <c r="J166" s="2965"/>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1272"/>
      <c r="B167" s="34"/>
      <c r="C167" s="34"/>
      <c r="D167" s="2951" t="s">
        <v>3058</v>
      </c>
      <c r="E167" s="16">
        <f t="shared" si="90"/>
        <v>0</v>
      </c>
      <c r="F167" s="36"/>
      <c r="G167" s="37">
        <f t="shared" si="65"/>
        <v>0</v>
      </c>
      <c r="H167" s="38">
        <f t="shared" si="66"/>
        <v>0</v>
      </c>
      <c r="I167" s="2964"/>
      <c r="J167" s="2965"/>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1272"/>
      <c r="B168" s="34"/>
      <c r="C168" s="34"/>
      <c r="D168" s="2951" t="s">
        <v>3058</v>
      </c>
      <c r="E168" s="16">
        <f t="shared" si="90"/>
        <v>0</v>
      </c>
      <c r="F168" s="36"/>
      <c r="G168" s="37">
        <f t="shared" si="65"/>
        <v>0</v>
      </c>
      <c r="H168" s="38">
        <f t="shared" si="66"/>
        <v>0</v>
      </c>
      <c r="I168" s="2964"/>
      <c r="J168" s="2965"/>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1272"/>
      <c r="B169" s="34"/>
      <c r="C169" s="34"/>
      <c r="D169" s="2951" t="s">
        <v>3058</v>
      </c>
      <c r="E169" s="16">
        <f t="shared" si="90"/>
        <v>0</v>
      </c>
      <c r="F169" s="36"/>
      <c r="G169" s="37">
        <f t="shared" si="65"/>
        <v>0</v>
      </c>
      <c r="H169" s="38">
        <f t="shared" si="66"/>
        <v>0</v>
      </c>
      <c r="I169" s="2964"/>
      <c r="J169" s="2965"/>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1272"/>
      <c r="B170" s="34"/>
      <c r="C170" s="34"/>
      <c r="D170" s="2951" t="s">
        <v>3058</v>
      </c>
      <c r="E170" s="16">
        <f t="shared" si="90"/>
        <v>0</v>
      </c>
      <c r="F170" s="36"/>
      <c r="G170" s="37">
        <f t="shared" si="65"/>
        <v>0</v>
      </c>
      <c r="H170" s="38">
        <f t="shared" si="66"/>
        <v>0</v>
      </c>
      <c r="I170" s="2964"/>
      <c r="J170" s="2965"/>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1272"/>
      <c r="B171" s="34"/>
      <c r="C171" s="34"/>
      <c r="D171" s="2951" t="s">
        <v>3058</v>
      </c>
      <c r="E171" s="16">
        <f t="shared" si="90"/>
        <v>0</v>
      </c>
      <c r="F171" s="36"/>
      <c r="G171" s="37">
        <f t="shared" si="65"/>
        <v>0</v>
      </c>
      <c r="H171" s="38">
        <f t="shared" si="66"/>
        <v>0</v>
      </c>
      <c r="I171" s="2964"/>
      <c r="J171" s="2965"/>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1272"/>
      <c r="B172" s="34"/>
      <c r="C172" s="34"/>
      <c r="D172" s="2951" t="s">
        <v>3058</v>
      </c>
      <c r="E172" s="16">
        <f t="shared" si="90"/>
        <v>0</v>
      </c>
      <c r="F172" s="36"/>
      <c r="G172" s="37">
        <f t="shared" si="65"/>
        <v>0</v>
      </c>
      <c r="H172" s="38">
        <f t="shared" si="66"/>
        <v>0</v>
      </c>
      <c r="I172" s="2964"/>
      <c r="J172" s="2965"/>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1272"/>
      <c r="B173" s="34"/>
      <c r="C173" s="34"/>
      <c r="D173" s="2951" t="s">
        <v>3058</v>
      </c>
      <c r="E173" s="16">
        <f t="shared" si="90"/>
        <v>0</v>
      </c>
      <c r="F173" s="36"/>
      <c r="G173" s="37">
        <f t="shared" si="65"/>
        <v>0</v>
      </c>
      <c r="H173" s="38">
        <f t="shared" si="66"/>
        <v>0</v>
      </c>
      <c r="I173" s="2964"/>
      <c r="J173" s="2965"/>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1272"/>
      <c r="B174" s="34"/>
      <c r="C174" s="34"/>
      <c r="D174" s="2951" t="s">
        <v>3058</v>
      </c>
      <c r="E174" s="16">
        <f t="shared" si="90"/>
        <v>0</v>
      </c>
      <c r="F174" s="36"/>
      <c r="G174" s="37">
        <f t="shared" ref="G174:G205" si="94">H174+AC174+AT174</f>
        <v>0</v>
      </c>
      <c r="H174" s="38">
        <f t="shared" ref="H174:H205" si="95">SUMIF(I$12:AB$12,"总值",I174:AB174)</f>
        <v>0</v>
      </c>
      <c r="I174" s="2964"/>
      <c r="J174" s="2965"/>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1272"/>
      <c r="B175" s="34"/>
      <c r="C175" s="34"/>
      <c r="D175" s="2951" t="s">
        <v>3058</v>
      </c>
      <c r="E175" s="16">
        <f t="shared" si="90"/>
        <v>0</v>
      </c>
      <c r="F175" s="36"/>
      <c r="G175" s="37">
        <f t="shared" si="94"/>
        <v>0</v>
      </c>
      <c r="H175" s="38">
        <f t="shared" si="95"/>
        <v>0</v>
      </c>
      <c r="I175" s="2964"/>
      <c r="J175" s="2965"/>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1272"/>
      <c r="B176" s="34"/>
      <c r="C176" s="34"/>
      <c r="D176" s="2951" t="s">
        <v>3058</v>
      </c>
      <c r="E176" s="16">
        <f t="shared" si="90"/>
        <v>0</v>
      </c>
      <c r="F176" s="36"/>
      <c r="G176" s="37">
        <f t="shared" si="94"/>
        <v>0</v>
      </c>
      <c r="H176" s="38">
        <f t="shared" si="95"/>
        <v>0</v>
      </c>
      <c r="I176" s="2964"/>
      <c r="J176" s="2965"/>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1272"/>
      <c r="B177" s="34"/>
      <c r="C177" s="34"/>
      <c r="D177" s="2951" t="s">
        <v>3058</v>
      </c>
      <c r="E177" s="16">
        <f t="shared" ref="E177:E207" si="119">IF($C$3="是",ROUND($A$3*G177/$B$3,2),ROUND($A$3*(G177-AT177)/$B$3,2))</f>
        <v>0</v>
      </c>
      <c r="F177" s="36"/>
      <c r="G177" s="37">
        <f t="shared" si="94"/>
        <v>0</v>
      </c>
      <c r="H177" s="38">
        <f t="shared" si="95"/>
        <v>0</v>
      </c>
      <c r="I177" s="2964"/>
      <c r="J177" s="2965"/>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1272"/>
      <c r="B178" s="34"/>
      <c r="C178" s="34"/>
      <c r="D178" s="2951" t="s">
        <v>3058</v>
      </c>
      <c r="E178" s="16">
        <f t="shared" si="119"/>
        <v>0</v>
      </c>
      <c r="F178" s="36"/>
      <c r="G178" s="37">
        <f t="shared" si="94"/>
        <v>0</v>
      </c>
      <c r="H178" s="38">
        <f t="shared" si="95"/>
        <v>0</v>
      </c>
      <c r="I178" s="2964"/>
      <c r="J178" s="2965"/>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1272"/>
      <c r="B179" s="34"/>
      <c r="C179" s="34"/>
      <c r="D179" s="2951" t="s">
        <v>3058</v>
      </c>
      <c r="E179" s="16">
        <f t="shared" si="119"/>
        <v>0</v>
      </c>
      <c r="F179" s="36"/>
      <c r="G179" s="37">
        <f t="shared" si="94"/>
        <v>0</v>
      </c>
      <c r="H179" s="38">
        <f t="shared" si="95"/>
        <v>0</v>
      </c>
      <c r="I179" s="2964"/>
      <c r="J179" s="2965"/>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1272"/>
      <c r="B180" s="34"/>
      <c r="C180" s="34"/>
      <c r="D180" s="2951" t="s">
        <v>3058</v>
      </c>
      <c r="E180" s="16">
        <f t="shared" si="119"/>
        <v>0</v>
      </c>
      <c r="F180" s="36"/>
      <c r="G180" s="37">
        <f t="shared" si="94"/>
        <v>0</v>
      </c>
      <c r="H180" s="38">
        <f t="shared" si="95"/>
        <v>0</v>
      </c>
      <c r="I180" s="2964"/>
      <c r="J180" s="2965"/>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1272"/>
      <c r="B181" s="34"/>
      <c r="C181" s="34"/>
      <c r="D181" s="2951" t="s">
        <v>3058</v>
      </c>
      <c r="E181" s="16">
        <f t="shared" si="119"/>
        <v>0</v>
      </c>
      <c r="F181" s="36"/>
      <c r="G181" s="37">
        <f t="shared" si="94"/>
        <v>0</v>
      </c>
      <c r="H181" s="38">
        <f t="shared" si="95"/>
        <v>0</v>
      </c>
      <c r="I181" s="2964"/>
      <c r="J181" s="2965"/>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1272"/>
      <c r="B182" s="34"/>
      <c r="C182" s="34"/>
      <c r="D182" s="2951" t="s">
        <v>3058</v>
      </c>
      <c r="E182" s="16">
        <f t="shared" si="119"/>
        <v>0</v>
      </c>
      <c r="F182" s="36"/>
      <c r="G182" s="37">
        <f t="shared" si="94"/>
        <v>0</v>
      </c>
      <c r="H182" s="38">
        <f t="shared" si="95"/>
        <v>0</v>
      </c>
      <c r="I182" s="2964"/>
      <c r="J182" s="2965"/>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1272"/>
      <c r="B183" s="34"/>
      <c r="C183" s="34"/>
      <c r="D183" s="2951" t="s">
        <v>3058</v>
      </c>
      <c r="E183" s="16">
        <f t="shared" si="119"/>
        <v>0</v>
      </c>
      <c r="F183" s="36"/>
      <c r="G183" s="37">
        <f t="shared" si="94"/>
        <v>0</v>
      </c>
      <c r="H183" s="38">
        <f t="shared" si="95"/>
        <v>0</v>
      </c>
      <c r="I183" s="2964"/>
      <c r="J183" s="2965"/>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1272"/>
      <c r="B184" s="34"/>
      <c r="C184" s="34"/>
      <c r="D184" s="2951" t="s">
        <v>3058</v>
      </c>
      <c r="E184" s="16">
        <f t="shared" si="119"/>
        <v>0</v>
      </c>
      <c r="F184" s="36"/>
      <c r="G184" s="37">
        <f t="shared" si="94"/>
        <v>0</v>
      </c>
      <c r="H184" s="38">
        <f t="shared" si="95"/>
        <v>0</v>
      </c>
      <c r="I184" s="2964"/>
      <c r="J184" s="2965"/>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1272"/>
      <c r="B185" s="34"/>
      <c r="C185" s="34"/>
      <c r="D185" s="2951" t="s">
        <v>3058</v>
      </c>
      <c r="E185" s="16">
        <f t="shared" si="119"/>
        <v>0</v>
      </c>
      <c r="F185" s="36"/>
      <c r="G185" s="37">
        <f t="shared" si="94"/>
        <v>0</v>
      </c>
      <c r="H185" s="38">
        <f t="shared" si="95"/>
        <v>0</v>
      </c>
      <c r="I185" s="2964"/>
      <c r="J185" s="2965"/>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1272"/>
      <c r="B186" s="34"/>
      <c r="C186" s="34"/>
      <c r="D186" s="2951" t="s">
        <v>3058</v>
      </c>
      <c r="E186" s="16">
        <f t="shared" si="119"/>
        <v>0</v>
      </c>
      <c r="F186" s="36"/>
      <c r="G186" s="37">
        <f t="shared" si="94"/>
        <v>0</v>
      </c>
      <c r="H186" s="38">
        <f t="shared" si="95"/>
        <v>0</v>
      </c>
      <c r="I186" s="2964"/>
      <c r="J186" s="2965"/>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1272"/>
      <c r="B187" s="34"/>
      <c r="C187" s="34"/>
      <c r="D187" s="2951" t="s">
        <v>3058</v>
      </c>
      <c r="E187" s="16">
        <f t="shared" si="119"/>
        <v>0</v>
      </c>
      <c r="F187" s="36"/>
      <c r="G187" s="37">
        <f t="shared" si="94"/>
        <v>0</v>
      </c>
      <c r="H187" s="38">
        <f t="shared" si="95"/>
        <v>0</v>
      </c>
      <c r="I187" s="2964"/>
      <c r="J187" s="2965"/>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1272"/>
      <c r="B188" s="34"/>
      <c r="C188" s="34"/>
      <c r="D188" s="2951" t="s">
        <v>3058</v>
      </c>
      <c r="E188" s="16">
        <f t="shared" si="119"/>
        <v>0</v>
      </c>
      <c r="F188" s="36"/>
      <c r="G188" s="37">
        <f t="shared" si="94"/>
        <v>0</v>
      </c>
      <c r="H188" s="38">
        <f t="shared" si="95"/>
        <v>0</v>
      </c>
      <c r="I188" s="2964"/>
      <c r="J188" s="2965"/>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1272"/>
      <c r="B189" s="34"/>
      <c r="C189" s="34"/>
      <c r="D189" s="2951" t="s">
        <v>3058</v>
      </c>
      <c r="E189" s="16">
        <f t="shared" si="119"/>
        <v>0</v>
      </c>
      <c r="F189" s="36"/>
      <c r="G189" s="37">
        <f t="shared" si="94"/>
        <v>0</v>
      </c>
      <c r="H189" s="38">
        <f t="shared" si="95"/>
        <v>0</v>
      </c>
      <c r="I189" s="2964"/>
      <c r="J189" s="2965"/>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1272"/>
      <c r="B190" s="34"/>
      <c r="C190" s="34"/>
      <c r="D190" s="2951" t="s">
        <v>3058</v>
      </c>
      <c r="E190" s="16">
        <f t="shared" si="119"/>
        <v>0</v>
      </c>
      <c r="F190" s="36"/>
      <c r="G190" s="37">
        <f t="shared" si="94"/>
        <v>0</v>
      </c>
      <c r="H190" s="38">
        <f t="shared" si="95"/>
        <v>0</v>
      </c>
      <c r="I190" s="2964"/>
      <c r="J190" s="2965"/>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1272"/>
      <c r="B191" s="34"/>
      <c r="C191" s="34"/>
      <c r="D191" s="2951" t="s">
        <v>3058</v>
      </c>
      <c r="E191" s="16">
        <f t="shared" si="119"/>
        <v>0</v>
      </c>
      <c r="F191" s="36"/>
      <c r="G191" s="37">
        <f t="shared" si="94"/>
        <v>0</v>
      </c>
      <c r="H191" s="38">
        <f t="shared" si="95"/>
        <v>0</v>
      </c>
      <c r="I191" s="2964"/>
      <c r="J191" s="2965"/>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1272"/>
      <c r="B192" s="34"/>
      <c r="C192" s="34"/>
      <c r="D192" s="2951" t="s">
        <v>3058</v>
      </c>
      <c r="E192" s="16">
        <f t="shared" si="119"/>
        <v>0</v>
      </c>
      <c r="F192" s="36"/>
      <c r="G192" s="37">
        <f t="shared" si="94"/>
        <v>0</v>
      </c>
      <c r="H192" s="38">
        <f t="shared" si="95"/>
        <v>0</v>
      </c>
      <c r="I192" s="2964"/>
      <c r="J192" s="2965"/>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1272"/>
      <c r="B193" s="34"/>
      <c r="C193" s="34"/>
      <c r="D193" s="2951" t="s">
        <v>3058</v>
      </c>
      <c r="E193" s="16">
        <f t="shared" si="119"/>
        <v>0</v>
      </c>
      <c r="F193" s="36"/>
      <c r="G193" s="37">
        <f t="shared" si="94"/>
        <v>0</v>
      </c>
      <c r="H193" s="38">
        <f t="shared" si="95"/>
        <v>0</v>
      </c>
      <c r="I193" s="2964"/>
      <c r="J193" s="2965"/>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1272"/>
      <c r="B194" s="34"/>
      <c r="C194" s="34"/>
      <c r="D194" s="2951" t="s">
        <v>3058</v>
      </c>
      <c r="E194" s="16">
        <f t="shared" si="119"/>
        <v>0</v>
      </c>
      <c r="F194" s="36"/>
      <c r="G194" s="37">
        <f t="shared" si="94"/>
        <v>0</v>
      </c>
      <c r="H194" s="38">
        <f t="shared" si="95"/>
        <v>0</v>
      </c>
      <c r="I194" s="2964"/>
      <c r="J194" s="2965"/>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1272"/>
      <c r="B195" s="34"/>
      <c r="C195" s="34"/>
      <c r="D195" s="2951" t="s">
        <v>3058</v>
      </c>
      <c r="E195" s="16">
        <f t="shared" si="119"/>
        <v>0</v>
      </c>
      <c r="F195" s="36"/>
      <c r="G195" s="37">
        <f t="shared" si="94"/>
        <v>0</v>
      </c>
      <c r="H195" s="38">
        <f t="shared" si="95"/>
        <v>0</v>
      </c>
      <c r="I195" s="2964"/>
      <c r="J195" s="2965"/>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1272"/>
      <c r="B196" s="34"/>
      <c r="C196" s="34"/>
      <c r="D196" s="2951" t="s">
        <v>3058</v>
      </c>
      <c r="E196" s="16">
        <f t="shared" si="119"/>
        <v>0</v>
      </c>
      <c r="F196" s="36"/>
      <c r="G196" s="37">
        <f t="shared" si="94"/>
        <v>0</v>
      </c>
      <c r="H196" s="38">
        <f t="shared" si="95"/>
        <v>0</v>
      </c>
      <c r="I196" s="2964"/>
      <c r="J196" s="2965"/>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1272"/>
      <c r="B197" s="34"/>
      <c r="C197" s="34"/>
      <c r="D197" s="2951" t="s">
        <v>3058</v>
      </c>
      <c r="E197" s="16">
        <f t="shared" si="119"/>
        <v>0</v>
      </c>
      <c r="F197" s="36"/>
      <c r="G197" s="37">
        <f t="shared" si="94"/>
        <v>0</v>
      </c>
      <c r="H197" s="38">
        <f t="shared" si="95"/>
        <v>0</v>
      </c>
      <c r="I197" s="2964"/>
      <c r="J197" s="2965"/>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1272"/>
      <c r="B198" s="34"/>
      <c r="C198" s="34"/>
      <c r="D198" s="2951" t="s">
        <v>3058</v>
      </c>
      <c r="E198" s="16">
        <f t="shared" si="119"/>
        <v>0</v>
      </c>
      <c r="F198" s="36"/>
      <c r="G198" s="37">
        <f t="shared" si="94"/>
        <v>0</v>
      </c>
      <c r="H198" s="38">
        <f t="shared" si="95"/>
        <v>0</v>
      </c>
      <c r="I198" s="2964"/>
      <c r="J198" s="2965"/>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1272"/>
      <c r="B199" s="34"/>
      <c r="C199" s="34"/>
      <c r="D199" s="2951" t="s">
        <v>3058</v>
      </c>
      <c r="E199" s="16">
        <f t="shared" si="119"/>
        <v>0</v>
      </c>
      <c r="F199" s="36"/>
      <c r="G199" s="37">
        <f t="shared" si="94"/>
        <v>0</v>
      </c>
      <c r="H199" s="38">
        <f t="shared" si="95"/>
        <v>0</v>
      </c>
      <c r="I199" s="2964"/>
      <c r="J199" s="2965"/>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1272"/>
      <c r="B200" s="34"/>
      <c r="C200" s="34"/>
      <c r="D200" s="2951" t="s">
        <v>3058</v>
      </c>
      <c r="E200" s="16">
        <f t="shared" si="119"/>
        <v>0</v>
      </c>
      <c r="F200" s="36"/>
      <c r="G200" s="37">
        <f t="shared" si="94"/>
        <v>0</v>
      </c>
      <c r="H200" s="38">
        <f t="shared" si="95"/>
        <v>0</v>
      </c>
      <c r="I200" s="2964"/>
      <c r="J200" s="2965"/>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1272"/>
      <c r="B201" s="34"/>
      <c r="C201" s="34"/>
      <c r="D201" s="2951" t="s">
        <v>3058</v>
      </c>
      <c r="E201" s="16">
        <f t="shared" si="119"/>
        <v>0</v>
      </c>
      <c r="F201" s="36"/>
      <c r="G201" s="37">
        <f t="shared" si="94"/>
        <v>0</v>
      </c>
      <c r="H201" s="38">
        <f t="shared" si="95"/>
        <v>0</v>
      </c>
      <c r="I201" s="2964"/>
      <c r="J201" s="2965"/>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1272"/>
      <c r="B202" s="34"/>
      <c r="C202" s="34"/>
      <c r="D202" s="2951" t="s">
        <v>3058</v>
      </c>
      <c r="E202" s="16">
        <f t="shared" si="119"/>
        <v>0</v>
      </c>
      <c r="F202" s="36"/>
      <c r="G202" s="37">
        <f t="shared" si="94"/>
        <v>0</v>
      </c>
      <c r="H202" s="38">
        <f t="shared" si="95"/>
        <v>0</v>
      </c>
      <c r="I202" s="2964"/>
      <c r="J202" s="2965"/>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1272"/>
      <c r="B203" s="34"/>
      <c r="C203" s="34"/>
      <c r="D203" s="2951" t="s">
        <v>3058</v>
      </c>
      <c r="E203" s="16">
        <f t="shared" si="119"/>
        <v>0</v>
      </c>
      <c r="F203" s="36"/>
      <c r="G203" s="37">
        <f t="shared" si="94"/>
        <v>0</v>
      </c>
      <c r="H203" s="38">
        <f t="shared" si="95"/>
        <v>0</v>
      </c>
      <c r="I203" s="2964"/>
      <c r="J203" s="2965"/>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1272"/>
      <c r="B204" s="34"/>
      <c r="C204" s="34"/>
      <c r="D204" s="2951" t="s">
        <v>3058</v>
      </c>
      <c r="E204" s="16">
        <f t="shared" si="119"/>
        <v>0</v>
      </c>
      <c r="F204" s="36"/>
      <c r="G204" s="37">
        <f t="shared" si="94"/>
        <v>0</v>
      </c>
      <c r="H204" s="38">
        <f t="shared" si="95"/>
        <v>0</v>
      </c>
      <c r="I204" s="2964"/>
      <c r="J204" s="2965"/>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1272"/>
      <c r="B205" s="9"/>
      <c r="C205" s="9"/>
      <c r="D205" s="2951" t="s">
        <v>3058</v>
      </c>
      <c r="E205" s="16">
        <f t="shared" si="119"/>
        <v>0</v>
      </c>
      <c r="F205" s="44"/>
      <c r="G205" s="37">
        <f t="shared" si="94"/>
        <v>0</v>
      </c>
      <c r="H205" s="38">
        <f t="shared" si="95"/>
        <v>0</v>
      </c>
      <c r="I205" s="2964"/>
      <c r="J205" s="2966"/>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1272"/>
      <c r="B206" s="9"/>
      <c r="C206" s="9"/>
      <c r="D206" s="2951" t="s">
        <v>3058</v>
      </c>
      <c r="E206" s="16">
        <f t="shared" si="119"/>
        <v>0</v>
      </c>
      <c r="F206" s="44"/>
      <c r="G206" s="37">
        <f>H206+AC206+AT206</f>
        <v>0</v>
      </c>
      <c r="H206" s="38">
        <f>SUMIF(I$12:AB$12,"总值",I206:AB206)</f>
        <v>0</v>
      </c>
      <c r="I206" s="2964"/>
      <c r="J206" s="2965"/>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1272"/>
      <c r="B207" s="9"/>
      <c r="C207" s="9"/>
      <c r="D207" s="2951" t="s">
        <v>3058</v>
      </c>
      <c r="E207" s="16">
        <f t="shared" si="119"/>
        <v>0</v>
      </c>
      <c r="F207" s="44"/>
      <c r="G207" s="37">
        <f>H207+AC207+AT207</f>
        <v>0</v>
      </c>
      <c r="H207" s="38">
        <f>SUMIF(I$12:AB$12,"总值",I207:AB207)</f>
        <v>0</v>
      </c>
      <c r="I207" s="2964"/>
      <c r="J207" s="2965"/>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1272"/>
      <c r="B208" s="34"/>
      <c r="C208" s="34"/>
      <c r="D208" s="2951" t="s">
        <v>3058</v>
      </c>
      <c r="E208" s="16">
        <f t="shared" ref="E208:E302" si="123">IF($C$3="是",ROUND($A$3*G208/$B$3,2),ROUND($A$3*(G208-AT208)/$B$3,2))</f>
        <v>0</v>
      </c>
      <c r="F208" s="36"/>
      <c r="G208" s="37">
        <f t="shared" ref="G208:G299" si="124">H208+AC208+AT208</f>
        <v>0</v>
      </c>
      <c r="H208" s="38">
        <f t="shared" ref="H208:H299" si="125">SUMIF(I$12:AB$12,"总值",I208:AB208)</f>
        <v>0</v>
      </c>
      <c r="I208" s="2964"/>
      <c r="J208" s="2965"/>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1272"/>
      <c r="B209" s="34"/>
      <c r="C209" s="34"/>
      <c r="D209" s="2951" t="s">
        <v>3058</v>
      </c>
      <c r="E209" s="16">
        <f t="shared" si="123"/>
        <v>0</v>
      </c>
      <c r="F209" s="36"/>
      <c r="G209" s="37">
        <f t="shared" si="124"/>
        <v>0</v>
      </c>
      <c r="H209" s="38">
        <f t="shared" si="125"/>
        <v>0</v>
      </c>
      <c r="I209" s="2964"/>
      <c r="J209" s="2965"/>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1272"/>
      <c r="B210" s="34"/>
      <c r="C210" s="34"/>
      <c r="D210" s="2951" t="s">
        <v>3058</v>
      </c>
      <c r="E210" s="16">
        <f t="shared" si="123"/>
        <v>0</v>
      </c>
      <c r="F210" s="36"/>
      <c r="G210" s="37">
        <f t="shared" si="124"/>
        <v>0</v>
      </c>
      <c r="H210" s="38">
        <f t="shared" si="125"/>
        <v>0</v>
      </c>
      <c r="I210" s="2964"/>
      <c r="J210" s="2965"/>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1272"/>
      <c r="B211" s="34"/>
      <c r="C211" s="34"/>
      <c r="D211" s="2951" t="s">
        <v>3058</v>
      </c>
      <c r="E211" s="16">
        <f t="shared" si="123"/>
        <v>0</v>
      </c>
      <c r="F211" s="36"/>
      <c r="G211" s="37">
        <f t="shared" si="124"/>
        <v>0</v>
      </c>
      <c r="H211" s="38">
        <f t="shared" si="125"/>
        <v>0</v>
      </c>
      <c r="I211" s="2964"/>
      <c r="J211" s="2965"/>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1272"/>
      <c r="B212" s="34"/>
      <c r="C212" s="34"/>
      <c r="D212" s="2951" t="s">
        <v>3058</v>
      </c>
      <c r="E212" s="16">
        <f t="shared" si="123"/>
        <v>0</v>
      </c>
      <c r="F212" s="36"/>
      <c r="G212" s="37">
        <f t="shared" si="124"/>
        <v>0</v>
      </c>
      <c r="H212" s="38">
        <f t="shared" si="125"/>
        <v>0</v>
      </c>
      <c r="I212" s="2964"/>
      <c r="J212" s="2965"/>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1272"/>
      <c r="B213" s="34"/>
      <c r="C213" s="34"/>
      <c r="D213" s="2951" t="s">
        <v>3058</v>
      </c>
      <c r="E213" s="16">
        <f t="shared" si="123"/>
        <v>0</v>
      </c>
      <c r="F213" s="36"/>
      <c r="G213" s="37">
        <f t="shared" si="124"/>
        <v>0</v>
      </c>
      <c r="H213" s="38">
        <f t="shared" si="125"/>
        <v>0</v>
      </c>
      <c r="I213" s="2964"/>
      <c r="J213" s="2965"/>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1272"/>
      <c r="B214" s="34"/>
      <c r="C214" s="34"/>
      <c r="D214" s="2951" t="s">
        <v>3058</v>
      </c>
      <c r="E214" s="16">
        <f t="shared" si="123"/>
        <v>0</v>
      </c>
      <c r="F214" s="36"/>
      <c r="G214" s="37">
        <f t="shared" si="124"/>
        <v>0</v>
      </c>
      <c r="H214" s="38">
        <f t="shared" si="125"/>
        <v>0</v>
      </c>
      <c r="I214" s="2964"/>
      <c r="J214" s="2965"/>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1272"/>
      <c r="B215" s="34"/>
      <c r="C215" s="34"/>
      <c r="D215" s="2951" t="s">
        <v>3058</v>
      </c>
      <c r="E215" s="16">
        <f t="shared" si="123"/>
        <v>0</v>
      </c>
      <c r="F215" s="36"/>
      <c r="G215" s="37">
        <f t="shared" si="124"/>
        <v>0</v>
      </c>
      <c r="H215" s="38">
        <f t="shared" si="125"/>
        <v>0</v>
      </c>
      <c r="I215" s="2964"/>
      <c r="J215" s="2965"/>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1272"/>
      <c r="B216" s="34"/>
      <c r="C216" s="34"/>
      <c r="D216" s="2951" t="s">
        <v>3058</v>
      </c>
      <c r="E216" s="16">
        <f t="shared" si="123"/>
        <v>0</v>
      </c>
      <c r="F216" s="36"/>
      <c r="G216" s="37">
        <f t="shared" si="124"/>
        <v>0</v>
      </c>
      <c r="H216" s="38">
        <f t="shared" si="125"/>
        <v>0</v>
      </c>
      <c r="I216" s="2964"/>
      <c r="J216" s="2965"/>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1272"/>
      <c r="B217" s="34"/>
      <c r="C217" s="34"/>
      <c r="D217" s="2951" t="s">
        <v>3058</v>
      </c>
      <c r="E217" s="16">
        <f t="shared" si="123"/>
        <v>0</v>
      </c>
      <c r="F217" s="36"/>
      <c r="G217" s="37">
        <f t="shared" si="124"/>
        <v>0</v>
      </c>
      <c r="H217" s="38">
        <f t="shared" si="125"/>
        <v>0</v>
      </c>
      <c r="I217" s="2964"/>
      <c r="J217" s="2965"/>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1272"/>
      <c r="B218" s="34"/>
      <c r="C218" s="34"/>
      <c r="D218" s="2951" t="s">
        <v>3058</v>
      </c>
      <c r="E218" s="16">
        <f t="shared" si="123"/>
        <v>0</v>
      </c>
      <c r="F218" s="36"/>
      <c r="G218" s="37">
        <f t="shared" si="124"/>
        <v>0</v>
      </c>
      <c r="H218" s="38">
        <f t="shared" si="125"/>
        <v>0</v>
      </c>
      <c r="I218" s="2964"/>
      <c r="J218" s="2965"/>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1272"/>
      <c r="B219" s="34"/>
      <c r="C219" s="34"/>
      <c r="D219" s="2951" t="s">
        <v>3058</v>
      </c>
      <c r="E219" s="16">
        <f t="shared" si="123"/>
        <v>0</v>
      </c>
      <c r="F219" s="36"/>
      <c r="G219" s="37">
        <f t="shared" si="124"/>
        <v>0</v>
      </c>
      <c r="H219" s="38">
        <f t="shared" si="125"/>
        <v>0</v>
      </c>
      <c r="I219" s="2964"/>
      <c r="J219" s="2965"/>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1272"/>
      <c r="B220" s="34"/>
      <c r="C220" s="34"/>
      <c r="D220" s="2951" t="s">
        <v>3058</v>
      </c>
      <c r="E220" s="16">
        <f t="shared" si="123"/>
        <v>0</v>
      </c>
      <c r="F220" s="36"/>
      <c r="G220" s="37">
        <f t="shared" si="124"/>
        <v>0</v>
      </c>
      <c r="H220" s="38">
        <f t="shared" si="125"/>
        <v>0</v>
      </c>
      <c r="I220" s="2964"/>
      <c r="J220" s="2965"/>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1272"/>
      <c r="B221" s="34"/>
      <c r="C221" s="34"/>
      <c r="D221" s="2951" t="s">
        <v>3058</v>
      </c>
      <c r="E221" s="16">
        <f t="shared" si="123"/>
        <v>0</v>
      </c>
      <c r="F221" s="36"/>
      <c r="G221" s="37">
        <f t="shared" si="124"/>
        <v>0</v>
      </c>
      <c r="H221" s="38">
        <f t="shared" si="125"/>
        <v>0</v>
      </c>
      <c r="I221" s="2964"/>
      <c r="J221" s="2965"/>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1272"/>
      <c r="B222" s="34"/>
      <c r="C222" s="34"/>
      <c r="D222" s="2951" t="s">
        <v>3058</v>
      </c>
      <c r="E222" s="16">
        <f t="shared" si="123"/>
        <v>0</v>
      </c>
      <c r="F222" s="36"/>
      <c r="G222" s="37">
        <f t="shared" si="124"/>
        <v>0</v>
      </c>
      <c r="H222" s="38">
        <f t="shared" si="125"/>
        <v>0</v>
      </c>
      <c r="I222" s="2964"/>
      <c r="J222" s="2965"/>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1272"/>
      <c r="B223" s="34"/>
      <c r="C223" s="34"/>
      <c r="D223" s="2951" t="s">
        <v>3058</v>
      </c>
      <c r="E223" s="16">
        <f t="shared" si="123"/>
        <v>0</v>
      </c>
      <c r="F223" s="36"/>
      <c r="G223" s="37">
        <f t="shared" si="124"/>
        <v>0</v>
      </c>
      <c r="H223" s="38">
        <f t="shared" si="125"/>
        <v>0</v>
      </c>
      <c r="I223" s="2964"/>
      <c r="J223" s="2965"/>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1272"/>
      <c r="B224" s="34"/>
      <c r="C224" s="34"/>
      <c r="D224" s="2951" t="s">
        <v>3058</v>
      </c>
      <c r="E224" s="16">
        <f t="shared" si="123"/>
        <v>0</v>
      </c>
      <c r="F224" s="36"/>
      <c r="G224" s="37">
        <f t="shared" si="124"/>
        <v>0</v>
      </c>
      <c r="H224" s="38">
        <f t="shared" si="125"/>
        <v>0</v>
      </c>
      <c r="I224" s="2964"/>
      <c r="J224" s="2965"/>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1272"/>
      <c r="B225" s="34"/>
      <c r="C225" s="34"/>
      <c r="D225" s="2951" t="s">
        <v>3058</v>
      </c>
      <c r="E225" s="16">
        <f t="shared" si="123"/>
        <v>0</v>
      </c>
      <c r="F225" s="36"/>
      <c r="G225" s="37">
        <f t="shared" si="124"/>
        <v>0</v>
      </c>
      <c r="H225" s="38">
        <f t="shared" si="125"/>
        <v>0</v>
      </c>
      <c r="I225" s="2964"/>
      <c r="J225" s="2965"/>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1272"/>
      <c r="B226" s="34"/>
      <c r="C226" s="34"/>
      <c r="D226" s="2951" t="s">
        <v>3058</v>
      </c>
      <c r="E226" s="16">
        <f t="shared" si="123"/>
        <v>0</v>
      </c>
      <c r="F226" s="36"/>
      <c r="G226" s="37">
        <f t="shared" si="124"/>
        <v>0</v>
      </c>
      <c r="H226" s="38">
        <f t="shared" si="125"/>
        <v>0</v>
      </c>
      <c r="I226" s="2964"/>
      <c r="J226" s="2965"/>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1272"/>
      <c r="B227" s="34"/>
      <c r="C227" s="34"/>
      <c r="D227" s="2951" t="s">
        <v>3058</v>
      </c>
      <c r="E227" s="16">
        <f t="shared" si="123"/>
        <v>0</v>
      </c>
      <c r="F227" s="36"/>
      <c r="G227" s="37">
        <f t="shared" si="124"/>
        <v>0</v>
      </c>
      <c r="H227" s="38">
        <f t="shared" si="125"/>
        <v>0</v>
      </c>
      <c r="I227" s="2964"/>
      <c r="J227" s="2965"/>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1272"/>
      <c r="B228" s="34"/>
      <c r="C228" s="34"/>
      <c r="D228" s="2951" t="s">
        <v>3058</v>
      </c>
      <c r="E228" s="16">
        <f t="shared" si="123"/>
        <v>0</v>
      </c>
      <c r="F228" s="36"/>
      <c r="G228" s="37">
        <f t="shared" si="124"/>
        <v>0</v>
      </c>
      <c r="H228" s="38">
        <f t="shared" si="125"/>
        <v>0</v>
      </c>
      <c r="I228" s="2964"/>
      <c r="J228" s="2965"/>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1272"/>
      <c r="B229" s="34"/>
      <c r="C229" s="34"/>
      <c r="D229" s="2951" t="s">
        <v>3058</v>
      </c>
      <c r="E229" s="16">
        <f t="shared" si="123"/>
        <v>0</v>
      </c>
      <c r="F229" s="36"/>
      <c r="G229" s="37">
        <f t="shared" si="124"/>
        <v>0</v>
      </c>
      <c r="H229" s="38">
        <f t="shared" si="125"/>
        <v>0</v>
      </c>
      <c r="I229" s="2964"/>
      <c r="J229" s="2965"/>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1272"/>
      <c r="B230" s="34"/>
      <c r="C230" s="34"/>
      <c r="D230" s="2951" t="s">
        <v>3058</v>
      </c>
      <c r="E230" s="16">
        <f t="shared" si="123"/>
        <v>0</v>
      </c>
      <c r="F230" s="36"/>
      <c r="G230" s="37">
        <f t="shared" si="124"/>
        <v>0</v>
      </c>
      <c r="H230" s="38">
        <f t="shared" si="125"/>
        <v>0</v>
      </c>
      <c r="I230" s="2964"/>
      <c r="J230" s="2965"/>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1272"/>
      <c r="B231" s="34"/>
      <c r="C231" s="34"/>
      <c r="D231" s="2951" t="s">
        <v>3058</v>
      </c>
      <c r="E231" s="16">
        <f t="shared" si="123"/>
        <v>0</v>
      </c>
      <c r="F231" s="36"/>
      <c r="G231" s="37">
        <f t="shared" si="124"/>
        <v>0</v>
      </c>
      <c r="H231" s="38">
        <f t="shared" si="125"/>
        <v>0</v>
      </c>
      <c r="I231" s="2964"/>
      <c r="J231" s="2965"/>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1272"/>
      <c r="B232" s="34"/>
      <c r="C232" s="34"/>
      <c r="D232" s="2951" t="s">
        <v>3058</v>
      </c>
      <c r="E232" s="16">
        <f t="shared" si="123"/>
        <v>0</v>
      </c>
      <c r="F232" s="36"/>
      <c r="G232" s="37">
        <f t="shared" si="124"/>
        <v>0</v>
      </c>
      <c r="H232" s="38">
        <f t="shared" si="125"/>
        <v>0</v>
      </c>
      <c r="I232" s="2964"/>
      <c r="J232" s="2965"/>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1272"/>
      <c r="B233" s="34"/>
      <c r="C233" s="34"/>
      <c r="D233" s="2951" t="s">
        <v>3058</v>
      </c>
      <c r="E233" s="16">
        <f t="shared" si="123"/>
        <v>0</v>
      </c>
      <c r="F233" s="36"/>
      <c r="G233" s="37">
        <f t="shared" si="124"/>
        <v>0</v>
      </c>
      <c r="H233" s="38">
        <f t="shared" si="125"/>
        <v>0</v>
      </c>
      <c r="I233" s="2964"/>
      <c r="J233" s="2965"/>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1272"/>
      <c r="B234" s="34"/>
      <c r="C234" s="34"/>
      <c r="D234" s="2951" t="s">
        <v>3058</v>
      </c>
      <c r="E234" s="16">
        <f t="shared" si="123"/>
        <v>0</v>
      </c>
      <c r="F234" s="36"/>
      <c r="G234" s="37">
        <f t="shared" si="124"/>
        <v>0</v>
      </c>
      <c r="H234" s="38">
        <f t="shared" si="125"/>
        <v>0</v>
      </c>
      <c r="I234" s="2964"/>
      <c r="J234" s="2965"/>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1272"/>
      <c r="B235" s="34"/>
      <c r="C235" s="34"/>
      <c r="D235" s="2951" t="s">
        <v>3058</v>
      </c>
      <c r="E235" s="16">
        <f t="shared" si="123"/>
        <v>0</v>
      </c>
      <c r="F235" s="36"/>
      <c r="G235" s="37">
        <f t="shared" si="124"/>
        <v>0</v>
      </c>
      <c r="H235" s="38">
        <f t="shared" si="125"/>
        <v>0</v>
      </c>
      <c r="I235" s="2964"/>
      <c r="J235" s="2965"/>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1272"/>
      <c r="B236" s="34"/>
      <c r="C236" s="34"/>
      <c r="D236" s="2951" t="s">
        <v>3058</v>
      </c>
      <c r="E236" s="16">
        <f t="shared" si="123"/>
        <v>0</v>
      </c>
      <c r="F236" s="36"/>
      <c r="G236" s="37">
        <f t="shared" si="124"/>
        <v>0</v>
      </c>
      <c r="H236" s="38">
        <f t="shared" si="125"/>
        <v>0</v>
      </c>
      <c r="I236" s="2964"/>
      <c r="J236" s="2965"/>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1272"/>
      <c r="B237" s="34"/>
      <c r="C237" s="34"/>
      <c r="D237" s="2951" t="s">
        <v>3058</v>
      </c>
      <c r="E237" s="16">
        <f t="shared" si="123"/>
        <v>0</v>
      </c>
      <c r="F237" s="36"/>
      <c r="G237" s="37">
        <f t="shared" si="124"/>
        <v>0</v>
      </c>
      <c r="H237" s="38">
        <f t="shared" si="125"/>
        <v>0</v>
      </c>
      <c r="I237" s="2964"/>
      <c r="J237" s="2965"/>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1272"/>
      <c r="B238" s="34"/>
      <c r="C238" s="34"/>
      <c r="D238" s="2951" t="s">
        <v>3058</v>
      </c>
      <c r="E238" s="16">
        <f t="shared" si="123"/>
        <v>0</v>
      </c>
      <c r="F238" s="36"/>
      <c r="G238" s="37">
        <f t="shared" si="124"/>
        <v>0</v>
      </c>
      <c r="H238" s="38">
        <f t="shared" si="125"/>
        <v>0</v>
      </c>
      <c r="I238" s="2964"/>
      <c r="J238" s="2965"/>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1272"/>
      <c r="B239" s="34"/>
      <c r="C239" s="34"/>
      <c r="D239" s="2951" t="s">
        <v>3058</v>
      </c>
      <c r="E239" s="16">
        <f t="shared" si="123"/>
        <v>0</v>
      </c>
      <c r="F239" s="36"/>
      <c r="G239" s="37">
        <f t="shared" si="124"/>
        <v>0</v>
      </c>
      <c r="H239" s="38">
        <f t="shared" si="125"/>
        <v>0</v>
      </c>
      <c r="I239" s="2964"/>
      <c r="J239" s="2965"/>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1272"/>
      <c r="B240" s="34"/>
      <c r="C240" s="34"/>
      <c r="D240" s="2951" t="s">
        <v>3058</v>
      </c>
      <c r="E240" s="16">
        <f t="shared" si="123"/>
        <v>0</v>
      </c>
      <c r="F240" s="36"/>
      <c r="G240" s="37">
        <f t="shared" si="124"/>
        <v>0</v>
      </c>
      <c r="H240" s="38">
        <f t="shared" si="125"/>
        <v>0</v>
      </c>
      <c r="I240" s="2964"/>
      <c r="J240" s="2965"/>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1272"/>
      <c r="B241" s="34"/>
      <c r="C241" s="34"/>
      <c r="D241" s="2951" t="s">
        <v>3058</v>
      </c>
      <c r="E241" s="16">
        <f t="shared" si="123"/>
        <v>0</v>
      </c>
      <c r="F241" s="36"/>
      <c r="G241" s="37">
        <f t="shared" si="124"/>
        <v>0</v>
      </c>
      <c r="H241" s="38">
        <f t="shared" si="125"/>
        <v>0</v>
      </c>
      <c r="I241" s="2964"/>
      <c r="J241" s="2965"/>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1272"/>
      <c r="B242" s="34"/>
      <c r="C242" s="34"/>
      <c r="D242" s="2951" t="s">
        <v>3058</v>
      </c>
      <c r="E242" s="16">
        <f t="shared" si="123"/>
        <v>0</v>
      </c>
      <c r="F242" s="36"/>
      <c r="G242" s="37">
        <f t="shared" si="124"/>
        <v>0</v>
      </c>
      <c r="H242" s="38">
        <f t="shared" si="125"/>
        <v>0</v>
      </c>
      <c r="I242" s="2964"/>
      <c r="J242" s="2965"/>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1272"/>
      <c r="B243" s="34"/>
      <c r="C243" s="34"/>
      <c r="D243" s="2951" t="s">
        <v>3058</v>
      </c>
      <c r="E243" s="16">
        <f t="shared" si="123"/>
        <v>0</v>
      </c>
      <c r="F243" s="36"/>
      <c r="G243" s="37">
        <f t="shared" si="124"/>
        <v>0</v>
      </c>
      <c r="H243" s="38">
        <f t="shared" si="125"/>
        <v>0</v>
      </c>
      <c r="I243" s="2964"/>
      <c r="J243" s="2965"/>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1272"/>
      <c r="B244" s="34"/>
      <c r="C244" s="34"/>
      <c r="D244" s="2951" t="s">
        <v>3058</v>
      </c>
      <c r="E244" s="16">
        <f t="shared" si="123"/>
        <v>0</v>
      </c>
      <c r="F244" s="36"/>
      <c r="G244" s="37">
        <f t="shared" si="124"/>
        <v>0</v>
      </c>
      <c r="H244" s="38">
        <f t="shared" si="125"/>
        <v>0</v>
      </c>
      <c r="I244" s="2964"/>
      <c r="J244" s="2965"/>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1272"/>
      <c r="B245" s="34"/>
      <c r="C245" s="34"/>
      <c r="D245" s="2951" t="s">
        <v>3058</v>
      </c>
      <c r="E245" s="16">
        <f t="shared" si="123"/>
        <v>0</v>
      </c>
      <c r="F245" s="36"/>
      <c r="G245" s="37">
        <f t="shared" si="124"/>
        <v>0</v>
      </c>
      <c r="H245" s="38">
        <f t="shared" si="125"/>
        <v>0</v>
      </c>
      <c r="I245" s="2964"/>
      <c r="J245" s="2965"/>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1272"/>
      <c r="B246" s="34"/>
      <c r="C246" s="34"/>
      <c r="D246" s="2951" t="s">
        <v>3058</v>
      </c>
      <c r="E246" s="16">
        <f t="shared" si="123"/>
        <v>0</v>
      </c>
      <c r="F246" s="36"/>
      <c r="G246" s="37">
        <f t="shared" si="124"/>
        <v>0</v>
      </c>
      <c r="H246" s="38">
        <f t="shared" si="125"/>
        <v>0</v>
      </c>
      <c r="I246" s="2964"/>
      <c r="J246" s="2965"/>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1272"/>
      <c r="B247" s="34"/>
      <c r="C247" s="34"/>
      <c r="D247" s="2951" t="s">
        <v>3058</v>
      </c>
      <c r="E247" s="16">
        <f t="shared" si="123"/>
        <v>0</v>
      </c>
      <c r="F247" s="36"/>
      <c r="G247" s="37">
        <f t="shared" si="124"/>
        <v>0</v>
      </c>
      <c r="H247" s="38">
        <f t="shared" si="125"/>
        <v>0</v>
      </c>
      <c r="I247" s="2964"/>
      <c r="J247" s="2965"/>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1272"/>
      <c r="B248" s="34"/>
      <c r="C248" s="34"/>
      <c r="D248" s="2951" t="s">
        <v>3058</v>
      </c>
      <c r="E248" s="16">
        <f t="shared" si="123"/>
        <v>0</v>
      </c>
      <c r="F248" s="36"/>
      <c r="G248" s="37">
        <f t="shared" si="124"/>
        <v>0</v>
      </c>
      <c r="H248" s="38">
        <f t="shared" si="125"/>
        <v>0</v>
      </c>
      <c r="I248" s="2964"/>
      <c r="J248" s="2965"/>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1272"/>
      <c r="B249" s="34"/>
      <c r="C249" s="34"/>
      <c r="D249" s="2951" t="s">
        <v>3058</v>
      </c>
      <c r="E249" s="16">
        <f t="shared" si="123"/>
        <v>0</v>
      </c>
      <c r="F249" s="36"/>
      <c r="G249" s="37">
        <f t="shared" si="124"/>
        <v>0</v>
      </c>
      <c r="H249" s="38">
        <f t="shared" si="125"/>
        <v>0</v>
      </c>
      <c r="I249" s="2964"/>
      <c r="J249" s="2965"/>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1272"/>
      <c r="B250" s="34"/>
      <c r="C250" s="34"/>
      <c r="D250" s="2951" t="s">
        <v>3058</v>
      </c>
      <c r="E250" s="16">
        <f t="shared" si="123"/>
        <v>0</v>
      </c>
      <c r="F250" s="36"/>
      <c r="G250" s="37">
        <f t="shared" si="124"/>
        <v>0</v>
      </c>
      <c r="H250" s="38">
        <f t="shared" si="125"/>
        <v>0</v>
      </c>
      <c r="I250" s="2964"/>
      <c r="J250" s="2965"/>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1272"/>
      <c r="B251" s="34"/>
      <c r="C251" s="34"/>
      <c r="D251" s="2951" t="s">
        <v>3058</v>
      </c>
      <c r="E251" s="16">
        <f t="shared" si="123"/>
        <v>0</v>
      </c>
      <c r="F251" s="36"/>
      <c r="G251" s="37">
        <f t="shared" si="124"/>
        <v>0</v>
      </c>
      <c r="H251" s="38">
        <f t="shared" si="125"/>
        <v>0</v>
      </c>
      <c r="I251" s="2964"/>
      <c r="J251" s="2965"/>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1272"/>
      <c r="B252" s="34"/>
      <c r="C252" s="34"/>
      <c r="D252" s="2951" t="s">
        <v>3058</v>
      </c>
      <c r="E252" s="16">
        <f t="shared" si="123"/>
        <v>0</v>
      </c>
      <c r="F252" s="36"/>
      <c r="G252" s="37">
        <f t="shared" si="124"/>
        <v>0</v>
      </c>
      <c r="H252" s="38">
        <f t="shared" si="125"/>
        <v>0</v>
      </c>
      <c r="I252" s="2964"/>
      <c r="J252" s="2965"/>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1272"/>
      <c r="B253" s="34"/>
      <c r="C253" s="34"/>
      <c r="D253" s="2951" t="s">
        <v>3058</v>
      </c>
      <c r="E253" s="16">
        <f t="shared" si="123"/>
        <v>0</v>
      </c>
      <c r="F253" s="36"/>
      <c r="G253" s="37">
        <f t="shared" si="124"/>
        <v>0</v>
      </c>
      <c r="H253" s="38">
        <f t="shared" si="125"/>
        <v>0</v>
      </c>
      <c r="I253" s="2964"/>
      <c r="J253" s="2965"/>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1272"/>
      <c r="B254" s="34"/>
      <c r="C254" s="34"/>
      <c r="D254" s="2951" t="s">
        <v>3058</v>
      </c>
      <c r="E254" s="16">
        <f t="shared" si="123"/>
        <v>0</v>
      </c>
      <c r="F254" s="36"/>
      <c r="G254" s="37">
        <f t="shared" si="124"/>
        <v>0</v>
      </c>
      <c r="H254" s="38">
        <f t="shared" si="125"/>
        <v>0</v>
      </c>
      <c r="I254" s="2964"/>
      <c r="J254" s="2965"/>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1272"/>
      <c r="B255" s="34"/>
      <c r="C255" s="34"/>
      <c r="D255" s="2951" t="s">
        <v>3058</v>
      </c>
      <c r="E255" s="16">
        <f t="shared" si="123"/>
        <v>0</v>
      </c>
      <c r="F255" s="36"/>
      <c r="G255" s="37">
        <f t="shared" si="124"/>
        <v>0</v>
      </c>
      <c r="H255" s="38">
        <f t="shared" si="125"/>
        <v>0</v>
      </c>
      <c r="I255" s="2964"/>
      <c r="J255" s="2965"/>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1272"/>
      <c r="B256" s="34"/>
      <c r="C256" s="34"/>
      <c r="D256" s="2951" t="s">
        <v>3058</v>
      </c>
      <c r="E256" s="16">
        <f t="shared" si="123"/>
        <v>0</v>
      </c>
      <c r="F256" s="36"/>
      <c r="G256" s="37">
        <f t="shared" si="124"/>
        <v>0</v>
      </c>
      <c r="H256" s="38">
        <f t="shared" si="125"/>
        <v>0</v>
      </c>
      <c r="I256" s="2964"/>
      <c r="J256" s="2965"/>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1272"/>
      <c r="B257" s="34"/>
      <c r="C257" s="34"/>
      <c r="D257" s="2951" t="s">
        <v>3058</v>
      </c>
      <c r="E257" s="16">
        <f t="shared" si="123"/>
        <v>0</v>
      </c>
      <c r="F257" s="36"/>
      <c r="G257" s="37">
        <f t="shared" si="124"/>
        <v>0</v>
      </c>
      <c r="H257" s="38">
        <f t="shared" si="125"/>
        <v>0</v>
      </c>
      <c r="I257" s="2964"/>
      <c r="J257" s="2965"/>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1272"/>
      <c r="B258" s="34"/>
      <c r="C258" s="34"/>
      <c r="D258" s="2951" t="s">
        <v>3058</v>
      </c>
      <c r="E258" s="16">
        <f t="shared" si="123"/>
        <v>0</v>
      </c>
      <c r="F258" s="36"/>
      <c r="G258" s="37">
        <f t="shared" si="124"/>
        <v>0</v>
      </c>
      <c r="H258" s="38">
        <f t="shared" si="125"/>
        <v>0</v>
      </c>
      <c r="I258" s="2964"/>
      <c r="J258" s="2965"/>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1272"/>
      <c r="B259" s="34"/>
      <c r="C259" s="34"/>
      <c r="D259" s="2951" t="s">
        <v>3058</v>
      </c>
      <c r="E259" s="16">
        <f t="shared" si="123"/>
        <v>0</v>
      </c>
      <c r="F259" s="36"/>
      <c r="G259" s="37">
        <f t="shared" si="124"/>
        <v>0</v>
      </c>
      <c r="H259" s="38">
        <f t="shared" si="125"/>
        <v>0</v>
      </c>
      <c r="I259" s="2964"/>
      <c r="J259" s="2965"/>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1272"/>
      <c r="B260" s="34"/>
      <c r="C260" s="34"/>
      <c r="D260" s="2951" t="s">
        <v>3058</v>
      </c>
      <c r="E260" s="16">
        <f t="shared" si="123"/>
        <v>0</v>
      </c>
      <c r="F260" s="36"/>
      <c r="G260" s="37">
        <f t="shared" si="124"/>
        <v>0</v>
      </c>
      <c r="H260" s="38">
        <f t="shared" si="125"/>
        <v>0</v>
      </c>
      <c r="I260" s="2964"/>
      <c r="J260" s="2965"/>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1272"/>
      <c r="B261" s="34"/>
      <c r="C261" s="34"/>
      <c r="D261" s="2951" t="s">
        <v>3058</v>
      </c>
      <c r="E261" s="16">
        <f t="shared" si="123"/>
        <v>0</v>
      </c>
      <c r="F261" s="36"/>
      <c r="G261" s="37">
        <f t="shared" si="124"/>
        <v>0</v>
      </c>
      <c r="H261" s="38">
        <f t="shared" si="125"/>
        <v>0</v>
      </c>
      <c r="I261" s="2964"/>
      <c r="J261" s="2965"/>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1272"/>
      <c r="B262" s="34"/>
      <c r="C262" s="34"/>
      <c r="D262" s="2951" t="s">
        <v>3058</v>
      </c>
      <c r="E262" s="16">
        <f t="shared" si="123"/>
        <v>0</v>
      </c>
      <c r="F262" s="36"/>
      <c r="G262" s="37">
        <f t="shared" si="124"/>
        <v>0</v>
      </c>
      <c r="H262" s="38">
        <f t="shared" si="125"/>
        <v>0</v>
      </c>
      <c r="I262" s="2964"/>
      <c r="J262" s="2965"/>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1272"/>
      <c r="B263" s="34"/>
      <c r="C263" s="34"/>
      <c r="D263" s="2951" t="s">
        <v>3058</v>
      </c>
      <c r="E263" s="16">
        <f t="shared" si="123"/>
        <v>0</v>
      </c>
      <c r="F263" s="36"/>
      <c r="G263" s="37">
        <f t="shared" si="124"/>
        <v>0</v>
      </c>
      <c r="H263" s="38">
        <f t="shared" si="125"/>
        <v>0</v>
      </c>
      <c r="I263" s="2964"/>
      <c r="J263" s="2965"/>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1272"/>
      <c r="B264" s="34"/>
      <c r="C264" s="34"/>
      <c r="D264" s="2951" t="s">
        <v>3058</v>
      </c>
      <c r="E264" s="16">
        <f t="shared" si="123"/>
        <v>0</v>
      </c>
      <c r="F264" s="36"/>
      <c r="G264" s="37">
        <f t="shared" si="124"/>
        <v>0</v>
      </c>
      <c r="H264" s="38">
        <f t="shared" si="125"/>
        <v>0</v>
      </c>
      <c r="I264" s="2964"/>
      <c r="J264" s="2965"/>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1272"/>
      <c r="B265" s="34"/>
      <c r="C265" s="34"/>
      <c r="D265" s="2951" t="s">
        <v>3058</v>
      </c>
      <c r="E265" s="16">
        <f t="shared" si="123"/>
        <v>0</v>
      </c>
      <c r="F265" s="36"/>
      <c r="G265" s="37">
        <f t="shared" si="124"/>
        <v>0</v>
      </c>
      <c r="H265" s="38">
        <f t="shared" si="125"/>
        <v>0</v>
      </c>
      <c r="I265" s="2964"/>
      <c r="J265" s="2965"/>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1272"/>
      <c r="B266" s="34"/>
      <c r="C266" s="34"/>
      <c r="D266" s="2951" t="s">
        <v>3058</v>
      </c>
      <c r="E266" s="16">
        <f t="shared" si="123"/>
        <v>0</v>
      </c>
      <c r="F266" s="36"/>
      <c r="G266" s="37">
        <f t="shared" si="124"/>
        <v>0</v>
      </c>
      <c r="H266" s="38">
        <f t="shared" si="125"/>
        <v>0</v>
      </c>
      <c r="I266" s="2964"/>
      <c r="J266" s="2965"/>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1272"/>
      <c r="B267" s="34"/>
      <c r="C267" s="34"/>
      <c r="D267" s="2951" t="s">
        <v>3058</v>
      </c>
      <c r="E267" s="16">
        <f t="shared" si="123"/>
        <v>0</v>
      </c>
      <c r="F267" s="36"/>
      <c r="G267" s="37">
        <f t="shared" si="124"/>
        <v>0</v>
      </c>
      <c r="H267" s="38">
        <f t="shared" si="125"/>
        <v>0</v>
      </c>
      <c r="I267" s="2964"/>
      <c r="J267" s="2965"/>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1272"/>
      <c r="B268" s="34"/>
      <c r="C268" s="34"/>
      <c r="D268" s="2951" t="s">
        <v>3058</v>
      </c>
      <c r="E268" s="16">
        <f t="shared" si="123"/>
        <v>0</v>
      </c>
      <c r="F268" s="36"/>
      <c r="G268" s="37">
        <f t="shared" si="124"/>
        <v>0</v>
      </c>
      <c r="H268" s="38">
        <f t="shared" si="125"/>
        <v>0</v>
      </c>
      <c r="I268" s="2964"/>
      <c r="J268" s="2965"/>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1272"/>
      <c r="B269" s="34"/>
      <c r="C269" s="34"/>
      <c r="D269" s="2951" t="s">
        <v>3058</v>
      </c>
      <c r="E269" s="16">
        <f t="shared" si="123"/>
        <v>0</v>
      </c>
      <c r="F269" s="36"/>
      <c r="G269" s="37">
        <f t="shared" si="124"/>
        <v>0</v>
      </c>
      <c r="H269" s="38">
        <f t="shared" si="125"/>
        <v>0</v>
      </c>
      <c r="I269" s="2964"/>
      <c r="J269" s="2965"/>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1272"/>
      <c r="B270" s="34"/>
      <c r="C270" s="34"/>
      <c r="D270" s="2951" t="s">
        <v>3058</v>
      </c>
      <c r="E270" s="16">
        <f t="shared" si="123"/>
        <v>0</v>
      </c>
      <c r="F270" s="36"/>
      <c r="G270" s="37">
        <f t="shared" si="124"/>
        <v>0</v>
      </c>
      <c r="H270" s="38">
        <f t="shared" si="125"/>
        <v>0</v>
      </c>
      <c r="I270" s="2964"/>
      <c r="J270" s="2965"/>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1272"/>
      <c r="B271" s="34"/>
      <c r="C271" s="34"/>
      <c r="D271" s="2951" t="s">
        <v>3058</v>
      </c>
      <c r="E271" s="16">
        <f t="shared" si="123"/>
        <v>0</v>
      </c>
      <c r="F271" s="36"/>
      <c r="G271" s="37">
        <f t="shared" si="124"/>
        <v>0</v>
      </c>
      <c r="H271" s="38">
        <f t="shared" si="125"/>
        <v>0</v>
      </c>
      <c r="I271" s="2964"/>
      <c r="J271" s="2965"/>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1272"/>
      <c r="B272" s="34"/>
      <c r="C272" s="34"/>
      <c r="D272" s="2951" t="s">
        <v>3058</v>
      </c>
      <c r="E272" s="16">
        <f t="shared" si="123"/>
        <v>0</v>
      </c>
      <c r="F272" s="36"/>
      <c r="G272" s="37">
        <f t="shared" si="124"/>
        <v>0</v>
      </c>
      <c r="H272" s="38">
        <f t="shared" si="125"/>
        <v>0</v>
      </c>
      <c r="I272" s="2964"/>
      <c r="J272" s="2965"/>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1272"/>
      <c r="B273" s="34"/>
      <c r="C273" s="34"/>
      <c r="D273" s="2951" t="s">
        <v>3058</v>
      </c>
      <c r="E273" s="16">
        <f t="shared" si="123"/>
        <v>0</v>
      </c>
      <c r="F273" s="36"/>
      <c r="G273" s="37">
        <f t="shared" si="124"/>
        <v>0</v>
      </c>
      <c r="H273" s="38">
        <f t="shared" si="125"/>
        <v>0</v>
      </c>
      <c r="I273" s="2964"/>
      <c r="J273" s="2965"/>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1272"/>
      <c r="B274" s="34"/>
      <c r="C274" s="34"/>
      <c r="D274" s="2951" t="s">
        <v>3058</v>
      </c>
      <c r="E274" s="16">
        <f t="shared" si="123"/>
        <v>0</v>
      </c>
      <c r="F274" s="36"/>
      <c r="G274" s="37">
        <f t="shared" si="124"/>
        <v>0</v>
      </c>
      <c r="H274" s="38">
        <f t="shared" si="125"/>
        <v>0</v>
      </c>
      <c r="I274" s="2964"/>
      <c r="J274" s="2965"/>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1272"/>
      <c r="B275" s="34"/>
      <c r="C275" s="34"/>
      <c r="D275" s="2951" t="s">
        <v>3058</v>
      </c>
      <c r="E275" s="16">
        <f t="shared" si="123"/>
        <v>0</v>
      </c>
      <c r="F275" s="36"/>
      <c r="G275" s="37">
        <f t="shared" si="124"/>
        <v>0</v>
      </c>
      <c r="H275" s="38">
        <f t="shared" si="125"/>
        <v>0</v>
      </c>
      <c r="I275" s="2964"/>
      <c r="J275" s="2965"/>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1272"/>
      <c r="B276" s="34"/>
      <c r="C276" s="34"/>
      <c r="D276" s="2951" t="s">
        <v>3058</v>
      </c>
      <c r="E276" s="16">
        <f t="shared" si="123"/>
        <v>0</v>
      </c>
      <c r="F276" s="36"/>
      <c r="G276" s="37">
        <f t="shared" si="124"/>
        <v>0</v>
      </c>
      <c r="H276" s="38">
        <f t="shared" si="125"/>
        <v>0</v>
      </c>
      <c r="I276" s="2964"/>
      <c r="J276" s="2965"/>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1272"/>
      <c r="B277" s="34"/>
      <c r="C277" s="34"/>
      <c r="D277" s="2951" t="s">
        <v>3058</v>
      </c>
      <c r="E277" s="16">
        <f t="shared" si="123"/>
        <v>0</v>
      </c>
      <c r="F277" s="36"/>
      <c r="G277" s="37">
        <f t="shared" si="124"/>
        <v>0</v>
      </c>
      <c r="H277" s="38">
        <f t="shared" si="125"/>
        <v>0</v>
      </c>
      <c r="I277" s="2964"/>
      <c r="J277" s="2965"/>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1272"/>
      <c r="B278" s="34"/>
      <c r="C278" s="34"/>
      <c r="D278" s="2951" t="s">
        <v>3058</v>
      </c>
      <c r="E278" s="16">
        <f t="shared" si="123"/>
        <v>0</v>
      </c>
      <c r="F278" s="36"/>
      <c r="G278" s="37">
        <f t="shared" si="124"/>
        <v>0</v>
      </c>
      <c r="H278" s="38">
        <f t="shared" si="125"/>
        <v>0</v>
      </c>
      <c r="I278" s="2964"/>
      <c r="J278" s="2965"/>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1272"/>
      <c r="B279" s="34"/>
      <c r="C279" s="34"/>
      <c r="D279" s="2951" t="s">
        <v>3058</v>
      </c>
      <c r="E279" s="16">
        <f t="shared" si="123"/>
        <v>0</v>
      </c>
      <c r="F279" s="36"/>
      <c r="G279" s="37">
        <f t="shared" si="124"/>
        <v>0</v>
      </c>
      <c r="H279" s="38">
        <f t="shared" si="125"/>
        <v>0</v>
      </c>
      <c r="I279" s="2964"/>
      <c r="J279" s="2965"/>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1272"/>
      <c r="B280" s="34"/>
      <c r="C280" s="34"/>
      <c r="D280" s="2951" t="s">
        <v>3058</v>
      </c>
      <c r="E280" s="16">
        <f t="shared" si="123"/>
        <v>0</v>
      </c>
      <c r="F280" s="36"/>
      <c r="G280" s="37">
        <f t="shared" si="124"/>
        <v>0</v>
      </c>
      <c r="H280" s="38">
        <f t="shared" si="125"/>
        <v>0</v>
      </c>
      <c r="I280" s="2964"/>
      <c r="J280" s="2965"/>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1272"/>
      <c r="B281" s="34"/>
      <c r="C281" s="34"/>
      <c r="D281" s="2951" t="s">
        <v>3058</v>
      </c>
      <c r="E281" s="16">
        <f t="shared" si="123"/>
        <v>0</v>
      </c>
      <c r="F281" s="36"/>
      <c r="G281" s="37">
        <f t="shared" si="124"/>
        <v>0</v>
      </c>
      <c r="H281" s="38">
        <f t="shared" si="125"/>
        <v>0</v>
      </c>
      <c r="I281" s="2964"/>
      <c r="J281" s="2965"/>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1272"/>
      <c r="B282" s="34"/>
      <c r="C282" s="34"/>
      <c r="D282" s="2951" t="s">
        <v>3058</v>
      </c>
      <c r="E282" s="16">
        <f t="shared" si="123"/>
        <v>0</v>
      </c>
      <c r="F282" s="36"/>
      <c r="G282" s="37">
        <f t="shared" si="124"/>
        <v>0</v>
      </c>
      <c r="H282" s="38">
        <f t="shared" si="125"/>
        <v>0</v>
      </c>
      <c r="I282" s="2964"/>
      <c r="J282" s="2965"/>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1272"/>
      <c r="B283" s="34"/>
      <c r="C283" s="34"/>
      <c r="D283" s="2951" t="s">
        <v>3058</v>
      </c>
      <c r="E283" s="16">
        <f t="shared" si="123"/>
        <v>0</v>
      </c>
      <c r="F283" s="36"/>
      <c r="G283" s="37">
        <f t="shared" si="124"/>
        <v>0</v>
      </c>
      <c r="H283" s="38">
        <f t="shared" si="125"/>
        <v>0</v>
      </c>
      <c r="I283" s="2964"/>
      <c r="J283" s="2965"/>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1272"/>
      <c r="B284" s="34"/>
      <c r="C284" s="34"/>
      <c r="D284" s="2951" t="s">
        <v>3058</v>
      </c>
      <c r="E284" s="16">
        <f t="shared" si="123"/>
        <v>0</v>
      </c>
      <c r="F284" s="36"/>
      <c r="G284" s="37">
        <f t="shared" si="124"/>
        <v>0</v>
      </c>
      <c r="H284" s="38">
        <f t="shared" si="125"/>
        <v>0</v>
      </c>
      <c r="I284" s="2964"/>
      <c r="J284" s="2965"/>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1272"/>
      <c r="B285" s="34"/>
      <c r="C285" s="34"/>
      <c r="D285" s="2951" t="s">
        <v>3058</v>
      </c>
      <c r="E285" s="16">
        <f t="shared" si="123"/>
        <v>0</v>
      </c>
      <c r="F285" s="36"/>
      <c r="G285" s="37">
        <f t="shared" si="124"/>
        <v>0</v>
      </c>
      <c r="H285" s="38">
        <f t="shared" si="125"/>
        <v>0</v>
      </c>
      <c r="I285" s="2964"/>
      <c r="J285" s="2965"/>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1272"/>
      <c r="B286" s="34"/>
      <c r="C286" s="34"/>
      <c r="D286" s="2951" t="s">
        <v>3058</v>
      </c>
      <c r="E286" s="16">
        <f t="shared" si="123"/>
        <v>0</v>
      </c>
      <c r="F286" s="36"/>
      <c r="G286" s="37">
        <f t="shared" si="124"/>
        <v>0</v>
      </c>
      <c r="H286" s="38">
        <f t="shared" si="125"/>
        <v>0</v>
      </c>
      <c r="I286" s="2964"/>
      <c r="J286" s="2965"/>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1272"/>
      <c r="B287" s="34"/>
      <c r="C287" s="34"/>
      <c r="D287" s="2951" t="s">
        <v>3058</v>
      </c>
      <c r="E287" s="16">
        <f t="shared" si="123"/>
        <v>0</v>
      </c>
      <c r="F287" s="36"/>
      <c r="G287" s="37">
        <f t="shared" si="124"/>
        <v>0</v>
      </c>
      <c r="H287" s="38">
        <f t="shared" si="125"/>
        <v>0</v>
      </c>
      <c r="I287" s="2964"/>
      <c r="J287" s="2965"/>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1272"/>
      <c r="B288" s="34"/>
      <c r="C288" s="34"/>
      <c r="D288" s="2951" t="s">
        <v>3058</v>
      </c>
      <c r="E288" s="16">
        <f t="shared" si="123"/>
        <v>0</v>
      </c>
      <c r="F288" s="36"/>
      <c r="G288" s="37">
        <f t="shared" si="124"/>
        <v>0</v>
      </c>
      <c r="H288" s="38">
        <f t="shared" si="125"/>
        <v>0</v>
      </c>
      <c r="I288" s="2964"/>
      <c r="J288" s="2965"/>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1272"/>
      <c r="B289" s="34"/>
      <c r="C289" s="34"/>
      <c r="D289" s="2951" t="s">
        <v>3058</v>
      </c>
      <c r="E289" s="16">
        <f t="shared" si="123"/>
        <v>0</v>
      </c>
      <c r="F289" s="36"/>
      <c r="G289" s="37">
        <f t="shared" si="124"/>
        <v>0</v>
      </c>
      <c r="H289" s="38">
        <f t="shared" si="125"/>
        <v>0</v>
      </c>
      <c r="I289" s="2964"/>
      <c r="J289" s="2965"/>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1272"/>
      <c r="B290" s="34"/>
      <c r="C290" s="34"/>
      <c r="D290" s="2951" t="s">
        <v>3058</v>
      </c>
      <c r="E290" s="16">
        <f t="shared" si="123"/>
        <v>0</v>
      </c>
      <c r="F290" s="36"/>
      <c r="G290" s="37">
        <f t="shared" si="124"/>
        <v>0</v>
      </c>
      <c r="H290" s="38">
        <f t="shared" si="125"/>
        <v>0</v>
      </c>
      <c r="I290" s="2964"/>
      <c r="J290" s="2965"/>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1272"/>
      <c r="B291" s="34"/>
      <c r="C291" s="34"/>
      <c r="D291" s="2951" t="s">
        <v>3058</v>
      </c>
      <c r="E291" s="16">
        <f t="shared" si="123"/>
        <v>0</v>
      </c>
      <c r="F291" s="36"/>
      <c r="G291" s="37">
        <f t="shared" si="124"/>
        <v>0</v>
      </c>
      <c r="H291" s="38">
        <f t="shared" si="125"/>
        <v>0</v>
      </c>
      <c r="I291" s="2964"/>
      <c r="J291" s="2965"/>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1272"/>
      <c r="B292" s="34"/>
      <c r="C292" s="34"/>
      <c r="D292" s="2951" t="s">
        <v>3058</v>
      </c>
      <c r="E292" s="16">
        <f t="shared" si="123"/>
        <v>0</v>
      </c>
      <c r="F292" s="36"/>
      <c r="G292" s="37">
        <f t="shared" si="124"/>
        <v>0</v>
      </c>
      <c r="H292" s="38">
        <f t="shared" si="125"/>
        <v>0</v>
      </c>
      <c r="I292" s="2964"/>
      <c r="J292" s="2965"/>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1272"/>
      <c r="B293" s="34"/>
      <c r="C293" s="34"/>
      <c r="D293" s="2951" t="s">
        <v>3058</v>
      </c>
      <c r="E293" s="16">
        <f t="shared" si="123"/>
        <v>0</v>
      </c>
      <c r="F293" s="36"/>
      <c r="G293" s="37">
        <f t="shared" si="124"/>
        <v>0</v>
      </c>
      <c r="H293" s="38">
        <f t="shared" si="125"/>
        <v>0</v>
      </c>
      <c r="I293" s="2964"/>
      <c r="J293" s="2965"/>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1272"/>
      <c r="B294" s="34"/>
      <c r="C294" s="34"/>
      <c r="D294" s="2951" t="s">
        <v>3058</v>
      </c>
      <c r="E294" s="16">
        <f t="shared" si="123"/>
        <v>0</v>
      </c>
      <c r="F294" s="36"/>
      <c r="G294" s="37">
        <f t="shared" si="124"/>
        <v>0</v>
      </c>
      <c r="H294" s="38">
        <f t="shared" si="125"/>
        <v>0</v>
      </c>
      <c r="I294" s="2964"/>
      <c r="J294" s="2965"/>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1272"/>
      <c r="B295" s="34"/>
      <c r="C295" s="34"/>
      <c r="D295" s="2951" t="s">
        <v>3058</v>
      </c>
      <c r="E295" s="16">
        <f t="shared" si="123"/>
        <v>0</v>
      </c>
      <c r="F295" s="36"/>
      <c r="G295" s="37">
        <f t="shared" si="124"/>
        <v>0</v>
      </c>
      <c r="H295" s="38">
        <f t="shared" si="125"/>
        <v>0</v>
      </c>
      <c r="I295" s="2964"/>
      <c r="J295" s="2965"/>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1272"/>
      <c r="B296" s="34"/>
      <c r="C296" s="34"/>
      <c r="D296" s="2951" t="s">
        <v>3058</v>
      </c>
      <c r="E296" s="16">
        <f t="shared" si="123"/>
        <v>0</v>
      </c>
      <c r="F296" s="36"/>
      <c r="G296" s="37">
        <f t="shared" si="124"/>
        <v>0</v>
      </c>
      <c r="H296" s="38">
        <f t="shared" si="125"/>
        <v>0</v>
      </c>
      <c r="I296" s="2964"/>
      <c r="J296" s="2965"/>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1272"/>
      <c r="B297" s="34"/>
      <c r="C297" s="34"/>
      <c r="D297" s="2951" t="s">
        <v>3058</v>
      </c>
      <c r="E297" s="16">
        <f t="shared" si="123"/>
        <v>0</v>
      </c>
      <c r="F297" s="36"/>
      <c r="G297" s="37">
        <f t="shared" si="124"/>
        <v>0</v>
      </c>
      <c r="H297" s="38">
        <f t="shared" si="125"/>
        <v>0</v>
      </c>
      <c r="I297" s="2964"/>
      <c r="J297" s="2965"/>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1272"/>
      <c r="B298" s="34"/>
      <c r="C298" s="34"/>
      <c r="D298" s="2951" t="s">
        <v>3058</v>
      </c>
      <c r="E298" s="16">
        <f t="shared" si="123"/>
        <v>0</v>
      </c>
      <c r="F298" s="36"/>
      <c r="G298" s="37">
        <f t="shared" si="124"/>
        <v>0</v>
      </c>
      <c r="H298" s="38">
        <f t="shared" si="125"/>
        <v>0</v>
      </c>
      <c r="I298" s="2964"/>
      <c r="J298" s="2965"/>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1272"/>
      <c r="B299" s="34"/>
      <c r="C299" s="34"/>
      <c r="D299" s="2951" t="s">
        <v>3058</v>
      </c>
      <c r="E299" s="16">
        <f t="shared" si="123"/>
        <v>0</v>
      </c>
      <c r="F299" s="36"/>
      <c r="G299" s="37">
        <f t="shared" si="124"/>
        <v>0</v>
      </c>
      <c r="H299" s="38">
        <f t="shared" si="125"/>
        <v>0</v>
      </c>
      <c r="I299" s="2964"/>
      <c r="J299" s="2965"/>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1272"/>
      <c r="B300" s="9"/>
      <c r="C300" s="9"/>
      <c r="D300" s="2951" t="s">
        <v>3058</v>
      </c>
      <c r="E300" s="16">
        <f t="shared" si="123"/>
        <v>0</v>
      </c>
      <c r="F300" s="44"/>
      <c r="G300" s="37">
        <f t="shared" ref="G300:G331" si="152">H300+AC300+AT300</f>
        <v>0</v>
      </c>
      <c r="H300" s="38">
        <f t="shared" ref="H300:H331" si="153">SUMIF(I$12:AB$12,"总值",I300:AB300)</f>
        <v>0</v>
      </c>
      <c r="I300" s="2964"/>
      <c r="J300" s="2966"/>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1272"/>
      <c r="B301" s="9"/>
      <c r="C301" s="9"/>
      <c r="D301" s="2951" t="s">
        <v>3058</v>
      </c>
      <c r="E301" s="16">
        <f t="shared" si="123"/>
        <v>0</v>
      </c>
      <c r="F301" s="44"/>
      <c r="G301" s="37">
        <f t="shared" si="152"/>
        <v>0</v>
      </c>
      <c r="H301" s="38">
        <f t="shared" si="153"/>
        <v>0</v>
      </c>
      <c r="I301" s="2964"/>
      <c r="J301" s="2965"/>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1272"/>
      <c r="B302" s="9"/>
      <c r="C302" s="9"/>
      <c r="D302" s="2951" t="s">
        <v>3058</v>
      </c>
      <c r="E302" s="16">
        <f t="shared" si="123"/>
        <v>0</v>
      </c>
      <c r="F302" s="44"/>
      <c r="G302" s="37">
        <f t="shared" si="152"/>
        <v>0</v>
      </c>
      <c r="H302" s="38">
        <f t="shared" si="153"/>
        <v>0</v>
      </c>
      <c r="I302" s="2964"/>
      <c r="J302" s="2965"/>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1272"/>
      <c r="B303" s="34"/>
      <c r="C303" s="34"/>
      <c r="D303" s="2951" t="s">
        <v>3058</v>
      </c>
      <c r="E303" s="16">
        <f t="shared" ref="E303:E334" si="177">IF($C$3="是",ROUND($A$3*G303/$B$3,2),ROUND($A$3*(G303-AT303)/$B$3,2))</f>
        <v>0</v>
      </c>
      <c r="F303" s="36"/>
      <c r="G303" s="37">
        <f t="shared" si="152"/>
        <v>0</v>
      </c>
      <c r="H303" s="38">
        <f t="shared" si="153"/>
        <v>0</v>
      </c>
      <c r="I303" s="2964"/>
      <c r="J303" s="2965"/>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1272"/>
      <c r="B304" s="34"/>
      <c r="C304" s="34"/>
      <c r="D304" s="2951" t="s">
        <v>3058</v>
      </c>
      <c r="E304" s="16">
        <f t="shared" si="177"/>
        <v>0</v>
      </c>
      <c r="F304" s="36"/>
      <c r="G304" s="37">
        <f t="shared" si="152"/>
        <v>0</v>
      </c>
      <c r="H304" s="38">
        <f t="shared" si="153"/>
        <v>0</v>
      </c>
      <c r="I304" s="2964"/>
      <c r="J304" s="2965"/>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1272"/>
      <c r="B305" s="34"/>
      <c r="C305" s="34"/>
      <c r="D305" s="2951" t="s">
        <v>3058</v>
      </c>
      <c r="E305" s="16">
        <f t="shared" si="177"/>
        <v>0</v>
      </c>
      <c r="F305" s="36"/>
      <c r="G305" s="37">
        <f t="shared" si="152"/>
        <v>0</v>
      </c>
      <c r="H305" s="38">
        <f t="shared" si="153"/>
        <v>0</v>
      </c>
      <c r="I305" s="2964"/>
      <c r="J305" s="2965"/>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1272"/>
      <c r="B306" s="34"/>
      <c r="C306" s="34"/>
      <c r="D306" s="2951" t="s">
        <v>3058</v>
      </c>
      <c r="E306" s="16">
        <f t="shared" si="177"/>
        <v>0</v>
      </c>
      <c r="F306" s="36"/>
      <c r="G306" s="37">
        <f t="shared" si="152"/>
        <v>0</v>
      </c>
      <c r="H306" s="38">
        <f t="shared" si="153"/>
        <v>0</v>
      </c>
      <c r="I306" s="2964"/>
      <c r="J306" s="2965"/>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1272"/>
      <c r="B307" s="34"/>
      <c r="C307" s="34"/>
      <c r="D307" s="2951" t="s">
        <v>3058</v>
      </c>
      <c r="E307" s="16">
        <f t="shared" si="177"/>
        <v>0</v>
      </c>
      <c r="F307" s="36"/>
      <c r="G307" s="37">
        <f t="shared" si="152"/>
        <v>0</v>
      </c>
      <c r="H307" s="38">
        <f t="shared" si="153"/>
        <v>0</v>
      </c>
      <c r="I307" s="2964"/>
      <c r="J307" s="2965"/>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1272"/>
      <c r="B308" s="34"/>
      <c r="C308" s="34"/>
      <c r="D308" s="2951" t="s">
        <v>3058</v>
      </c>
      <c r="E308" s="16">
        <f t="shared" si="177"/>
        <v>0</v>
      </c>
      <c r="F308" s="36"/>
      <c r="G308" s="37">
        <f t="shared" si="152"/>
        <v>0</v>
      </c>
      <c r="H308" s="38">
        <f t="shared" si="153"/>
        <v>0</v>
      </c>
      <c r="I308" s="2964"/>
      <c r="J308" s="2965"/>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1272"/>
      <c r="B309" s="34"/>
      <c r="C309" s="34"/>
      <c r="D309" s="2951" t="s">
        <v>3058</v>
      </c>
      <c r="E309" s="16">
        <f t="shared" si="177"/>
        <v>0</v>
      </c>
      <c r="F309" s="36"/>
      <c r="G309" s="37">
        <f t="shared" si="152"/>
        <v>0</v>
      </c>
      <c r="H309" s="38">
        <f t="shared" si="153"/>
        <v>0</v>
      </c>
      <c r="I309" s="2964"/>
      <c r="J309" s="2965"/>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1272"/>
      <c r="B310" s="34"/>
      <c r="C310" s="34"/>
      <c r="D310" s="2951" t="s">
        <v>3058</v>
      </c>
      <c r="E310" s="16">
        <f t="shared" si="177"/>
        <v>0</v>
      </c>
      <c r="F310" s="36"/>
      <c r="G310" s="37">
        <f t="shared" si="152"/>
        <v>0</v>
      </c>
      <c r="H310" s="38">
        <f t="shared" si="153"/>
        <v>0</v>
      </c>
      <c r="I310" s="2964"/>
      <c r="J310" s="2965"/>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1272"/>
      <c r="B311" s="34"/>
      <c r="C311" s="34"/>
      <c r="D311" s="2951" t="s">
        <v>3058</v>
      </c>
      <c r="E311" s="16">
        <f t="shared" si="177"/>
        <v>0</v>
      </c>
      <c r="F311" s="36"/>
      <c r="G311" s="37">
        <f t="shared" si="152"/>
        <v>0</v>
      </c>
      <c r="H311" s="38">
        <f t="shared" si="153"/>
        <v>0</v>
      </c>
      <c r="I311" s="2964"/>
      <c r="J311" s="2965"/>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1272"/>
      <c r="B312" s="34"/>
      <c r="C312" s="34"/>
      <c r="D312" s="2951" t="s">
        <v>3058</v>
      </c>
      <c r="E312" s="16">
        <f t="shared" si="177"/>
        <v>0</v>
      </c>
      <c r="F312" s="36"/>
      <c r="G312" s="37">
        <f t="shared" si="152"/>
        <v>0</v>
      </c>
      <c r="H312" s="38">
        <f t="shared" si="153"/>
        <v>0</v>
      </c>
      <c r="I312" s="2964"/>
      <c r="J312" s="2965"/>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1272"/>
      <c r="B313" s="34"/>
      <c r="C313" s="34"/>
      <c r="D313" s="2951" t="s">
        <v>3058</v>
      </c>
      <c r="E313" s="16">
        <f t="shared" si="177"/>
        <v>0</v>
      </c>
      <c r="F313" s="36"/>
      <c r="G313" s="37">
        <f t="shared" si="152"/>
        <v>0</v>
      </c>
      <c r="H313" s="38">
        <f t="shared" si="153"/>
        <v>0</v>
      </c>
      <c r="I313" s="2964"/>
      <c r="J313" s="2965"/>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1272"/>
      <c r="B314" s="34"/>
      <c r="C314" s="34"/>
      <c r="D314" s="2951" t="s">
        <v>3058</v>
      </c>
      <c r="E314" s="16">
        <f t="shared" si="177"/>
        <v>0</v>
      </c>
      <c r="F314" s="36"/>
      <c r="G314" s="37">
        <f t="shared" si="152"/>
        <v>0</v>
      </c>
      <c r="H314" s="38">
        <f t="shared" si="153"/>
        <v>0</v>
      </c>
      <c r="I314" s="2964"/>
      <c r="J314" s="2965"/>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1272"/>
      <c r="B315" s="34"/>
      <c r="C315" s="34"/>
      <c r="D315" s="2951" t="s">
        <v>3058</v>
      </c>
      <c r="E315" s="16">
        <f t="shared" si="177"/>
        <v>0</v>
      </c>
      <c r="F315" s="36"/>
      <c r="G315" s="37">
        <f t="shared" si="152"/>
        <v>0</v>
      </c>
      <c r="H315" s="38">
        <f t="shared" si="153"/>
        <v>0</v>
      </c>
      <c r="I315" s="2964"/>
      <c r="J315" s="2965"/>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1272"/>
      <c r="B316" s="34"/>
      <c r="C316" s="34"/>
      <c r="D316" s="2951" t="s">
        <v>3058</v>
      </c>
      <c r="E316" s="16">
        <f t="shared" si="177"/>
        <v>0</v>
      </c>
      <c r="F316" s="36"/>
      <c r="G316" s="37">
        <f t="shared" si="152"/>
        <v>0</v>
      </c>
      <c r="H316" s="38">
        <f t="shared" si="153"/>
        <v>0</v>
      </c>
      <c r="I316" s="2964"/>
      <c r="J316" s="2965"/>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1272"/>
      <c r="B317" s="34"/>
      <c r="C317" s="34"/>
      <c r="D317" s="2951" t="s">
        <v>3058</v>
      </c>
      <c r="E317" s="16">
        <f t="shared" si="177"/>
        <v>0</v>
      </c>
      <c r="F317" s="36"/>
      <c r="G317" s="37">
        <f t="shared" si="152"/>
        <v>0</v>
      </c>
      <c r="H317" s="38">
        <f t="shared" si="153"/>
        <v>0</v>
      </c>
      <c r="I317" s="2964"/>
      <c r="J317" s="2965"/>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1272"/>
      <c r="B318" s="34"/>
      <c r="C318" s="34"/>
      <c r="D318" s="2951" t="s">
        <v>3058</v>
      </c>
      <c r="E318" s="16">
        <f t="shared" si="177"/>
        <v>0</v>
      </c>
      <c r="F318" s="36"/>
      <c r="G318" s="37">
        <f t="shared" si="152"/>
        <v>0</v>
      </c>
      <c r="H318" s="38">
        <f t="shared" si="153"/>
        <v>0</v>
      </c>
      <c r="I318" s="2964"/>
      <c r="J318" s="2965"/>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1272"/>
      <c r="B319" s="34"/>
      <c r="C319" s="34"/>
      <c r="D319" s="2951" t="s">
        <v>3058</v>
      </c>
      <c r="E319" s="16">
        <f t="shared" si="177"/>
        <v>0</v>
      </c>
      <c r="F319" s="36"/>
      <c r="G319" s="37">
        <f t="shared" si="152"/>
        <v>0</v>
      </c>
      <c r="H319" s="38">
        <f t="shared" si="153"/>
        <v>0</v>
      </c>
      <c r="I319" s="2964"/>
      <c r="J319" s="2965"/>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1272"/>
      <c r="B320" s="34"/>
      <c r="C320" s="34"/>
      <c r="D320" s="2951" t="s">
        <v>3058</v>
      </c>
      <c r="E320" s="16">
        <f t="shared" si="177"/>
        <v>0</v>
      </c>
      <c r="F320" s="36"/>
      <c r="G320" s="37">
        <f t="shared" si="152"/>
        <v>0</v>
      </c>
      <c r="H320" s="38">
        <f t="shared" si="153"/>
        <v>0</v>
      </c>
      <c r="I320" s="2964"/>
      <c r="J320" s="2965"/>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1272"/>
      <c r="B321" s="34"/>
      <c r="C321" s="34"/>
      <c r="D321" s="2951" t="s">
        <v>3058</v>
      </c>
      <c r="E321" s="16">
        <f t="shared" si="177"/>
        <v>0</v>
      </c>
      <c r="F321" s="36"/>
      <c r="G321" s="37">
        <f t="shared" si="152"/>
        <v>0</v>
      </c>
      <c r="H321" s="38">
        <f t="shared" si="153"/>
        <v>0</v>
      </c>
      <c r="I321" s="2964"/>
      <c r="J321" s="2965"/>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1272"/>
      <c r="B322" s="34"/>
      <c r="C322" s="34"/>
      <c r="D322" s="2951" t="s">
        <v>3058</v>
      </c>
      <c r="E322" s="16">
        <f t="shared" si="177"/>
        <v>0</v>
      </c>
      <c r="F322" s="36"/>
      <c r="G322" s="37">
        <f t="shared" si="152"/>
        <v>0</v>
      </c>
      <c r="H322" s="38">
        <f t="shared" si="153"/>
        <v>0</v>
      </c>
      <c r="I322" s="2964"/>
      <c r="J322" s="2965"/>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1272"/>
      <c r="B323" s="34"/>
      <c r="C323" s="34"/>
      <c r="D323" s="2951" t="s">
        <v>3058</v>
      </c>
      <c r="E323" s="16">
        <f t="shared" si="177"/>
        <v>0</v>
      </c>
      <c r="F323" s="36"/>
      <c r="G323" s="37">
        <f t="shared" si="152"/>
        <v>0</v>
      </c>
      <c r="H323" s="38">
        <f t="shared" si="153"/>
        <v>0</v>
      </c>
      <c r="I323" s="2964"/>
      <c r="J323" s="2965"/>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1272"/>
      <c r="B324" s="34"/>
      <c r="C324" s="34"/>
      <c r="D324" s="2951" t="s">
        <v>3058</v>
      </c>
      <c r="E324" s="16">
        <f t="shared" si="177"/>
        <v>0</v>
      </c>
      <c r="F324" s="36"/>
      <c r="G324" s="37">
        <f t="shared" si="152"/>
        <v>0</v>
      </c>
      <c r="H324" s="38">
        <f t="shared" si="153"/>
        <v>0</v>
      </c>
      <c r="I324" s="2964"/>
      <c r="J324" s="2965"/>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1272"/>
      <c r="B325" s="34"/>
      <c r="C325" s="34"/>
      <c r="D325" s="2951" t="s">
        <v>3058</v>
      </c>
      <c r="E325" s="16">
        <f t="shared" si="177"/>
        <v>0</v>
      </c>
      <c r="F325" s="36"/>
      <c r="G325" s="37">
        <f t="shared" si="152"/>
        <v>0</v>
      </c>
      <c r="H325" s="38">
        <f t="shared" si="153"/>
        <v>0</v>
      </c>
      <c r="I325" s="2964"/>
      <c r="J325" s="2965"/>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1272"/>
      <c r="B326" s="34"/>
      <c r="C326" s="34"/>
      <c r="D326" s="2951" t="s">
        <v>3058</v>
      </c>
      <c r="E326" s="16">
        <f t="shared" si="177"/>
        <v>0</v>
      </c>
      <c r="F326" s="36"/>
      <c r="G326" s="37">
        <f t="shared" si="152"/>
        <v>0</v>
      </c>
      <c r="H326" s="38">
        <f t="shared" si="153"/>
        <v>0</v>
      </c>
      <c r="I326" s="2964"/>
      <c r="J326" s="2965"/>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1272"/>
      <c r="B327" s="34"/>
      <c r="C327" s="34"/>
      <c r="D327" s="2951" t="s">
        <v>3058</v>
      </c>
      <c r="E327" s="16">
        <f t="shared" si="177"/>
        <v>0</v>
      </c>
      <c r="F327" s="36"/>
      <c r="G327" s="37">
        <f t="shared" si="152"/>
        <v>0</v>
      </c>
      <c r="H327" s="38">
        <f t="shared" si="153"/>
        <v>0</v>
      </c>
      <c r="I327" s="2964"/>
      <c r="J327" s="2965"/>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1272"/>
      <c r="B328" s="34"/>
      <c r="C328" s="34"/>
      <c r="D328" s="2951" t="s">
        <v>3058</v>
      </c>
      <c r="E328" s="16">
        <f t="shared" si="177"/>
        <v>0</v>
      </c>
      <c r="F328" s="36"/>
      <c r="G328" s="37">
        <f t="shared" si="152"/>
        <v>0</v>
      </c>
      <c r="H328" s="38">
        <f t="shared" si="153"/>
        <v>0</v>
      </c>
      <c r="I328" s="2964"/>
      <c r="J328" s="2965"/>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1272"/>
      <c r="B329" s="34"/>
      <c r="C329" s="34"/>
      <c r="D329" s="2951" t="s">
        <v>3058</v>
      </c>
      <c r="E329" s="16">
        <f t="shared" si="177"/>
        <v>0</v>
      </c>
      <c r="F329" s="36"/>
      <c r="G329" s="37">
        <f t="shared" si="152"/>
        <v>0</v>
      </c>
      <c r="H329" s="38">
        <f t="shared" si="153"/>
        <v>0</v>
      </c>
      <c r="I329" s="2964"/>
      <c r="J329" s="2965"/>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1272"/>
      <c r="B330" s="34"/>
      <c r="C330" s="34"/>
      <c r="D330" s="2951" t="s">
        <v>3058</v>
      </c>
      <c r="E330" s="16">
        <f t="shared" si="177"/>
        <v>0</v>
      </c>
      <c r="F330" s="36"/>
      <c r="G330" s="37">
        <f t="shared" si="152"/>
        <v>0</v>
      </c>
      <c r="H330" s="38">
        <f t="shared" si="153"/>
        <v>0</v>
      </c>
      <c r="I330" s="2964"/>
      <c r="J330" s="2965"/>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1272"/>
      <c r="B331" s="34"/>
      <c r="C331" s="34"/>
      <c r="D331" s="2951" t="s">
        <v>3058</v>
      </c>
      <c r="E331" s="16">
        <f t="shared" si="177"/>
        <v>0</v>
      </c>
      <c r="F331" s="36"/>
      <c r="G331" s="37">
        <f t="shared" si="152"/>
        <v>0</v>
      </c>
      <c r="H331" s="38">
        <f t="shared" si="153"/>
        <v>0</v>
      </c>
      <c r="I331" s="2964"/>
      <c r="J331" s="2965"/>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1272"/>
      <c r="B332" s="34"/>
      <c r="C332" s="34"/>
      <c r="D332" s="2951" t="s">
        <v>3058</v>
      </c>
      <c r="E332" s="16">
        <f t="shared" si="177"/>
        <v>0</v>
      </c>
      <c r="F332" s="36"/>
      <c r="G332" s="37">
        <f t="shared" ref="G332:G363" si="181">H332+AC332+AT332</f>
        <v>0</v>
      </c>
      <c r="H332" s="38">
        <f t="shared" ref="H332:H363" si="182">SUMIF(I$12:AB$12,"总值",I332:AB332)</f>
        <v>0</v>
      </c>
      <c r="I332" s="2964"/>
      <c r="J332" s="2965"/>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1272"/>
      <c r="B333" s="34"/>
      <c r="C333" s="34"/>
      <c r="D333" s="2951" t="s">
        <v>3058</v>
      </c>
      <c r="E333" s="16">
        <f t="shared" si="177"/>
        <v>0</v>
      </c>
      <c r="F333" s="36"/>
      <c r="G333" s="37">
        <f t="shared" si="181"/>
        <v>0</v>
      </c>
      <c r="H333" s="38">
        <f t="shared" si="182"/>
        <v>0</v>
      </c>
      <c r="I333" s="2964"/>
      <c r="J333" s="2965"/>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1272"/>
      <c r="B334" s="34"/>
      <c r="C334" s="34"/>
      <c r="D334" s="2951" t="s">
        <v>3058</v>
      </c>
      <c r="E334" s="16">
        <f t="shared" si="177"/>
        <v>0</v>
      </c>
      <c r="F334" s="36"/>
      <c r="G334" s="37">
        <f t="shared" si="181"/>
        <v>0</v>
      </c>
      <c r="H334" s="38">
        <f t="shared" si="182"/>
        <v>0</v>
      </c>
      <c r="I334" s="2964"/>
      <c r="J334" s="2965"/>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1272"/>
      <c r="B335" s="34"/>
      <c r="C335" s="34"/>
      <c r="D335" s="2951" t="s">
        <v>3058</v>
      </c>
      <c r="E335" s="16">
        <f t="shared" ref="E335:E366" si="206">IF($C$3="是",ROUND($A$3*G335/$B$3,2),ROUND($A$3*(G335-AT335)/$B$3,2))</f>
        <v>0</v>
      </c>
      <c r="F335" s="36"/>
      <c r="G335" s="37">
        <f t="shared" si="181"/>
        <v>0</v>
      </c>
      <c r="H335" s="38">
        <f t="shared" si="182"/>
        <v>0</v>
      </c>
      <c r="I335" s="2964"/>
      <c r="J335" s="2965"/>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1272"/>
      <c r="B336" s="34"/>
      <c r="C336" s="34"/>
      <c r="D336" s="2951" t="s">
        <v>3058</v>
      </c>
      <c r="E336" s="16">
        <f t="shared" si="206"/>
        <v>0</v>
      </c>
      <c r="F336" s="36"/>
      <c r="G336" s="37">
        <f t="shared" si="181"/>
        <v>0</v>
      </c>
      <c r="H336" s="38">
        <f t="shared" si="182"/>
        <v>0</v>
      </c>
      <c r="I336" s="2964"/>
      <c r="J336" s="2965"/>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1272"/>
      <c r="B337" s="34"/>
      <c r="C337" s="34"/>
      <c r="D337" s="2951" t="s">
        <v>3058</v>
      </c>
      <c r="E337" s="16">
        <f t="shared" si="206"/>
        <v>0</v>
      </c>
      <c r="F337" s="36"/>
      <c r="G337" s="37">
        <f t="shared" si="181"/>
        <v>0</v>
      </c>
      <c r="H337" s="38">
        <f t="shared" si="182"/>
        <v>0</v>
      </c>
      <c r="I337" s="2964"/>
      <c r="J337" s="2965"/>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1272"/>
      <c r="B338" s="34"/>
      <c r="C338" s="34"/>
      <c r="D338" s="2951" t="s">
        <v>3058</v>
      </c>
      <c r="E338" s="16">
        <f t="shared" si="206"/>
        <v>0</v>
      </c>
      <c r="F338" s="36"/>
      <c r="G338" s="37">
        <f t="shared" si="181"/>
        <v>0</v>
      </c>
      <c r="H338" s="38">
        <f t="shared" si="182"/>
        <v>0</v>
      </c>
      <c r="I338" s="2964"/>
      <c r="J338" s="2965"/>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1272"/>
      <c r="B339" s="34"/>
      <c r="C339" s="34"/>
      <c r="D339" s="2951" t="s">
        <v>3058</v>
      </c>
      <c r="E339" s="16">
        <f t="shared" si="206"/>
        <v>0</v>
      </c>
      <c r="F339" s="36"/>
      <c r="G339" s="37">
        <f t="shared" si="181"/>
        <v>0</v>
      </c>
      <c r="H339" s="38">
        <f t="shared" si="182"/>
        <v>0</v>
      </c>
      <c r="I339" s="2964"/>
      <c r="J339" s="2965"/>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1272"/>
      <c r="B340" s="34"/>
      <c r="C340" s="34"/>
      <c r="D340" s="2951" t="s">
        <v>3058</v>
      </c>
      <c r="E340" s="16">
        <f t="shared" si="206"/>
        <v>0</v>
      </c>
      <c r="F340" s="36"/>
      <c r="G340" s="37">
        <f t="shared" si="181"/>
        <v>0</v>
      </c>
      <c r="H340" s="38">
        <f t="shared" si="182"/>
        <v>0</v>
      </c>
      <c r="I340" s="2964"/>
      <c r="J340" s="2965"/>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1272"/>
      <c r="B341" s="34"/>
      <c r="C341" s="34"/>
      <c r="D341" s="2951" t="s">
        <v>3058</v>
      </c>
      <c r="E341" s="16">
        <f t="shared" si="206"/>
        <v>0</v>
      </c>
      <c r="F341" s="36"/>
      <c r="G341" s="37">
        <f t="shared" si="181"/>
        <v>0</v>
      </c>
      <c r="H341" s="38">
        <f t="shared" si="182"/>
        <v>0</v>
      </c>
      <c r="I341" s="2964"/>
      <c r="J341" s="2965"/>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1272"/>
      <c r="B342" s="34"/>
      <c r="C342" s="34"/>
      <c r="D342" s="2951" t="s">
        <v>3058</v>
      </c>
      <c r="E342" s="16">
        <f t="shared" si="206"/>
        <v>0</v>
      </c>
      <c r="F342" s="36"/>
      <c r="G342" s="37">
        <f t="shared" si="181"/>
        <v>0</v>
      </c>
      <c r="H342" s="38">
        <f t="shared" si="182"/>
        <v>0</v>
      </c>
      <c r="I342" s="2964"/>
      <c r="J342" s="2965"/>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1272"/>
      <c r="B343" s="34"/>
      <c r="C343" s="34"/>
      <c r="D343" s="2951" t="s">
        <v>3058</v>
      </c>
      <c r="E343" s="16">
        <f t="shared" si="206"/>
        <v>0</v>
      </c>
      <c r="F343" s="36"/>
      <c r="G343" s="37">
        <f t="shared" si="181"/>
        <v>0</v>
      </c>
      <c r="H343" s="38">
        <f t="shared" si="182"/>
        <v>0</v>
      </c>
      <c r="I343" s="2964"/>
      <c r="J343" s="2965"/>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1272"/>
      <c r="B344" s="34"/>
      <c r="C344" s="34"/>
      <c r="D344" s="2951" t="s">
        <v>3058</v>
      </c>
      <c r="E344" s="16">
        <f t="shared" si="206"/>
        <v>0</v>
      </c>
      <c r="F344" s="36"/>
      <c r="G344" s="37">
        <f t="shared" si="181"/>
        <v>0</v>
      </c>
      <c r="H344" s="38">
        <f t="shared" si="182"/>
        <v>0</v>
      </c>
      <c r="I344" s="2964"/>
      <c r="J344" s="2965"/>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1272"/>
      <c r="B345" s="34"/>
      <c r="C345" s="34"/>
      <c r="D345" s="2951" t="s">
        <v>3058</v>
      </c>
      <c r="E345" s="16">
        <f t="shared" si="206"/>
        <v>0</v>
      </c>
      <c r="F345" s="36"/>
      <c r="G345" s="37">
        <f t="shared" si="181"/>
        <v>0</v>
      </c>
      <c r="H345" s="38">
        <f t="shared" si="182"/>
        <v>0</v>
      </c>
      <c r="I345" s="2964"/>
      <c r="J345" s="2965"/>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951"/>
      <c r="E346" s="16">
        <f t="shared" si="206"/>
        <v>0</v>
      </c>
      <c r="F346" s="36"/>
      <c r="G346" s="37">
        <f t="shared" si="181"/>
        <v>0</v>
      </c>
      <c r="H346" s="38">
        <f t="shared" si="182"/>
        <v>0</v>
      </c>
      <c r="I346" s="2965"/>
      <c r="J346" s="2965"/>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951"/>
      <c r="E347" s="16">
        <f t="shared" si="206"/>
        <v>0</v>
      </c>
      <c r="F347" s="36"/>
      <c r="G347" s="37">
        <f t="shared" si="181"/>
        <v>0</v>
      </c>
      <c r="H347" s="38">
        <f t="shared" si="182"/>
        <v>0</v>
      </c>
      <c r="I347" s="2965"/>
      <c r="J347" s="2965"/>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951"/>
      <c r="E348" s="16">
        <f t="shared" si="206"/>
        <v>0</v>
      </c>
      <c r="F348" s="36"/>
      <c r="G348" s="37">
        <f t="shared" si="181"/>
        <v>0</v>
      </c>
      <c r="H348" s="38">
        <f t="shared" si="182"/>
        <v>0</v>
      </c>
      <c r="I348" s="2965"/>
      <c r="J348" s="2965"/>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951"/>
      <c r="E349" s="16">
        <f t="shared" si="206"/>
        <v>0</v>
      </c>
      <c r="F349" s="36"/>
      <c r="G349" s="37">
        <f t="shared" si="181"/>
        <v>0</v>
      </c>
      <c r="H349" s="38">
        <f t="shared" si="182"/>
        <v>0</v>
      </c>
      <c r="I349" s="2965"/>
      <c r="J349" s="2965"/>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951"/>
      <c r="E350" s="16">
        <f t="shared" si="206"/>
        <v>0</v>
      </c>
      <c r="F350" s="36"/>
      <c r="G350" s="37">
        <f t="shared" si="181"/>
        <v>0</v>
      </c>
      <c r="H350" s="38">
        <f t="shared" si="182"/>
        <v>0</v>
      </c>
      <c r="I350" s="2965"/>
      <c r="J350" s="2965"/>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951"/>
      <c r="E351" s="16">
        <f t="shared" si="206"/>
        <v>0</v>
      </c>
      <c r="F351" s="36"/>
      <c r="G351" s="37">
        <f t="shared" si="181"/>
        <v>0</v>
      </c>
      <c r="H351" s="38">
        <f t="shared" si="182"/>
        <v>0</v>
      </c>
      <c r="I351" s="2965"/>
      <c r="J351" s="2965"/>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951"/>
      <c r="E352" s="16">
        <f t="shared" si="206"/>
        <v>0</v>
      </c>
      <c r="F352" s="36"/>
      <c r="G352" s="37">
        <f t="shared" si="181"/>
        <v>0</v>
      </c>
      <c r="H352" s="38">
        <f t="shared" si="182"/>
        <v>0</v>
      </c>
      <c r="I352" s="2965"/>
      <c r="J352" s="2965"/>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951"/>
      <c r="E353" s="16">
        <f t="shared" si="206"/>
        <v>0</v>
      </c>
      <c r="F353" s="36"/>
      <c r="G353" s="37">
        <f t="shared" si="181"/>
        <v>0</v>
      </c>
      <c r="H353" s="38">
        <f t="shared" si="182"/>
        <v>0</v>
      </c>
      <c r="I353" s="2965"/>
      <c r="J353" s="2965"/>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951"/>
      <c r="E354" s="16">
        <f t="shared" si="206"/>
        <v>0</v>
      </c>
      <c r="F354" s="36"/>
      <c r="G354" s="37">
        <f t="shared" si="181"/>
        <v>0</v>
      </c>
      <c r="H354" s="38">
        <f t="shared" si="182"/>
        <v>0</v>
      </c>
      <c r="I354" s="2965"/>
      <c r="J354" s="2965"/>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951"/>
      <c r="E355" s="16">
        <f t="shared" si="206"/>
        <v>0</v>
      </c>
      <c r="F355" s="36"/>
      <c r="G355" s="37">
        <f t="shared" si="181"/>
        <v>0</v>
      </c>
      <c r="H355" s="38">
        <f t="shared" si="182"/>
        <v>0</v>
      </c>
      <c r="I355" s="2965"/>
      <c r="J355" s="2965"/>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951"/>
      <c r="E356" s="16">
        <f t="shared" si="206"/>
        <v>0</v>
      </c>
      <c r="F356" s="36"/>
      <c r="G356" s="37">
        <f t="shared" si="181"/>
        <v>0</v>
      </c>
      <c r="H356" s="38">
        <f t="shared" si="182"/>
        <v>0</v>
      </c>
      <c r="I356" s="2965"/>
      <c r="J356" s="2965"/>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951"/>
      <c r="E357" s="16">
        <f t="shared" si="206"/>
        <v>0</v>
      </c>
      <c r="F357" s="36"/>
      <c r="G357" s="37">
        <f t="shared" si="181"/>
        <v>0</v>
      </c>
      <c r="H357" s="38">
        <f t="shared" si="182"/>
        <v>0</v>
      </c>
      <c r="I357" s="2965"/>
      <c r="J357" s="2965"/>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951"/>
      <c r="E358" s="16">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951"/>
      <c r="E359" s="16">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951"/>
      <c r="E360" s="16">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951"/>
      <c r="E361" s="16">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951"/>
      <c r="E362" s="16">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951"/>
      <c r="E363" s="16">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951"/>
      <c r="E364" s="16">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951"/>
      <c r="E365" s="16">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951"/>
      <c r="E366" s="16">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951"/>
      <c r="E367" s="16">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951"/>
      <c r="E368" s="16">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951"/>
      <c r="E369" s="16">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951"/>
      <c r="E370" s="16">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951"/>
      <c r="E371" s="16">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951"/>
      <c r="E372" s="16">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951"/>
      <c r="E373" s="16">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951"/>
      <c r="E374" s="16">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951"/>
      <c r="E375" s="16">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951"/>
      <c r="E376" s="16">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951"/>
      <c r="E377" s="16">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951"/>
      <c r="E378" s="16">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951"/>
      <c r="E379" s="16">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951"/>
      <c r="E380" s="16">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951"/>
      <c r="E381" s="16">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951"/>
      <c r="E382" s="16">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951"/>
      <c r="E383" s="16">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951"/>
      <c r="E384" s="16">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951"/>
      <c r="E385" s="16">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951"/>
      <c r="E386" s="16">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951"/>
      <c r="E387" s="16">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951"/>
      <c r="E388" s="16">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951"/>
      <c r="E389" s="16">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951"/>
      <c r="E390" s="16">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951"/>
      <c r="E391" s="16">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951"/>
      <c r="E392" s="16">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951"/>
      <c r="E393" s="16">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951"/>
      <c r="E394" s="16">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951"/>
      <c r="E395" s="16">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951"/>
      <c r="E396" s="16">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951"/>
      <c r="E397" s="16">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951"/>
      <c r="E398" s="16">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951"/>
      <c r="E399" s="16">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951"/>
      <c r="E400" s="16">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951"/>
      <c r="E401" s="16">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951"/>
      <c r="E402" s="16">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951"/>
      <c r="E403" s="16">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951"/>
      <c r="E404" s="16">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951"/>
      <c r="E405" s="16">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951"/>
      <c r="E406" s="16">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951"/>
      <c r="E407" s="16">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951"/>
      <c r="E408" s="16">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951"/>
      <c r="E409" s="16">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951"/>
      <c r="E410" s="16">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951"/>
      <c r="E411" s="16">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951"/>
      <c r="E412" s="16">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951"/>
      <c r="E413" s="16">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951"/>
      <c r="E414" s="16">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951"/>
      <c r="E415" s="16">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951"/>
      <c r="E416" s="16">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951"/>
      <c r="E417" s="16">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951"/>
      <c r="E418" s="16">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951"/>
      <c r="E419" s="16">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951"/>
      <c r="E420" s="16">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951"/>
      <c r="E421" s="16">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951"/>
      <c r="E422" s="16">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951"/>
      <c r="E423" s="16">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951"/>
      <c r="E424" s="16">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951"/>
      <c r="E425" s="16">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951"/>
      <c r="E426" s="16">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951"/>
      <c r="E427" s="16">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951"/>
      <c r="E428" s="16">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951"/>
      <c r="E429" s="16">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951"/>
      <c r="E430" s="16">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951"/>
      <c r="E431" s="16">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951"/>
      <c r="E432" s="16">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951"/>
      <c r="E433" s="16">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951"/>
      <c r="E434" s="16">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951"/>
      <c r="E435" s="16">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951"/>
      <c r="E436" s="16">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951"/>
      <c r="E437" s="16">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951"/>
      <c r="E438" s="16">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951"/>
      <c r="E439" s="16">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951"/>
      <c r="E440" s="16">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951"/>
      <c r="E441" s="16">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951"/>
      <c r="E442" s="16">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951"/>
      <c r="E443" s="16">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951"/>
      <c r="E444" s="16">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951"/>
      <c r="E445" s="16">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951"/>
      <c r="E446" s="16">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951"/>
      <c r="E447" s="16">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951"/>
      <c r="E448" s="16">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951"/>
      <c r="E449" s="16">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951"/>
      <c r="E450" s="16">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951"/>
      <c r="E451" s="16">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951"/>
      <c r="E452" s="16">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951"/>
      <c r="E453" s="16">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951"/>
      <c r="E454" s="16">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951"/>
      <c r="E455" s="16">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951"/>
      <c r="E456" s="16">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951"/>
      <c r="E457" s="16">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951"/>
      <c r="E458" s="16">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951"/>
      <c r="E459" s="16">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951"/>
      <c r="E460" s="16">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951"/>
      <c r="E461" s="16">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951"/>
      <c r="E462" s="16">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951"/>
      <c r="E463" s="16">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951"/>
      <c r="E464" s="16">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951"/>
      <c r="E465" s="16">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951"/>
      <c r="E466" s="16">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951"/>
      <c r="E467" s="16">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951"/>
      <c r="E468" s="16">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951"/>
      <c r="E469" s="16">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951"/>
      <c r="E470" s="16">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951"/>
      <c r="E471" s="16">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951"/>
      <c r="E472" s="16">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951"/>
      <c r="E473" s="16">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951"/>
      <c r="E474" s="16">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951"/>
      <c r="E475" s="16">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951"/>
      <c r="E476" s="16">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951"/>
      <c r="E477" s="16">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951"/>
      <c r="E478" s="16">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951"/>
      <c r="E479" s="16">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951"/>
      <c r="E480" s="16">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951"/>
      <c r="E481" s="16">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951"/>
      <c r="E482" s="16">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951"/>
      <c r="E483" s="16">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951"/>
      <c r="E484" s="16">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951"/>
      <c r="E485" s="16">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951"/>
      <c r="E486" s="16">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951"/>
      <c r="E487" s="16">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951"/>
      <c r="E488" s="16">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951"/>
      <c r="E489" s="16">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951"/>
      <c r="E490" s="16">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951"/>
      <c r="E491" s="16">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951"/>
      <c r="E492" s="16">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951"/>
      <c r="E493" s="16">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951"/>
      <c r="E494" s="16">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951"/>
      <c r="E495" s="16">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951"/>
      <c r="E496" s="16">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951"/>
      <c r="E497" s="16">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951"/>
      <c r="E498" s="16">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951"/>
      <c r="E499" s="16">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951"/>
      <c r="E500" s="16">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951"/>
      <c r="E501" s="16">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951"/>
      <c r="E502" s="16">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951"/>
      <c r="E503" s="16">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951"/>
      <c r="E504" s="16">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951"/>
      <c r="E505" s="16">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951"/>
      <c r="E506" s="16">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951"/>
      <c r="E507" s="16">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951"/>
      <c r="E508" s="16">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951"/>
      <c r="E509" s="16">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951"/>
      <c r="E510" s="16">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951"/>
      <c r="E511" s="16">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951"/>
      <c r="E512" s="16">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951"/>
      <c r="E513" s="16">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951"/>
      <c r="E514" s="16">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951"/>
      <c r="E515" s="16">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951"/>
      <c r="E516" s="16">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951"/>
      <c r="E517" s="16">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951"/>
      <c r="E518" s="16">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951"/>
      <c r="E519" s="16">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951"/>
      <c r="E520" s="16">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951"/>
      <c r="E521" s="16">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951"/>
      <c r="E522" s="16">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951"/>
      <c r="E523" s="16">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951"/>
      <c r="E524" s="16">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951"/>
      <c r="E525" s="16">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951"/>
      <c r="E526" s="16">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951"/>
      <c r="E527" s="16">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951"/>
      <c r="E528" s="16">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951"/>
      <c r="E529" s="16">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951"/>
      <c r="E530" s="16">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951"/>
      <c r="E531" s="16">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951"/>
      <c r="E532" s="16">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951"/>
      <c r="E533" s="16">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951"/>
      <c r="E534" s="16">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951"/>
      <c r="E535" s="16">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951"/>
      <c r="E536" s="16">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951"/>
      <c r="E537" s="16">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951"/>
      <c r="E538" s="16">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951"/>
      <c r="E539" s="16">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951"/>
      <c r="E540" s="16">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951"/>
      <c r="E541" s="16">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951"/>
      <c r="E542" s="16">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951"/>
      <c r="E543" s="16">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951"/>
      <c r="E544" s="16">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951"/>
      <c r="E545" s="16">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951"/>
      <c r="E546" s="16">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951"/>
      <c r="E547" s="16">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951"/>
      <c r="E548" s="16">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951"/>
      <c r="E549" s="16">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951"/>
      <c r="E550" s="16">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951"/>
      <c r="E551" s="16">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951"/>
      <c r="E552" s="16">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951"/>
      <c r="E553" s="16">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951"/>
      <c r="E554" s="16">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951"/>
      <c r="E555" s="16">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951"/>
      <c r="E556" s="16">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951"/>
      <c r="E557" s="16">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951"/>
      <c r="E558" s="16">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951"/>
      <c r="E559" s="16">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951"/>
      <c r="E560" s="16">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951"/>
      <c r="E561" s="16">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951"/>
      <c r="E562" s="16">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951"/>
      <c r="E563" s="16">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951"/>
      <c r="E564" s="16">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951"/>
      <c r="E565" s="16">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951"/>
      <c r="E566" s="16">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951"/>
      <c r="E567" s="16">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951"/>
      <c r="E568" s="16">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951"/>
      <c r="E569" s="16">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951"/>
      <c r="E570" s="16">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951"/>
      <c r="E571" s="16">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951"/>
      <c r="E572" s="16">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951"/>
      <c r="E573" s="16">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951"/>
      <c r="E574" s="16">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951"/>
      <c r="E575" s="16">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951"/>
      <c r="E576" s="16">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951"/>
      <c r="E577" s="16">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951"/>
      <c r="E578" s="16">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951"/>
      <c r="E579" s="16">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951"/>
      <c r="E580" s="16">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951"/>
      <c r="E581" s="16">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951"/>
      <c r="E582" s="16">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951"/>
      <c r="E583" s="16">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951"/>
      <c r="E584" s="16">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951"/>
      <c r="E585" s="16">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951"/>
      <c r="E586" s="16">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951"/>
      <c r="E587" s="16">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2" sqref="H42"/>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1930</v>
      </c>
      <c r="B1" s="1392"/>
      <c r="C1" s="1392"/>
      <c r="D1" s="1392"/>
      <c r="E1" s="1392"/>
      <c r="F1" s="1392"/>
      <c r="G1" s="1392"/>
      <c r="H1" s="1392"/>
      <c r="I1" s="1392"/>
      <c r="J1" s="1392"/>
      <c r="K1" s="1392"/>
      <c r="L1" s="1392"/>
      <c r="M1" s="1392"/>
      <c r="N1" s="1392"/>
      <c r="O1" s="1392"/>
      <c r="P1" s="1392"/>
    </row>
    <row r="2" spans="1:16" ht="15">
      <c r="A2" s="3052" t="s">
        <v>1931</v>
      </c>
      <c r="B2" s="3052"/>
      <c r="C2" s="3052"/>
      <c r="D2" s="967" t="s">
        <v>1907</v>
      </c>
      <c r="E2" s="2223" t="s">
        <v>1908</v>
      </c>
      <c r="F2" s="1392"/>
      <c r="G2" s="2224"/>
      <c r="H2" s="2225"/>
      <c r="I2" s="2226" t="s">
        <v>1932</v>
      </c>
      <c r="J2" s="1392"/>
      <c r="K2" s="1392"/>
      <c r="L2" s="1392"/>
      <c r="M2" s="1392"/>
      <c r="N2" s="1427"/>
      <c r="O2" s="1392"/>
      <c r="P2" s="1392"/>
    </row>
    <row r="3" spans="1:16" ht="15.75" thickBot="1">
      <c r="A3" s="3053" t="s">
        <v>1905</v>
      </c>
      <c r="B3" s="3053"/>
      <c r="C3" s="3053"/>
      <c r="D3" s="46">
        <f>'数据-基础表'!AY6</f>
        <v>927.85</v>
      </c>
      <c r="E3" s="46">
        <f>'数据-基础表'!AZ5</f>
        <v>8276.64</v>
      </c>
      <c r="F3" s="1392"/>
      <c r="G3" s="1399"/>
      <c r="H3" s="1247" t="s">
        <v>1906</v>
      </c>
      <c r="I3" s="55">
        <f>ROUND('数据-基础表'!B3/'数据-基础表'!A3,2)</f>
        <v>8.92</v>
      </c>
      <c r="J3" s="1392"/>
      <c r="K3" s="1392"/>
      <c r="L3" s="1392"/>
      <c r="M3" s="1392"/>
      <c r="N3" s="1427"/>
      <c r="O3" s="1392"/>
      <c r="P3" s="1392"/>
    </row>
    <row r="4" spans="1:16" ht="15">
      <c r="A4" s="3054"/>
      <c r="B4" s="3055"/>
      <c r="C4" s="3056"/>
      <c r="D4" s="2227" t="s">
        <v>1907</v>
      </c>
      <c r="E4" s="2228" t="s">
        <v>1908</v>
      </c>
      <c r="F4" s="1392"/>
      <c r="G4" s="2229" t="s">
        <v>1933</v>
      </c>
      <c r="H4" s="1247" t="s">
        <v>1913</v>
      </c>
      <c r="I4" s="55">
        <f>ROUND(SUMIF('数据-基础表'!I9:AS9,"地上",'数据-基础表'!I5:AS5)/'数据-基础表'!A3,2)</f>
        <v>8.92</v>
      </c>
      <c r="J4" s="1392"/>
      <c r="K4" s="1392"/>
      <c r="L4" s="1392"/>
      <c r="M4" s="1392"/>
      <c r="N4" s="1427"/>
      <c r="O4" s="1392"/>
      <c r="P4" s="1392"/>
    </row>
    <row r="5" spans="1:16">
      <c r="A5" s="47" t="s">
        <v>1909</v>
      </c>
      <c r="B5" s="3057" t="s">
        <v>1910</v>
      </c>
      <c r="C5" s="3057"/>
      <c r="D5" s="48">
        <f>ROUND($D$3*E5/$E$3,2)</f>
        <v>0</v>
      </c>
      <c r="E5" s="49">
        <f>SUMIF('数据-基础表'!$11:$11,"住宅",'数据-基础表'!$5:$5)</f>
        <v>0</v>
      </c>
      <c r="F5" s="1392"/>
      <c r="G5" s="1399"/>
      <c r="H5" s="1247" t="s">
        <v>1906</v>
      </c>
      <c r="I5" s="55">
        <f>ROUND(E31/D31,2)</f>
        <v>8.92</v>
      </c>
      <c r="J5" s="1392"/>
      <c r="K5" s="1392"/>
      <c r="L5" s="1392"/>
      <c r="M5" s="1392"/>
      <c r="N5" s="1392"/>
      <c r="O5" s="1392"/>
      <c r="P5" s="1392"/>
    </row>
    <row r="6" spans="1:16" ht="15" thickBot="1">
      <c r="A6" s="2230"/>
      <c r="B6" s="3057" t="s">
        <v>1911</v>
      </c>
      <c r="C6" s="3057"/>
      <c r="D6" s="48">
        <f>ROUND($D$3*E6/$E$3,2)</f>
        <v>927.85</v>
      </c>
      <c r="E6" s="49">
        <f>E3-E5</f>
        <v>8276.64</v>
      </c>
      <c r="F6" s="1392"/>
      <c r="G6" s="2231" t="s">
        <v>1912</v>
      </c>
      <c r="H6" s="1399" t="s">
        <v>1913</v>
      </c>
      <c r="I6" s="939">
        <f>ROUND(F31/D31,2)</f>
        <v>8.92</v>
      </c>
      <c r="J6" s="1392"/>
      <c r="K6" s="1392"/>
      <c r="L6" s="1392"/>
      <c r="M6" s="1392"/>
      <c r="N6" s="1392"/>
      <c r="O6" s="1392"/>
      <c r="P6" s="1392"/>
    </row>
    <row r="7" spans="1:16" ht="15">
      <c r="A7" s="3049"/>
      <c r="B7" s="3050"/>
      <c r="C7" s="3051"/>
      <c r="D7" s="2227" t="s">
        <v>1907</v>
      </c>
      <c r="E7" s="2232" t="s">
        <v>1914</v>
      </c>
      <c r="F7" s="1392"/>
      <c r="G7" s="2224" t="s">
        <v>1915</v>
      </c>
      <c r="H7" s="64"/>
      <c r="I7" s="420"/>
      <c r="J7" s="1392"/>
      <c r="K7" s="1392"/>
      <c r="L7" s="1392"/>
      <c r="M7" s="1392"/>
      <c r="N7" s="1392"/>
      <c r="O7" s="1392"/>
      <c r="P7" s="1392"/>
    </row>
    <row r="8" spans="1:16">
      <c r="A8" s="47" t="s">
        <v>1916</v>
      </c>
      <c r="B8" s="50" t="s">
        <v>1917</v>
      </c>
      <c r="C8" s="48" t="s">
        <v>1918</v>
      </c>
      <c r="D8" s="48">
        <f t="shared" ref="D8:D15" si="0">ROUND($D$3*E8/$E$3,2)</f>
        <v>927.85</v>
      </c>
      <c r="E8" s="51">
        <f>SUMIF('数据-基础表'!BB10:BK10,"地上",'数据-基础表'!BB5:BK5)</f>
        <v>8276.64</v>
      </c>
      <c r="F8" s="1392"/>
      <c r="G8" s="2233"/>
      <c r="H8" s="2233"/>
      <c r="I8" s="1392"/>
      <c r="J8" s="1392"/>
      <c r="K8" s="1392"/>
      <c r="L8" s="1392"/>
      <c r="M8" s="1392"/>
      <c r="N8" s="1392"/>
      <c r="O8" s="1392"/>
      <c r="P8" s="1392"/>
    </row>
    <row r="9" spans="1:16">
      <c r="A9" s="2234"/>
      <c r="B9" s="2235"/>
      <c r="C9" s="48" t="s">
        <v>1919</v>
      </c>
      <c r="D9" s="48">
        <f t="shared" si="0"/>
        <v>0</v>
      </c>
      <c r="E9" s="52">
        <v>0</v>
      </c>
      <c r="F9" s="1392"/>
      <c r="G9" s="2233"/>
      <c r="H9" s="2233"/>
      <c r="I9" s="1392"/>
      <c r="J9" s="1392"/>
      <c r="K9" s="1392"/>
      <c r="L9" s="1392"/>
      <c r="M9" s="1392"/>
      <c r="N9" s="1392"/>
      <c r="O9" s="1392"/>
      <c r="P9" s="1392"/>
    </row>
    <row r="10" spans="1:16">
      <c r="A10" s="2234"/>
      <c r="B10" s="2235"/>
      <c r="C10" s="48" t="s">
        <v>1928</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1920</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1921</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1922</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1934</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1929</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1923</v>
      </c>
      <c r="D16" s="50">
        <f>SUM(D8:D15)</f>
        <v>927.85</v>
      </c>
      <c r="E16" s="53">
        <f>SUM(E8:E15)</f>
        <v>8276.64</v>
      </c>
      <c r="F16" s="1392"/>
      <c r="G16" s="2233"/>
      <c r="H16" s="2236" t="s">
        <v>1935</v>
      </c>
      <c r="I16" s="2237"/>
      <c r="J16" s="1392"/>
      <c r="K16" s="3046" t="s">
        <v>1935</v>
      </c>
      <c r="L16" s="3047"/>
      <c r="M16" s="3047"/>
      <c r="N16" s="3047"/>
      <c r="O16" s="3047"/>
      <c r="P16" s="3048"/>
    </row>
    <row r="17" spans="1:19" ht="15">
      <c r="A17" s="2238" t="s">
        <v>1936</v>
      </c>
      <c r="B17" s="2239" t="s">
        <v>1937</v>
      </c>
      <c r="C17" s="2240" t="s">
        <v>1938</v>
      </c>
      <c r="D17" s="2241" t="s">
        <v>1926</v>
      </c>
      <c r="E17" s="2242" t="s">
        <v>1927</v>
      </c>
      <c r="F17" s="2243"/>
      <c r="G17" s="2244"/>
      <c r="H17" s="2245" t="s">
        <v>1939</v>
      </c>
      <c r="I17" s="2246" t="s">
        <v>1924</v>
      </c>
      <c r="J17" s="1392"/>
      <c r="K17" s="3043" t="s">
        <v>1940</v>
      </c>
      <c r="L17" s="3044"/>
      <c r="M17" s="3045"/>
      <c r="N17" s="3043" t="s">
        <v>1941</v>
      </c>
      <c r="O17" s="3044"/>
      <c r="P17" s="3045"/>
      <c r="R17" s="2224" t="s">
        <v>1942</v>
      </c>
      <c r="S17" s="64"/>
    </row>
    <row r="18" spans="1:19" ht="15">
      <c r="A18" s="2234"/>
      <c r="B18" s="2247"/>
      <c r="C18" s="2248"/>
      <c r="D18" s="2249"/>
      <c r="E18" s="2250" t="s">
        <v>1943</v>
      </c>
      <c r="F18" s="2251" t="s">
        <v>1944</v>
      </c>
      <c r="G18" s="2252" t="s">
        <v>1945</v>
      </c>
      <c r="H18" s="1262" t="s">
        <v>1946</v>
      </c>
      <c r="I18" s="2253" t="s">
        <v>1947</v>
      </c>
      <c r="J18" s="1392"/>
      <c r="K18" s="1262" t="s">
        <v>1948</v>
      </c>
      <c r="L18" s="2254" t="s">
        <v>1949</v>
      </c>
      <c r="M18" s="1046" t="s">
        <v>1950</v>
      </c>
      <c r="N18" s="1262" t="s">
        <v>1948</v>
      </c>
      <c r="O18" s="2254" t="s">
        <v>1949</v>
      </c>
      <c r="P18" s="1046" t="s">
        <v>1950</v>
      </c>
      <c r="R18" s="1247" t="s">
        <v>1951</v>
      </c>
      <c r="S18" s="1247" t="s">
        <v>1952</v>
      </c>
    </row>
    <row r="19" spans="1:19">
      <c r="A19" s="2255"/>
      <c r="B19" s="50" t="s">
        <v>1925</v>
      </c>
      <c r="C19" s="2952" t="s">
        <v>3061</v>
      </c>
      <c r="D19" s="48">
        <f>ROUND($D$3*E19/$E$3,2)</f>
        <v>927.85</v>
      </c>
      <c r="E19" s="56">
        <f t="shared" ref="E19:E26" si="1">SUM(F19:G19)</f>
        <v>8276.64</v>
      </c>
      <c r="F19" s="57">
        <f>'数据-基础表'!I5</f>
        <v>8276.64</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7"/>
      <c r="O19" s="2258"/>
      <c r="P19" s="1403">
        <f>N19+O19</f>
        <v>0</v>
      </c>
      <c r="R19" s="1247">
        <f t="shared" ref="R19:S26" si="5">D19+H19</f>
        <v>927.85</v>
      </c>
      <c r="S19" s="1248">
        <f t="shared" si="5"/>
        <v>8276.64</v>
      </c>
    </row>
    <row r="20" spans="1:19">
      <c r="A20" s="2259"/>
      <c r="B20" s="50" t="s">
        <v>1953</v>
      </c>
      <c r="C20" s="2256"/>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7"/>
      <c r="O20" s="2258"/>
      <c r="P20" s="1403">
        <f t="shared" ref="P20:P26" si="9">N20+O20</f>
        <v>0</v>
      </c>
      <c r="R20" s="1247">
        <f t="shared" si="5"/>
        <v>0</v>
      </c>
      <c r="S20" s="1248">
        <f t="shared" si="5"/>
        <v>0</v>
      </c>
    </row>
    <row r="21" spans="1:19">
      <c r="A21" s="2259"/>
      <c r="B21" s="50" t="s">
        <v>1953</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1953</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1953</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1953</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1953</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1953</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15.75" thickBot="1">
      <c r="A27" s="2259"/>
      <c r="B27" s="48"/>
      <c r="C27" s="2262" t="s">
        <v>1954</v>
      </c>
      <c r="D27" s="1393">
        <f>SUM(D19:D26)</f>
        <v>927.85</v>
      </c>
      <c r="E27" s="1394">
        <f>IF(SUM(E19:E26)='数据-基础表'!BA5,SUM(E19:E26),IF(F27="地上面积有误","面积有误","地下面积有误"))</f>
        <v>8276.64</v>
      </c>
      <c r="F27" s="1393">
        <f>IF(SUM(F19:F26)=E8,SUM(F19:F26),"地上面积有误")</f>
        <v>8276.64</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927.85</v>
      </c>
      <c r="S27" s="1247">
        <f>IF(SUM(S19:S26)=$E$3,SUM(S19:S26),SUM(S19:S26)&amp;"误差"&amp;ROUND(SUM(S19:S26)-E3,2))</f>
        <v>8276.64</v>
      </c>
    </row>
    <row r="28" spans="1:19">
      <c r="A28" s="2259"/>
      <c r="B28" s="50" t="s">
        <v>1955</v>
      </c>
      <c r="C28" s="1259" t="s">
        <v>1956</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59"/>
      <c r="B29" s="50" t="s">
        <v>1955</v>
      </c>
      <c r="C29" s="2263" t="s">
        <v>1957</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1954</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5"/>
      <c r="B31" s="2266"/>
      <c r="C31" s="1007" t="s">
        <v>1958</v>
      </c>
      <c r="D31" s="729">
        <f>D27+D30</f>
        <v>927.85</v>
      </c>
      <c r="E31" s="729">
        <f>E27+E30</f>
        <v>8276.64</v>
      </c>
      <c r="F31" s="730">
        <f>F27+F30</f>
        <v>8276.64</v>
      </c>
      <c r="G31" s="731">
        <f>G27+G30</f>
        <v>0</v>
      </c>
      <c r="H31" s="1392"/>
      <c r="I31" s="1392"/>
      <c r="J31" s="1392"/>
      <c r="K31" s="1392"/>
      <c r="L31" s="1392"/>
      <c r="M31" s="1392"/>
      <c r="N31" s="1392"/>
      <c r="O31" s="1392"/>
      <c r="P31" s="1392"/>
    </row>
    <row r="32" spans="1:19">
      <c r="A32" s="2229"/>
      <c r="B32" s="2229" t="s">
        <v>1959</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F6" sqref="F6"/>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1960</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2" t="s">
        <v>1961</v>
      </c>
      <c r="B2" s="1266">
        <f>项目基本情况!D3</f>
        <v>43822</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0" customFormat="1" ht="15" thickBot="1">
      <c r="A3" s="2028"/>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0" customFormat="1" ht="15" thickBot="1">
      <c r="A4" s="68" t="s">
        <v>1962</v>
      </c>
      <c r="B4" s="2277"/>
      <c r="C4" s="2278"/>
      <c r="D4" s="2279"/>
      <c r="E4" s="2278" t="s">
        <v>1963</v>
      </c>
      <c r="F4" s="2278"/>
      <c r="G4" s="2278"/>
      <c r="H4" s="2278"/>
      <c r="I4" s="2278"/>
      <c r="J4" s="2280"/>
      <c r="K4" s="2281"/>
      <c r="L4" s="2282"/>
      <c r="M4" s="2278"/>
      <c r="N4" s="2278" t="s">
        <v>1964</v>
      </c>
      <c r="O4" s="2278"/>
      <c r="P4" s="2278"/>
      <c r="Q4" s="2278"/>
      <c r="R4" s="2278"/>
      <c r="S4" s="2280"/>
      <c r="T4" s="2283" t="str">
        <f>'数据-汇总表'!I17</f>
        <v>按面积比例</v>
      </c>
      <c r="U4" s="2277" t="s">
        <v>1965</v>
      </c>
      <c r="V4" s="2278"/>
      <c r="W4" s="2278"/>
      <c r="X4" s="2278"/>
      <c r="Y4" s="2280"/>
      <c r="Z4" s="2240" t="s">
        <v>1966</v>
      </c>
      <c r="AA4" s="2240"/>
      <c r="AB4" s="2240"/>
      <c r="AC4" s="2240"/>
      <c r="AD4" s="2240"/>
      <c r="AE4" s="2238" t="s">
        <v>1967</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1" customFormat="1" ht="42">
      <c r="A5" s="2285" t="s">
        <v>1968</v>
      </c>
      <c r="B5" s="2286" t="s">
        <v>1969</v>
      </c>
      <c r="C5" s="2287" t="s">
        <v>1970</v>
      </c>
      <c r="D5" s="2288" t="s">
        <v>1971</v>
      </c>
      <c r="E5" s="1268" t="s">
        <v>1972</v>
      </c>
      <c r="F5" s="2289" t="s">
        <v>1973</v>
      </c>
      <c r="G5" s="1268" t="s">
        <v>1974</v>
      </c>
      <c r="H5" s="1268" t="s">
        <v>1975</v>
      </c>
      <c r="I5" s="1268" t="s">
        <v>1976</v>
      </c>
      <c r="J5" s="2290" t="s">
        <v>1977</v>
      </c>
      <c r="K5" s="2291" t="s">
        <v>1978</v>
      </c>
      <c r="L5" s="2292" t="s">
        <v>1979</v>
      </c>
      <c r="M5" s="2293" t="s">
        <v>1980</v>
      </c>
      <c r="N5" s="2294" t="s">
        <v>3131</v>
      </c>
      <c r="O5" s="2292" t="s">
        <v>1981</v>
      </c>
      <c r="P5" s="2295" t="s">
        <v>1982</v>
      </c>
      <c r="Q5" s="69" t="s">
        <v>1983</v>
      </c>
      <c r="R5" s="2296" t="s">
        <v>1984</v>
      </c>
      <c r="S5" s="2297" t="s">
        <v>1985</v>
      </c>
      <c r="T5" s="2298" t="s">
        <v>1986</v>
      </c>
      <c r="U5" s="1267" t="s">
        <v>1987</v>
      </c>
      <c r="V5" s="1268" t="s">
        <v>1988</v>
      </c>
      <c r="W5" s="1268" t="s">
        <v>1989</v>
      </c>
      <c r="X5" s="71"/>
      <c r="Y5" s="70" t="s">
        <v>1990</v>
      </c>
      <c r="Z5" s="2299" t="s">
        <v>1987</v>
      </c>
      <c r="AA5" s="1268" t="s">
        <v>1988</v>
      </c>
      <c r="AB5" s="1268" t="s">
        <v>1989</v>
      </c>
      <c r="AC5" s="71"/>
      <c r="AD5" s="71" t="s">
        <v>1990</v>
      </c>
      <c r="AE5" s="1267" t="s">
        <v>1991</v>
      </c>
      <c r="AF5" s="1268" t="s">
        <v>1992</v>
      </c>
      <c r="AG5" s="70" t="s">
        <v>1993</v>
      </c>
      <c r="AH5" s="1267" t="s">
        <v>1994</v>
      </c>
      <c r="AI5" s="2299" t="s">
        <v>1995</v>
      </c>
      <c r="AJ5" s="2299" t="s">
        <v>1996</v>
      </c>
      <c r="AK5" s="1268" t="s">
        <v>1997</v>
      </c>
      <c r="AL5" s="1268" t="s">
        <v>1998</v>
      </c>
      <c r="AM5" s="70" t="s">
        <v>1999</v>
      </c>
      <c r="AN5" s="2300" t="s">
        <v>2000</v>
      </c>
      <c r="AO5" s="2071" t="s">
        <v>2001</v>
      </c>
      <c r="AP5" s="1249" t="s">
        <v>2002</v>
      </c>
      <c r="AQ5" s="2301" t="s">
        <v>2003</v>
      </c>
      <c r="AR5" s="2301" t="s">
        <v>2004</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0" customFormat="1" ht="14.25">
      <c r="A6" s="2302" t="str">
        <f>'数据-汇总表'!C19</f>
        <v>办公楼</v>
      </c>
      <c r="B6" s="2303" t="str">
        <f>IF(A6=0,"","经营性")</f>
        <v>经营性</v>
      </c>
      <c r="C6" s="2304" t="s">
        <v>27</v>
      </c>
      <c r="D6" s="1051">
        <f>SUMIF(项目基本情况!D$12:I$12,C6,项目基本情况!D$14:I$14)</f>
        <v>50</v>
      </c>
      <c r="E6" s="1048">
        <f>IF(B6="","",SUMIF(项目基本情况!D$12:I$12,C6,项目基本情况!D$13:I$13))</f>
        <v>55330</v>
      </c>
      <c r="F6" s="72">
        <f>SUMIF(项目基本情况!D$12:I$12,C6,项目基本情况!D$15:I$15)</f>
        <v>31.52</v>
      </c>
      <c r="G6" s="73">
        <f ca="1">IF(ISERROR(ROUND(POWER(1+H6,D6-F6)*(POWER(1+H6,F6)-1)/(POWER(1+H6,D6)-1),3)),0,ROUND(POWER(1+H6,D6-F6)*(POWER(1+H6,F6)-1)/(POWER(1+H6,D6)-1),3))</f>
        <v>0.86599999999999999</v>
      </c>
      <c r="H6" s="2960">
        <f ca="1">基准地价修正!G20</f>
        <v>5.1999999999999998E-2</v>
      </c>
      <c r="I6" s="802">
        <v>5.5E-2</v>
      </c>
      <c r="J6" s="74">
        <v>8.5000000000000006E-2</v>
      </c>
      <c r="K6" s="1251">
        <f>SUMIF('数据-汇总表'!C$19:C$33,A6,'数据-汇总表'!E$19:E$33)</f>
        <v>8276.64</v>
      </c>
      <c r="L6" s="803">
        <v>3000</v>
      </c>
      <c r="M6" s="75">
        <f t="shared" ref="M6:M14" si="0">ROUND(K6*L6/10000,0)</f>
        <v>2483</v>
      </c>
      <c r="N6" s="801">
        <f>ROUND(1-(2019-2003)/60,2)</f>
        <v>0.73</v>
      </c>
      <c r="O6" s="75" t="str">
        <f>IF($N$5="成新度","——",ROUND(M6*N6,0))</f>
        <v>——</v>
      </c>
      <c r="P6" s="76" t="str">
        <f>IF($N$5="成新度","——",M6-O6)</f>
        <v>——</v>
      </c>
      <c r="Q6" s="804">
        <v>0.2</v>
      </c>
      <c r="R6" s="77">
        <f ca="1">SUMIF('数据-汇总表'!C$19:C$33,A6,'数据-汇总表'!R$19:R$27)</f>
        <v>927.85</v>
      </c>
      <c r="S6" s="54">
        <f>IF('数据-汇总表'!$I$17="按面积比例",SUMIF('数据-汇总表'!C$19:C$33,A6,'数据-汇总表'!K$19:K$33),SUMIF('数据-汇总表'!C$19:C$33,A6,'数据-汇总表'!N$19:N$33))</f>
        <v>0</v>
      </c>
      <c r="T6" s="1443">
        <f>ROUND($L$14*S6/10000,0)</f>
        <v>0</v>
      </c>
      <c r="U6" s="2961">
        <f>'比较法-办公'!C50</f>
        <v>5.7</v>
      </c>
      <c r="V6" s="79">
        <v>0.03</v>
      </c>
      <c r="W6" s="79">
        <v>0.1</v>
      </c>
      <c r="X6" s="1261"/>
      <c r="Y6" s="80">
        <f>N6</f>
        <v>0.73</v>
      </c>
      <c r="Z6" s="2962"/>
      <c r="AA6" s="74"/>
      <c r="AB6" s="74"/>
      <c r="AC6" s="1261"/>
      <c r="AD6" s="82"/>
      <c r="AE6" s="1262">
        <f ca="1">IF(AN6="",0,SUMIF(INDIRECT("'"&amp;AN6&amp;"'"&amp;"!E:E"),$AE$5,INDIRECT("'"&amp;AN6&amp;"'"&amp;"!F:F")))</f>
        <v>31.52</v>
      </c>
      <c r="AF6" s="1804"/>
      <c r="AG6" s="147">
        <f>IF(AF6="",0,AE6-AF6)</f>
        <v>0</v>
      </c>
      <c r="AH6" s="83"/>
      <c r="AI6" s="85">
        <v>365</v>
      </c>
      <c r="AJ6" s="86"/>
      <c r="AK6" s="87">
        <v>1.4999999999999999E-2</v>
      </c>
      <c r="AL6" s="88">
        <v>2E-3</v>
      </c>
      <c r="AM6" s="89">
        <v>0.02</v>
      </c>
      <c r="AN6" s="2305" t="s">
        <v>3062</v>
      </c>
      <c r="AO6" s="55">
        <f ca="1">SUMIF(INDIRECT("'"&amp;AN6&amp;"'"&amp;"!A:A"),"总价",INDIRECT("'"&amp;AN6&amp;"'"&amp;"!B:B"))</f>
        <v>25375</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0" customFormat="1" ht="14.25">
      <c r="A7" s="2302">
        <f>'数据-汇总表'!C20</f>
        <v>0</v>
      </c>
      <c r="B7" s="2303" t="str">
        <f t="shared" ref="B7:B13" si="1">IF(A7=0,"","经营性")</f>
        <v/>
      </c>
      <c r="C7" s="2304"/>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0"/>
      <c r="AA7" s="80"/>
      <c r="AB7" s="80"/>
      <c r="AC7" s="1261"/>
      <c r="AD7" s="82"/>
      <c r="AE7" s="1262">
        <f t="shared" ref="AE7:AE13" ca="1" si="6">IF(AN7="",0,SUMIF(INDIRECT("'"&amp;AN7&amp;"'"&amp;"!E:E"),$AE$5,INDIRECT("'"&amp;AN7&amp;"'"&amp;"!F:F")))</f>
        <v>0</v>
      </c>
      <c r="AF7" s="1804"/>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0"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0"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0"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0"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0"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0"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0" customFormat="1" ht="14.25">
      <c r="A14" s="2307" t="s">
        <v>2005</v>
      </c>
      <c r="B14" s="2303" t="s">
        <v>2006</v>
      </c>
      <c r="C14" s="2308" t="s">
        <v>2005</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0" customFormat="1" ht="27">
      <c r="A15" s="2307" t="s">
        <v>2007</v>
      </c>
      <c r="B15" s="2303" t="s">
        <v>2006</v>
      </c>
      <c r="C15" s="2308" t="s">
        <v>2008</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0" customFormat="1" ht="15.75" thickBot="1">
      <c r="A16" s="2309" t="s">
        <v>2009</v>
      </c>
      <c r="B16" s="97"/>
      <c r="C16" s="1005"/>
      <c r="D16" s="2310"/>
      <c r="E16" s="97"/>
      <c r="F16" s="97"/>
      <c r="G16" s="98">
        <f ca="1">ROUND(SUMPRODUCT(G6:G13,K6:K13)/SUMPRODUCT((G6:G13&gt;0)*(K6:K13)),3)</f>
        <v>0.86599999999999999</v>
      </c>
      <c r="H16" s="99">
        <f ca="1">ROUND(SUMPRODUCT(H6:H13,K6:K13)/SUMPRODUCT((H6:H13&gt;0)*(K6:K13)),3)</f>
        <v>5.1999999999999998E-2</v>
      </c>
      <c r="I16" s="100"/>
      <c r="J16" s="100"/>
      <c r="K16" s="101">
        <f>SUM(K6:K15)</f>
        <v>8276.64</v>
      </c>
      <c r="L16" s="102">
        <f>ROUND(M16*10000/SUM(K6:K14),0)</f>
        <v>3000</v>
      </c>
      <c r="M16" s="102">
        <f>SUM(M6:M14)</f>
        <v>2483</v>
      </c>
      <c r="N16" s="103">
        <f>ROUND(SUMPRODUCT(M6:M14,N6:N14)/M16,3)</f>
        <v>0.73</v>
      </c>
      <c r="O16" s="102">
        <f>SUM(O6:O14)</f>
        <v>0</v>
      </c>
      <c r="P16" s="102">
        <f>SUM(P6:P14)</f>
        <v>0</v>
      </c>
      <c r="Q16" s="104">
        <f>ROUND(SUMPRODUCT(Q6:Q13,K6:K13)/SUMPRODUCT((Q6:Q13&gt;0)*(K6:K13)),2)</f>
        <v>0.2</v>
      </c>
      <c r="R16" s="1255">
        <f ca="1">SUM(R6:R13)</f>
        <v>927.85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2010</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2011</v>
      </c>
      <c r="B19" s="112">
        <v>0</v>
      </c>
      <c r="C19" s="2273" t="s">
        <v>2012</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2013</v>
      </c>
      <c r="B20" s="113">
        <v>2</v>
      </c>
      <c r="C20" s="2273" t="s">
        <v>2014</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2015</v>
      </c>
      <c r="B21" s="113">
        <v>2</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2016</v>
      </c>
      <c r="B22" s="114">
        <f>B19+B20</f>
        <v>2</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2017</v>
      </c>
      <c r="B23" s="114">
        <f>B19+B21</f>
        <v>2</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2018</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2019</v>
      </c>
      <c r="B26" s="2316" t="s">
        <v>2020</v>
      </c>
      <c r="C26" s="2317" t="s">
        <v>2021</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2022</v>
      </c>
      <c r="B27" s="116"/>
      <c r="C27" s="1764" t="s">
        <v>2023</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2024</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2025</v>
      </c>
      <c r="B29" s="121">
        <f>ROUND(B28*K16/10000,0)</f>
        <v>166</v>
      </c>
      <c r="C29" s="1764" t="s">
        <v>2026</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2027</v>
      </c>
      <c r="B30" s="724">
        <v>200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2028</v>
      </c>
      <c r="B31" s="120">
        <f>B30-B32</f>
        <v>200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2029</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2030</v>
      </c>
      <c r="B33" s="726">
        <v>0.03</v>
      </c>
      <c r="C33" s="1763" t="s">
        <v>2031</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2032</v>
      </c>
      <c r="B34" s="122">
        <v>0</v>
      </c>
      <c r="C34" s="1763" t="s">
        <v>2033</v>
      </c>
      <c r="D34" s="2274" t="s">
        <v>2034</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2035</v>
      </c>
      <c r="B35" s="119">
        <v>200</v>
      </c>
      <c r="C35" s="1763" t="s">
        <v>2036</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2037</v>
      </c>
      <c r="B36" s="123">
        <v>1.4999999999999999E-2</v>
      </c>
      <c r="C36" s="1763" t="s">
        <v>2038</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2039</v>
      </c>
      <c r="B37" s="124">
        <v>0.01</v>
      </c>
      <c r="C37" s="1763" t="s">
        <v>2040</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2041</v>
      </c>
      <c r="B38" s="122">
        <v>0.01</v>
      </c>
      <c r="C38" s="1763" t="s">
        <v>2040</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2042</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2043</v>
      </c>
      <c r="B40" s="1300">
        <f ca="1">存贷款利率!G1</f>
        <v>4.7500000000000001E-2</v>
      </c>
      <c r="C40" s="1763" t="s">
        <v>2044</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2045</v>
      </c>
      <c r="B41" s="125">
        <f>B42+B43</f>
        <v>5.6000000000000001E-2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2046</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2047</v>
      </c>
      <c r="B43" s="127">
        <f>B42*(B44+B45+B46)+B47</f>
        <v>6.000000000000001E-3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2048</v>
      </c>
      <c r="B44" s="128">
        <v>7.0000000000000007E-2</v>
      </c>
      <c r="C44" s="1763" t="s">
        <v>2049</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2050</v>
      </c>
      <c r="B45" s="126">
        <v>0.03</v>
      </c>
      <c r="C45" s="1764" t="s">
        <v>2051</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2052</v>
      </c>
      <c r="B46" s="126">
        <v>0.02</v>
      </c>
      <c r="C46" s="1764" t="s">
        <v>2053</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2054</v>
      </c>
      <c r="B47" s="129">
        <v>0</v>
      </c>
      <c r="C47" s="1764" t="s">
        <v>2055</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2056</v>
      </c>
      <c r="B48" s="130">
        <v>0.03</v>
      </c>
      <c r="C48" s="1771" t="s">
        <v>2057</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2058</v>
      </c>
      <c r="B49" s="126">
        <v>5.0000000000000001E-4</v>
      </c>
      <c r="C49" s="1771" t="s">
        <v>2059</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2060</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2061</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2062</v>
      </c>
      <c r="B52" s="133">
        <f>SUMIF(A54:A63,B53,B54:B63)</f>
        <v>24</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2063</v>
      </c>
      <c r="B53" s="2332" t="s">
        <v>269</v>
      </c>
      <c r="C53" s="1427" t="s">
        <v>2064</v>
      </c>
      <c r="D53" s="2333" t="s">
        <v>2065</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2066</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2067</v>
      </c>
      <c r="B55" s="84">
        <v>24</v>
      </c>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2068</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2069</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2070</v>
      </c>
      <c r="B58" s="84"/>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2071</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2072</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2073</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2074</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2075</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058" t="s">
        <v>2076</v>
      </c>
      <c r="B1" s="3059"/>
      <c r="C1" s="3059"/>
      <c r="D1" s="3059"/>
      <c r="E1" s="3059"/>
      <c r="F1" s="3059"/>
      <c r="G1" s="305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2077</v>
      </c>
      <c r="D2" s="2361"/>
      <c r="E2" s="2362"/>
      <c r="F2" s="2282"/>
      <c r="G2" s="2360" t="s">
        <v>2078</v>
      </c>
      <c r="H2" s="2363"/>
      <c r="I2" s="2363"/>
      <c r="J2" s="2363"/>
      <c r="K2" s="2363"/>
      <c r="L2" s="2363"/>
      <c r="M2" s="2363"/>
      <c r="N2" s="2363"/>
      <c r="O2" s="2363"/>
      <c r="P2" s="2363"/>
      <c r="Q2" s="2363"/>
      <c r="R2" s="2363"/>
    </row>
    <row r="3" spans="1:29" ht="54">
      <c r="A3" s="415" t="s">
        <v>2079</v>
      </c>
      <c r="B3" s="1268" t="s">
        <v>2080</v>
      </c>
      <c r="C3" s="2365" t="s">
        <v>2081</v>
      </c>
      <c r="D3" s="2366"/>
      <c r="E3" s="431" t="s">
        <v>2079</v>
      </c>
      <c r="F3" s="2367" t="s">
        <v>2082</v>
      </c>
      <c r="G3" s="2368" t="s">
        <v>2083</v>
      </c>
      <c r="H3" s="2363"/>
      <c r="I3" s="2363"/>
      <c r="J3" s="2363"/>
      <c r="K3" s="2363"/>
      <c r="L3" s="2363"/>
      <c r="M3" s="2363"/>
      <c r="N3" s="2363"/>
      <c r="O3" s="2363"/>
      <c r="P3" s="2363"/>
      <c r="Q3" s="2363"/>
      <c r="R3" s="2363"/>
    </row>
    <row r="4" spans="1:29" ht="41.25">
      <c r="A4" s="431"/>
      <c r="B4" s="1795" t="s">
        <v>2084</v>
      </c>
      <c r="C4" s="2369" t="s">
        <v>2085</v>
      </c>
      <c r="D4" s="2366"/>
      <c r="E4" s="2370"/>
      <c r="F4" s="42" t="s">
        <v>2086</v>
      </c>
      <c r="G4" s="2371" t="s">
        <v>2087</v>
      </c>
      <c r="H4" s="2363"/>
      <c r="I4" s="2363"/>
      <c r="J4" s="2363"/>
      <c r="K4" s="2363"/>
      <c r="L4" s="2363"/>
      <c r="M4" s="2363"/>
      <c r="N4" s="2363"/>
      <c r="O4" s="2363"/>
      <c r="P4" s="2363"/>
      <c r="Q4" s="2363"/>
      <c r="R4" s="2363"/>
    </row>
    <row r="5" spans="1:29" ht="27">
      <c r="A5" s="431"/>
      <c r="B5" s="1795" t="s">
        <v>2088</v>
      </c>
      <c r="C5" s="2953" t="s">
        <v>3063</v>
      </c>
      <c r="D5" s="2366"/>
      <c r="E5" s="2370"/>
      <c r="F5" s="1795" t="s">
        <v>2089</v>
      </c>
      <c r="G5" s="2371" t="s">
        <v>2090</v>
      </c>
      <c r="H5" s="2363"/>
      <c r="I5" s="2363"/>
      <c r="J5" s="2363"/>
      <c r="K5" s="2363"/>
      <c r="L5" s="2363"/>
      <c r="M5" s="2363"/>
      <c r="N5" s="2363"/>
      <c r="O5" s="2363"/>
      <c r="P5" s="2363"/>
      <c r="Q5" s="2363"/>
      <c r="R5" s="2363"/>
    </row>
    <row r="6" spans="1:29" ht="15">
      <c r="A6" s="431"/>
      <c r="B6" s="1795" t="s">
        <v>2091</v>
      </c>
      <c r="C6" s="2954" t="s">
        <v>3063</v>
      </c>
      <c r="D6" s="2366"/>
      <c r="E6" s="2370"/>
      <c r="F6" s="1795" t="s">
        <v>2092</v>
      </c>
      <c r="G6" s="2371" t="s">
        <v>2093</v>
      </c>
      <c r="H6" s="2363"/>
      <c r="I6" s="2363"/>
      <c r="J6" s="2363"/>
      <c r="K6" s="2363"/>
      <c r="L6" s="2363"/>
      <c r="M6" s="2363"/>
      <c r="N6" s="2363"/>
      <c r="O6" s="2363"/>
      <c r="P6" s="2363"/>
      <c r="Q6" s="2363"/>
      <c r="R6" s="2363"/>
    </row>
    <row r="7" spans="1:29" ht="41.25" thickBot="1">
      <c r="A7" s="431"/>
      <c r="B7" s="1795" t="s">
        <v>2089</v>
      </c>
      <c r="C7" s="2954" t="s">
        <v>3063</v>
      </c>
      <c r="D7" s="2372"/>
      <c r="E7" s="2373"/>
      <c r="F7" s="2374" t="s">
        <v>2094</v>
      </c>
      <c r="G7" s="2375" t="s">
        <v>2095</v>
      </c>
      <c r="H7" s="2363"/>
      <c r="I7" s="2363"/>
      <c r="J7" s="2363"/>
      <c r="K7" s="2363"/>
      <c r="L7" s="2363"/>
      <c r="M7" s="2363"/>
      <c r="N7" s="2363"/>
      <c r="O7" s="2363"/>
      <c r="P7" s="2363"/>
      <c r="Q7" s="2363"/>
      <c r="R7" s="2363"/>
    </row>
    <row r="8" spans="1:29" ht="15">
      <c r="A8" s="431"/>
      <c r="B8" s="1795" t="s">
        <v>2092</v>
      </c>
      <c r="C8" s="2954" t="s">
        <v>3064</v>
      </c>
      <c r="D8" s="2372"/>
      <c r="E8" s="2372"/>
      <c r="F8" s="1133"/>
      <c r="G8" s="1133"/>
      <c r="H8" s="2363"/>
      <c r="I8" s="2363"/>
      <c r="J8" s="2363"/>
      <c r="K8" s="2363"/>
      <c r="L8" s="2363"/>
      <c r="M8" s="2363"/>
      <c r="N8" s="2363"/>
      <c r="O8" s="2363"/>
      <c r="P8" s="2363"/>
      <c r="Q8" s="2363"/>
      <c r="R8" s="2363"/>
    </row>
    <row r="9" spans="1:29" ht="15">
      <c r="A9" s="431"/>
      <c r="B9" s="1795" t="s">
        <v>2096</v>
      </c>
      <c r="C9" s="2953" t="s">
        <v>3063</v>
      </c>
      <c r="D9" s="2366"/>
      <c r="E9" s="2372"/>
      <c r="F9" s="1133"/>
      <c r="G9" s="1133"/>
      <c r="H9" s="2363"/>
      <c r="I9" s="2363"/>
      <c r="J9" s="2363"/>
      <c r="K9" s="2363"/>
      <c r="L9" s="2363"/>
      <c r="M9" s="2363"/>
      <c r="N9" s="2363"/>
      <c r="O9" s="2363"/>
      <c r="P9" s="2363"/>
      <c r="Q9" s="2363"/>
      <c r="R9" s="2363"/>
    </row>
    <row r="10" spans="1:29" s="117" customFormat="1" ht="15.75" thickBot="1">
      <c r="A10" s="2376"/>
      <c r="B10" s="2377" t="s">
        <v>2097</v>
      </c>
      <c r="C10" s="2378" t="s">
        <v>3139</v>
      </c>
      <c r="D10" s="2366"/>
      <c r="E10" s="2366"/>
      <c r="F10" s="1133"/>
      <c r="G10" s="1133"/>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1"/>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1"/>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2098</v>
      </c>
      <c r="B13" s="2383"/>
      <c r="C13" s="2383"/>
      <c r="D13" s="2390"/>
      <c r="E13" s="2383"/>
      <c r="F13" s="2383"/>
      <c r="G13" s="2383"/>
    </row>
    <row r="14" spans="1:29" ht="15.75" thickBot="1">
      <c r="A14" s="2394"/>
      <c r="B14" s="2395"/>
      <c r="C14" s="2396" t="s">
        <v>2099</v>
      </c>
      <c r="D14" s="2366"/>
      <c r="E14" s="2397"/>
      <c r="F14" s="2397"/>
      <c r="G14" s="2360" t="s">
        <v>2100</v>
      </c>
    </row>
    <row r="15" spans="1:29" ht="57">
      <c r="A15" s="68" t="s">
        <v>2101</v>
      </c>
      <c r="B15" s="1267" t="s">
        <v>2080</v>
      </c>
      <c r="C15" s="2398" t="str">
        <f>C3</f>
        <v>估价对象周边居住用地比例、居住小区规模和社区发展完善程度，综合评价居住社区成熟度一般</v>
      </c>
      <c r="D15" s="2366"/>
      <c r="E15" s="2399" t="s">
        <v>2102</v>
      </c>
      <c r="F15" s="1267" t="s">
        <v>2103</v>
      </c>
      <c r="G15" s="135" t="str">
        <f>G3</f>
        <v>估价对象位于XX开发区，园区建设成熟度XX，产业集聚程度XX</v>
      </c>
    </row>
    <row r="16" spans="1:29" ht="42.75">
      <c r="A16" s="645"/>
      <c r="B16" s="2400" t="s">
        <v>2084</v>
      </c>
      <c r="C16" s="2401" t="str">
        <f>C4</f>
        <v>估价对象位于XX商圈，周边商业氛围成熟，人流量大，商业繁华度好</v>
      </c>
      <c r="D16" s="2366"/>
      <c r="E16" s="2402"/>
      <c r="F16" s="2403" t="s">
        <v>2086</v>
      </c>
      <c r="G16" s="136" t="str">
        <f>G4</f>
        <v>估价对象周边道路状况、公共交通通达情况、停车便捷程度，综合评价交通便捷度较好</v>
      </c>
    </row>
    <row r="17" spans="1:18" ht="15">
      <c r="A17" s="645"/>
      <c r="B17" s="2400" t="s">
        <v>2088</v>
      </c>
      <c r="C17" s="2401" t="str">
        <f>C5</f>
        <v>较好</v>
      </c>
      <c r="D17" s="2372"/>
      <c r="E17" s="2402"/>
      <c r="F17" s="2403" t="s">
        <v>2104</v>
      </c>
      <c r="G17" s="1569"/>
    </row>
    <row r="18" spans="1:18" ht="42.75">
      <c r="A18" s="645"/>
      <c r="B18" s="2403" t="s">
        <v>2091</v>
      </c>
      <c r="C18" s="136" t="str">
        <f>C6</f>
        <v>较好</v>
      </c>
      <c r="D18" s="2372"/>
      <c r="E18" s="2402"/>
      <c r="F18" s="2403" t="s">
        <v>2094</v>
      </c>
      <c r="G18" s="136" t="str">
        <f>G7</f>
        <v>该园区内是否有污染型企业，绿化情况，卫生条件，整体环境状况判断</v>
      </c>
    </row>
    <row r="19" spans="1:18" ht="28.5">
      <c r="A19" s="645"/>
      <c r="B19" s="2403" t="s">
        <v>2105</v>
      </c>
      <c r="C19" s="1569"/>
      <c r="D19" s="2366"/>
      <c r="E19" s="2402"/>
      <c r="F19" s="1795" t="s">
        <v>2089</v>
      </c>
      <c r="G19" s="136" t="str">
        <f>G5</f>
        <v>估价对象所在区域公共配套设施齐备情况</v>
      </c>
    </row>
    <row r="20" spans="1:18" ht="15">
      <c r="A20" s="645"/>
      <c r="B20" s="2403" t="s">
        <v>2106</v>
      </c>
      <c r="C20" s="2401" t="str">
        <f>C9</f>
        <v>较好</v>
      </c>
      <c r="D20" s="2372"/>
      <c r="E20" s="2402"/>
      <c r="F20" s="1795" t="s">
        <v>2107</v>
      </c>
      <c r="G20" s="136" t="str">
        <f>G6</f>
        <v>估价对象所在区域基础设施水平</v>
      </c>
    </row>
    <row r="21" spans="1:18" ht="15">
      <c r="A21" s="645"/>
      <c r="B21" s="1795" t="s">
        <v>2089</v>
      </c>
      <c r="C21" s="136" t="str">
        <f>C7</f>
        <v>较好</v>
      </c>
      <c r="D21" s="2366"/>
      <c r="E21" s="2402"/>
      <c r="F21" s="2403" t="s">
        <v>2108</v>
      </c>
      <c r="G21" s="2404"/>
    </row>
    <row r="22" spans="1:18" ht="13.5" customHeight="1">
      <c r="A22" s="645"/>
      <c r="B22" s="1795" t="s">
        <v>2092</v>
      </c>
      <c r="C22" s="136" t="str">
        <f>C8</f>
        <v>七通</v>
      </c>
      <c r="D22" s="2366"/>
      <c r="E22" s="2402"/>
      <c r="F22" s="2403" t="s">
        <v>2097</v>
      </c>
      <c r="G22" s="1569"/>
    </row>
    <row r="23" spans="1:18" s="2363" customFormat="1" ht="15.75" thickBot="1">
      <c r="A23" s="645"/>
      <c r="B23" s="2403" t="s">
        <v>2108</v>
      </c>
      <c r="C23" s="2404"/>
      <c r="D23" s="2391"/>
      <c r="E23" s="2405"/>
      <c r="F23" s="2406" t="s">
        <v>2109</v>
      </c>
      <c r="G23" s="2407"/>
      <c r="H23" s="2391"/>
      <c r="I23" s="2392"/>
      <c r="J23" s="2391"/>
      <c r="K23" s="2391"/>
      <c r="L23" s="2392"/>
      <c r="M23" s="2391"/>
      <c r="N23" s="2391"/>
      <c r="O23" s="2392"/>
      <c r="P23" s="2391"/>
      <c r="Q23" s="2391"/>
      <c r="R23" s="2393"/>
    </row>
    <row r="24" spans="1:18" s="2363" customFormat="1" ht="15.75" thickBot="1">
      <c r="A24" s="2408"/>
      <c r="B24" s="2406" t="s">
        <v>2110</v>
      </c>
      <c r="C24" s="137" t="str">
        <f>C10</f>
        <v>城市次干道-中关村大街</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36" sqref="C36"/>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8276.64</v>
      </c>
      <c r="C1" s="1742"/>
      <c r="D1" s="1742"/>
      <c r="E1" s="1742"/>
      <c r="F1" s="1742"/>
      <c r="G1" s="1740"/>
    </row>
    <row r="2" spans="1:10" ht="16.5">
      <c r="A2" s="1743" t="s">
        <v>1349</v>
      </c>
      <c r="B2" s="1743">
        <f>SUM(C14:C23)</f>
        <v>927.85</v>
      </c>
      <c r="C2" s="1742"/>
      <c r="D2" s="1742"/>
      <c r="E2" s="1742"/>
      <c r="F2" s="1742"/>
      <c r="G2" s="1740"/>
    </row>
    <row r="3" spans="1:10" ht="16.5">
      <c r="A3" s="1743" t="s">
        <v>1358</v>
      </c>
      <c r="B3" s="1744">
        <f>项目基本情况!D3</f>
        <v>43822</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28850</v>
      </c>
      <c r="C5" s="1743">
        <f ca="1">ROUND(B5*10000/$B$1,0)</f>
        <v>34857</v>
      </c>
      <c r="D5" s="1743">
        <f ca="1">ROUND(B5*10000/$B$2,0)</f>
        <v>310934</v>
      </c>
      <c r="E5" s="1742"/>
      <c r="F5" s="1740"/>
      <c r="G5" s="1740"/>
    </row>
    <row r="6" spans="1:10" ht="16.5">
      <c r="A6" s="1743" t="s">
        <v>1352</v>
      </c>
      <c r="B6" s="1743">
        <f ca="1">SUM(G14:G23)</f>
        <v>28850</v>
      </c>
      <c r="C6" s="1743">
        <f ca="1">ROUND(B6*10000/$B$1,0)</f>
        <v>34857</v>
      </c>
      <c r="D6" s="1743">
        <f ca="1">ROUND(B6*10000/$B$2,0)</f>
        <v>310934</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8276.64</v>
      </c>
      <c r="C14" s="1741">
        <f>结果表!C118</f>
        <v>927.85</v>
      </c>
      <c r="D14" s="1741">
        <f ca="1">结果表!H118</f>
        <v>28850</v>
      </c>
      <c r="E14" s="1741">
        <f ca="1">ROUND(D14*10000/B14,0)</f>
        <v>34857</v>
      </c>
      <c r="F14" s="1741">
        <f ca="1">ROUND(D14*10000/C14,0)</f>
        <v>310934</v>
      </c>
      <c r="G14" s="1741">
        <f ca="1">结果表!D122</f>
        <v>28850</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2" zoomScaleNormal="100" zoomScaleSheetLayoutView="100" zoomScalePageLayoutView="80" workbookViewId="0">
      <selection activeCell="H119" sqref="H119:I119"/>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1" t="s">
        <v>2111</v>
      </c>
      <c r="B1" s="2414"/>
      <c r="C1" s="2415"/>
      <c r="D1" s="2414"/>
      <c r="E1" s="2414"/>
      <c r="F1" s="2416" t="s">
        <v>2112</v>
      </c>
      <c r="G1" s="2067" t="s">
        <v>3057</v>
      </c>
      <c r="H1" s="2417" t="str">
        <f>IF(G1="现房","——","估价对象范围")</f>
        <v>——</v>
      </c>
      <c r="I1" s="2418"/>
    </row>
    <row r="2" spans="1:12" ht="21.75" customHeight="1" thickBot="1">
      <c r="A2" s="3132" t="str">
        <f>项目基本情况!S2</f>
        <v>北京市海淀区中关村大街18号六层综合用房房地产</v>
      </c>
      <c r="B2" s="3133"/>
      <c r="C2" s="3133"/>
      <c r="D2" s="3133"/>
      <c r="E2" s="3133"/>
      <c r="F2" s="3133"/>
      <c r="G2" s="3133"/>
      <c r="H2" s="3133"/>
      <c r="I2" s="3134"/>
    </row>
    <row r="3" spans="1:12" ht="12.75">
      <c r="A3" s="3135" t="s">
        <v>2113</v>
      </c>
      <c r="B3" s="3136"/>
      <c r="C3" s="3136"/>
      <c r="D3" s="3136"/>
      <c r="E3" s="3136"/>
      <c r="F3" s="3136"/>
      <c r="G3" s="3136"/>
      <c r="H3" s="3136"/>
      <c r="I3" s="3136"/>
    </row>
    <row r="4" spans="1:12" ht="14.25">
      <c r="A4" s="2421" t="s">
        <v>2114</v>
      </c>
      <c r="B4" s="2422" t="s">
        <v>2115</v>
      </c>
      <c r="C4" s="2423" t="s">
        <v>3065</v>
      </c>
      <c r="D4" s="2423" t="s">
        <v>3062</v>
      </c>
      <c r="E4" s="3116" t="s">
        <v>2116</v>
      </c>
      <c r="F4" s="3129"/>
      <c r="G4" s="3129"/>
      <c r="H4" s="3129"/>
      <c r="I4" s="3117"/>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7" t="s">
        <v>2117</v>
      </c>
      <c r="B5" s="3033">
        <v>25</v>
      </c>
      <c r="C5" s="3137"/>
      <c r="D5" s="3125"/>
      <c r="E5" s="140" t="s">
        <v>2118</v>
      </c>
      <c r="F5" s="2425"/>
      <c r="G5" s="2425"/>
      <c r="H5" s="2425"/>
      <c r="I5" s="1831"/>
    </row>
    <row r="6" spans="1:12" ht="12.75">
      <c r="A6" s="3107"/>
      <c r="B6" s="3033"/>
      <c r="C6" s="3139"/>
      <c r="D6" s="3125"/>
      <c r="E6" s="140" t="s">
        <v>2119</v>
      </c>
      <c r="F6" s="2425"/>
      <c r="G6" s="2425"/>
      <c r="H6" s="2425"/>
      <c r="I6" s="1831"/>
    </row>
    <row r="7" spans="1:12" ht="12.75">
      <c r="A7" s="3107"/>
      <c r="B7" s="3033"/>
      <c r="C7" s="3138"/>
      <c r="D7" s="3125"/>
      <c r="E7" s="140" t="s">
        <v>2120</v>
      </c>
      <c r="F7" s="2425"/>
      <c r="G7" s="2425"/>
      <c r="H7" s="2425"/>
      <c r="I7" s="1831"/>
    </row>
    <row r="8" spans="1:12" ht="12.75">
      <c r="A8" s="3107" t="s">
        <v>2121</v>
      </c>
      <c r="B8" s="3033">
        <v>15</v>
      </c>
      <c r="C8" s="3137"/>
      <c r="D8" s="3125"/>
      <c r="E8" s="140" t="s">
        <v>2122</v>
      </c>
      <c r="F8" s="2425"/>
      <c r="G8" s="2425"/>
      <c r="H8" s="2425"/>
      <c r="I8" s="1831"/>
    </row>
    <row r="9" spans="1:12" ht="12.75">
      <c r="A9" s="3107"/>
      <c r="B9" s="3033"/>
      <c r="C9" s="3138"/>
      <c r="D9" s="3125"/>
      <c r="E9" s="140" t="s">
        <v>2123</v>
      </c>
      <c r="F9" s="2425"/>
      <c r="G9" s="2425"/>
      <c r="H9" s="2425"/>
      <c r="I9" s="1831"/>
    </row>
    <row r="10" spans="1:12" ht="12.75">
      <c r="A10" s="3107" t="s">
        <v>2124</v>
      </c>
      <c r="B10" s="3033">
        <v>15</v>
      </c>
      <c r="C10" s="3137"/>
      <c r="D10" s="3125"/>
      <c r="E10" s="140" t="s">
        <v>2125</v>
      </c>
      <c r="F10" s="2425"/>
      <c r="G10" s="2425"/>
      <c r="H10" s="2425"/>
      <c r="I10" s="1831"/>
    </row>
    <row r="11" spans="1:12" ht="12.75">
      <c r="A11" s="3107"/>
      <c r="B11" s="3033"/>
      <c r="C11" s="3138"/>
      <c r="D11" s="3125"/>
      <c r="E11" s="140" t="s">
        <v>2126</v>
      </c>
      <c r="F11" s="2425"/>
      <c r="G11" s="2425"/>
      <c r="H11" s="2425"/>
      <c r="I11" s="1831"/>
    </row>
    <row r="12" spans="1:12" ht="12.75">
      <c r="A12" s="3107" t="s">
        <v>2127</v>
      </c>
      <c r="B12" s="3033">
        <v>15</v>
      </c>
      <c r="C12" s="3137"/>
      <c r="D12" s="3125"/>
      <c r="E12" s="140" t="s">
        <v>2128</v>
      </c>
      <c r="F12" s="2425"/>
      <c r="G12" s="2425"/>
      <c r="H12" s="2425"/>
      <c r="I12" s="1831"/>
    </row>
    <row r="13" spans="1:12" ht="12.75">
      <c r="A13" s="3107"/>
      <c r="B13" s="3033"/>
      <c r="C13" s="3138"/>
      <c r="D13" s="3125"/>
      <c r="E13" s="140" t="s">
        <v>2129</v>
      </c>
      <c r="F13" s="2425"/>
      <c r="G13" s="2425"/>
      <c r="H13" s="2425"/>
      <c r="I13" s="1831"/>
    </row>
    <row r="14" spans="1:12" ht="12.75">
      <c r="A14" s="3107" t="s">
        <v>2130</v>
      </c>
      <c r="B14" s="3033">
        <v>30</v>
      </c>
      <c r="C14" s="3137">
        <v>5</v>
      </c>
      <c r="D14" s="3125">
        <v>5</v>
      </c>
      <c r="E14" s="140" t="s">
        <v>2131</v>
      </c>
      <c r="F14" s="2425"/>
      <c r="G14" s="2425"/>
      <c r="H14" s="2425"/>
      <c r="I14" s="1831"/>
    </row>
    <row r="15" spans="1:12" ht="12.75">
      <c r="A15" s="3107"/>
      <c r="B15" s="3033"/>
      <c r="C15" s="3139"/>
      <c r="D15" s="3125"/>
      <c r="E15" s="140" t="s">
        <v>2132</v>
      </c>
      <c r="F15" s="2425"/>
      <c r="G15" s="2425"/>
      <c r="H15" s="2425"/>
      <c r="I15" s="1831"/>
    </row>
    <row r="16" spans="1:12" ht="12.75">
      <c r="A16" s="3107"/>
      <c r="B16" s="3033"/>
      <c r="C16" s="3138"/>
      <c r="D16" s="3125"/>
      <c r="E16" s="140" t="s">
        <v>2133</v>
      </c>
      <c r="F16" s="2425"/>
      <c r="G16" s="2425"/>
      <c r="H16" s="2425"/>
      <c r="I16" s="1831"/>
    </row>
    <row r="17" spans="1:35" ht="15">
      <c r="A17" s="2426" t="s">
        <v>2134</v>
      </c>
      <c r="B17" s="64"/>
      <c r="C17" s="141">
        <f>SUM(C5:C16)</f>
        <v>5</v>
      </c>
      <c r="D17" s="141">
        <f>SUM(D5:D16)</f>
        <v>5</v>
      </c>
      <c r="E17" s="138"/>
      <c r="F17" s="138"/>
      <c r="G17" s="138"/>
      <c r="H17" s="138"/>
      <c r="I17" s="138"/>
      <c r="K17" s="2424"/>
      <c r="L17" s="2427" t="s">
        <v>2135</v>
      </c>
      <c r="M17" s="2427" t="s">
        <v>2136</v>
      </c>
    </row>
    <row r="18" spans="1:35" ht="15.75" thickBot="1">
      <c r="A18" s="2428" t="s">
        <v>2137</v>
      </c>
      <c r="B18" s="2429"/>
      <c r="C18" s="142">
        <f>ROUND(C17/SUM(C17:D17),2)</f>
        <v>0.5</v>
      </c>
      <c r="D18" s="142">
        <f>1-C18</f>
        <v>0.5</v>
      </c>
      <c r="E18" s="138"/>
      <c r="F18" s="138"/>
      <c r="G18" s="138"/>
      <c r="H18" s="138"/>
      <c r="I18" s="138"/>
      <c r="K18" s="2424" t="s">
        <v>2138</v>
      </c>
      <c r="L18" s="2424">
        <f>IF(C1="",'数据-汇总表'!E3,SUMIF(项目类型,C1,'数据-汇总表'!E17:E26)+SUMIF(项目类型,C1,'数据-汇总表'!I17:I26))</f>
        <v>8276.64</v>
      </c>
      <c r="M18" s="2424">
        <f>IF(C1="",'数据-汇总表'!E3,SUMIF(项目类型,C1,'数据-汇总表'!E17:E26))</f>
        <v>8276.64</v>
      </c>
    </row>
    <row r="19" spans="1:35" ht="15">
      <c r="A19" s="2430" t="s">
        <v>2139</v>
      </c>
      <c r="B19" s="2431" t="s">
        <v>2140</v>
      </c>
      <c r="C19" s="143">
        <f ca="1">SUMIF(INDIRECT("'"&amp;C4&amp;"'"&amp;"!A:A"),结果表!B19,INDIRECT("'"&amp;C4&amp;"'"&amp;"!B:B"))</f>
        <v>32325</v>
      </c>
      <c r="D19" s="144">
        <f ca="1">SUMIF(INDIRECT("'"&amp;D4&amp;"'"&amp;"!A:A"),结果表!B19,INDIRECT("'"&amp;D4&amp;"'"&amp;"!B:B"))</f>
        <v>25375</v>
      </c>
      <c r="E19" s="2430" t="s">
        <v>2141</v>
      </c>
      <c r="F19" s="2431" t="s">
        <v>2140</v>
      </c>
      <c r="G19" s="145">
        <f ca="1">ROUND(C19*$C$18+D19*$D$18,0)</f>
        <v>28850</v>
      </c>
      <c r="H19" s="2432" t="s">
        <v>2142</v>
      </c>
      <c r="I19" s="138"/>
      <c r="K19" s="2424" t="s">
        <v>2143</v>
      </c>
      <c r="L19" s="2424">
        <f>IF(C1="",'数据-汇总表'!D3,SUMIF(项目类型,C1,'数据-汇总表'!D17:D26)+SUMIF(项目类型,C1,'数据-汇总表'!H17:H27))</f>
        <v>927.85</v>
      </c>
      <c r="M19" s="2424">
        <f>IF(C1="",'数据-汇总表'!D3,SUMIF(项目类型,C1,'数据-汇总表'!D17:D26))</f>
        <v>927.85</v>
      </c>
    </row>
    <row r="20" spans="1:35" ht="15">
      <c r="A20" s="2433"/>
      <c r="B20" s="1247" t="s">
        <v>2144</v>
      </c>
      <c r="C20" s="146">
        <f ca="1">SUMIF(INDIRECT("'"&amp;C4&amp;"'"&amp;"!A:A"),结果表!B20,INDIRECT("'"&amp;C4&amp;"'"&amp;"!B:B"))</f>
        <v>39056</v>
      </c>
      <c r="D20" s="147">
        <f ca="1">SUMIF(INDIRECT("'"&amp;D4&amp;"'"&amp;"!A:A"),结果表!B20,INDIRECT("'"&amp;D4&amp;"'"&amp;"!B:B"))</f>
        <v>30659</v>
      </c>
      <c r="E20" s="2433"/>
      <c r="F20" s="1247" t="s">
        <v>2144</v>
      </c>
      <c r="G20" s="148">
        <f ca="1">ROUND(C20*$C$18+D20*$D$18,0)</f>
        <v>34858</v>
      </c>
      <c r="H20" s="980" t="s">
        <v>2145</v>
      </c>
      <c r="I20" s="138"/>
    </row>
    <row r="21" spans="1:35" ht="15" customHeight="1" thickBot="1">
      <c r="A21" s="1000"/>
      <c r="B21" s="2434" t="s">
        <v>2146</v>
      </c>
      <c r="C21" s="789">
        <f ca="1">ROUND(C19*10000/L19,0)</f>
        <v>348386</v>
      </c>
      <c r="D21" s="790">
        <f ca="1">ROUND(D19*10000/L19,0)</f>
        <v>273482</v>
      </c>
      <c r="E21" s="1000"/>
      <c r="F21" s="2434" t="s">
        <v>2146</v>
      </c>
      <c r="G21" s="149">
        <f ca="1">ROUND(G19*10000/L19,0)</f>
        <v>310934</v>
      </c>
      <c r="H21" s="2435" t="s">
        <v>2145</v>
      </c>
      <c r="I21" s="138"/>
    </row>
    <row r="22" spans="1:35" ht="15" thickBot="1">
      <c r="A22" s="2277" t="s">
        <v>2147</v>
      </c>
      <c r="B22" s="2436"/>
      <c r="C22" s="2437"/>
      <c r="D22" s="791">
        <f ca="1">IF(C19&lt;D19,D19/C19-1,C19/D19-1)</f>
        <v>0.27389162561576352</v>
      </c>
      <c r="E22" s="138"/>
      <c r="F22" s="138"/>
      <c r="G22" s="138"/>
      <c r="H22" s="138"/>
      <c r="I22" s="138"/>
    </row>
    <row r="23" spans="1:35" ht="13.5" thickBot="1">
      <c r="A23" s="2414"/>
      <c r="B23" s="2414"/>
      <c r="C23" s="2414"/>
      <c r="D23" s="2414"/>
      <c r="E23" s="138"/>
      <c r="F23" s="138"/>
      <c r="G23" s="138"/>
      <c r="H23" s="138"/>
      <c r="I23" s="138"/>
    </row>
    <row r="24" spans="1:35" ht="14.25">
      <c r="A24" s="3146" t="s">
        <v>2148</v>
      </c>
      <c r="B24" s="2431" t="s">
        <v>2140</v>
      </c>
      <c r="C24" s="145">
        <f>IF(B30=0,0,D30)</f>
        <v>0</v>
      </c>
      <c r="D24" s="2438"/>
      <c r="E24" s="138"/>
      <c r="F24" s="138"/>
      <c r="G24" s="138"/>
      <c r="H24" s="138"/>
      <c r="I24" s="138"/>
    </row>
    <row r="25" spans="1:35" ht="14.25">
      <c r="A25" s="3147"/>
      <c r="B25" s="1247" t="s">
        <v>2144</v>
      </c>
      <c r="C25" s="150">
        <f>IF(B30=0,0,C30)</f>
        <v>0</v>
      </c>
      <c r="D25" s="2439"/>
      <c r="E25" s="138"/>
      <c r="F25" s="138"/>
      <c r="G25" s="138"/>
      <c r="H25" s="138"/>
      <c r="I25" s="138"/>
    </row>
    <row r="26" spans="1:35" ht="13.5" customHeight="1">
      <c r="A26" s="2440" t="s">
        <v>2149</v>
      </c>
      <c r="B26" s="151" t="s">
        <v>2150</v>
      </c>
      <c r="C26" s="151" t="s">
        <v>2151</v>
      </c>
      <c r="D26" s="152" t="s">
        <v>2152</v>
      </c>
      <c r="E26" s="138"/>
      <c r="F26" s="138"/>
      <c r="G26" s="138"/>
      <c r="H26" s="138"/>
      <c r="I26" s="138"/>
    </row>
    <row r="27" spans="1:35" ht="14.25">
      <c r="A27" s="2440"/>
      <c r="B27" s="151">
        <v>0</v>
      </c>
      <c r="C27" s="151">
        <v>0</v>
      </c>
      <c r="D27" s="152">
        <f>ROUND(C27*B27/10000,0)</f>
        <v>0</v>
      </c>
      <c r="E27" s="138"/>
      <c r="F27" s="138"/>
      <c r="G27" s="138"/>
      <c r="H27" s="138"/>
      <c r="I27" s="138"/>
      <c r="L27" s="795">
        <f ca="1">G19-28831</f>
        <v>19</v>
      </c>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2153</v>
      </c>
      <c r="B30" s="151"/>
      <c r="C30" s="151"/>
      <c r="D30" s="151"/>
      <c r="E30" s="2913" t="s">
        <v>3026</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2154</v>
      </c>
      <c r="B32" s="2444"/>
      <c r="C32" s="153">
        <f ca="1">IF(D32="总价",G19-C24,G20-C25)</f>
        <v>28850</v>
      </c>
      <c r="D32" s="2445" t="s">
        <v>2155</v>
      </c>
      <c r="E32" s="138"/>
      <c r="F32" s="138"/>
      <c r="G32" s="138"/>
      <c r="H32" s="138"/>
      <c r="I32" s="138"/>
    </row>
    <row r="33" spans="1:15" ht="15">
      <c r="A33" s="957" t="s">
        <v>2156</v>
      </c>
      <c r="B33" s="2446"/>
      <c r="C33" s="2447" t="s">
        <v>3066</v>
      </c>
      <c r="D33" s="2448" t="s">
        <v>3065</v>
      </c>
      <c r="E33" s="2449" t="s">
        <v>2157</v>
      </c>
      <c r="F33" s="2450" t="str">
        <f>IF(D32="楼面单价","取值（单价）","取值（总价）")</f>
        <v>取值（总价）</v>
      </c>
      <c r="G33" s="138"/>
      <c r="H33" s="138"/>
      <c r="I33" s="138"/>
    </row>
    <row r="34" spans="1:15" ht="15">
      <c r="A34" s="2451"/>
      <c r="B34" s="2452" t="s">
        <v>2158</v>
      </c>
      <c r="C34" s="157">
        <f ca="1">IF(C33="自定义",F34,C32-C35)</f>
        <v>26427</v>
      </c>
      <c r="D34" s="1055">
        <f ca="1">IF(C33="自定义",ROUND(C34/C32,3),IF(C33="收益比率",SUMIF(INDIRECT("'"&amp;D33&amp;"'"&amp;"!b:b"),"土地收益比率",INDIRECT("'"&amp;D33&amp;"'"&amp;"!c:c")),SUMIF(INDIRECT("'"&amp;D33&amp;"'"&amp;"!b:b"),"土地成本比率",INDIRECT("'"&amp;D33&amp;"'"&amp;"!c:c"))))</f>
        <v>0.91600000000000004</v>
      </c>
      <c r="E34" s="2453" t="s">
        <v>2159</v>
      </c>
      <c r="F34" s="1736"/>
      <c r="G34" s="138"/>
      <c r="H34" s="138"/>
      <c r="I34" s="138"/>
    </row>
    <row r="35" spans="1:15" ht="15.75" thickBot="1">
      <c r="A35" s="2454"/>
      <c r="B35" s="2455" t="s">
        <v>2160</v>
      </c>
      <c r="C35" s="1441">
        <f ca="1">IF(C33="自定义",F35,ROUND(C32*D35,0))</f>
        <v>2423</v>
      </c>
      <c r="D35" s="1442">
        <f ca="1">IF(C33="自定义",ROUND(C35/C32,3),IF(C33="收益比率",SUMIF(INDIRECT("'"&amp;D33&amp;"'"&amp;"!b:b"),"建筑物收益比率",INDIRECT("'"&amp;D33&amp;"'"&amp;"!c:c")),SUMIF(INDIRECT("'"&amp;D33&amp;"'"&amp;"!b:b"),"建筑物成本比率",INDIRECT("'"&amp;D33&amp;"'"&amp;"!c:c"))))</f>
        <v>8.4000000000000005E-2</v>
      </c>
      <c r="E35" s="2456" t="s">
        <v>2161</v>
      </c>
      <c r="F35" s="163"/>
      <c r="G35" s="138"/>
      <c r="H35" s="138"/>
      <c r="I35" s="138"/>
    </row>
    <row r="36" spans="1:15" ht="15.75" thickBot="1">
      <c r="A36" s="3126" t="s">
        <v>2162</v>
      </c>
      <c r="B36" s="2457" t="s">
        <v>2163</v>
      </c>
      <c r="C36" s="154"/>
      <c r="D36" s="2458"/>
      <c r="E36" s="2459"/>
      <c r="F36" s="2460"/>
      <c r="G36" s="138"/>
      <c r="H36" s="138"/>
      <c r="I36" s="138"/>
    </row>
    <row r="37" spans="1:15" ht="15.75" thickBot="1">
      <c r="A37" s="3127"/>
      <c r="B37" s="2263" t="s">
        <v>2164</v>
      </c>
      <c r="C37" s="156"/>
      <c r="D37" s="1392"/>
      <c r="E37" s="1392"/>
      <c r="F37" s="2460"/>
      <c r="G37" s="138"/>
      <c r="H37" s="138"/>
      <c r="I37" s="138"/>
    </row>
    <row r="38" spans="1:15" ht="15.75" thickBot="1">
      <c r="A38" s="3128"/>
      <c r="B38" s="2461" t="s">
        <v>2165</v>
      </c>
      <c r="C38" s="727"/>
      <c r="D38" s="2462" t="s">
        <v>2166</v>
      </c>
      <c r="E38" s="1392"/>
      <c r="F38" s="2460"/>
      <c r="G38" s="138"/>
      <c r="H38" s="138"/>
      <c r="I38" s="138"/>
    </row>
    <row r="39" spans="1:15" ht="15">
      <c r="A39" s="2433" t="s">
        <v>2167</v>
      </c>
      <c r="B39" s="2463" t="s">
        <v>2168</v>
      </c>
      <c r="C39" s="2464" t="s">
        <v>2169</v>
      </c>
      <c r="D39" s="2464" t="s">
        <v>2170</v>
      </c>
      <c r="E39" s="2465" t="s">
        <v>2171</v>
      </c>
      <c r="F39" s="2460"/>
      <c r="G39" s="138"/>
      <c r="H39" s="138"/>
      <c r="I39" s="138"/>
    </row>
    <row r="40" spans="1:15" ht="14.25">
      <c r="A40" s="2466" t="s">
        <v>2172</v>
      </c>
      <c r="B40" s="158"/>
      <c r="C40" s="159"/>
      <c r="D40" s="159"/>
      <c r="E40" s="160"/>
      <c r="F40" s="2460"/>
      <c r="G40" s="138"/>
      <c r="H40" s="138"/>
      <c r="I40" s="138"/>
    </row>
    <row r="41" spans="1:15" ht="14.25">
      <c r="A41" s="2466" t="s">
        <v>2173</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2"/>
      <c r="B43" s="2162"/>
      <c r="C43" s="2162"/>
      <c r="D43" s="2162"/>
      <c r="E43" s="2162"/>
      <c r="F43" s="2468"/>
      <c r="G43" s="2468"/>
      <c r="H43" s="2468"/>
      <c r="I43" s="2469"/>
    </row>
    <row r="44" spans="1:15" ht="18.75">
      <c r="A44" s="2470" t="s">
        <v>2174</v>
      </c>
      <c r="B44" s="2471"/>
      <c r="C44" s="2471"/>
      <c r="D44" s="2472"/>
      <c r="E44" s="2472"/>
      <c r="F44" s="2473"/>
      <c r="G44" s="2473"/>
      <c r="H44" s="2473"/>
      <c r="I44" s="2473"/>
      <c r="J44" s="2474" t="s">
        <v>2175</v>
      </c>
      <c r="K44" s="2475"/>
      <c r="L44" s="2475"/>
      <c r="M44" s="2475"/>
      <c r="N44" s="2475"/>
      <c r="O44" s="2475"/>
    </row>
    <row r="45" spans="1:15" ht="14.25" customHeight="1" thickBot="1">
      <c r="A45" s="3143" t="s">
        <v>2176</v>
      </c>
      <c r="B45" s="3144"/>
      <c r="C45" s="3145"/>
      <c r="D45" s="164">
        <f ca="1">ROUND(H101*F45,0)</f>
        <v>28850</v>
      </c>
      <c r="E45" s="165" t="s">
        <v>2177</v>
      </c>
      <c r="F45" s="166">
        <v>1</v>
      </c>
      <c r="G45" s="167" t="s">
        <v>2178</v>
      </c>
      <c r="H45" s="138"/>
      <c r="I45" s="138"/>
      <c r="J45" s="3062" t="s">
        <v>2179</v>
      </c>
      <c r="K45" s="3062"/>
      <c r="L45" s="3062"/>
      <c r="M45" s="3062"/>
      <c r="N45" s="3062"/>
      <c r="O45" s="3062"/>
    </row>
    <row r="46" spans="1:15" ht="14.25" customHeight="1">
      <c r="A46" s="3140" t="s">
        <v>2180</v>
      </c>
      <c r="B46" s="3141"/>
      <c r="C46" s="3141"/>
      <c r="D46" s="3141"/>
      <c r="E46" s="3141"/>
      <c r="F46" s="3141"/>
      <c r="G46" s="3142"/>
      <c r="H46" s="2476"/>
      <c r="I46" s="168"/>
      <c r="J46" s="1809">
        <v>1</v>
      </c>
      <c r="K46" s="3062" t="s">
        <v>2181</v>
      </c>
      <c r="L46" s="3062"/>
      <c r="M46" s="3063"/>
      <c r="N46" s="3063"/>
      <c r="O46" s="3063"/>
    </row>
    <row r="47" spans="1:15" ht="12" customHeight="1">
      <c r="A47" s="169" t="s">
        <v>2182</v>
      </c>
      <c r="B47" s="170"/>
      <c r="C47" s="171"/>
      <c r="D47" s="172" t="s">
        <v>2183</v>
      </c>
      <c r="E47" s="24" t="s">
        <v>2184</v>
      </c>
      <c r="F47" s="173" t="s">
        <v>2185</v>
      </c>
      <c r="G47" s="174" t="s">
        <v>2186</v>
      </c>
      <c r="H47" s="2476"/>
      <c r="I47" s="168"/>
      <c r="J47" s="1809">
        <v>2</v>
      </c>
      <c r="K47" s="3062" t="s">
        <v>2187</v>
      </c>
      <c r="L47" s="3062"/>
      <c r="M47" s="3064">
        <f>'数据-取费表'!B2</f>
        <v>43822</v>
      </c>
      <c r="N47" s="3064"/>
      <c r="O47" s="3064"/>
    </row>
    <row r="48" spans="1:15" ht="25.5">
      <c r="A48" s="3130" t="s">
        <v>2188</v>
      </c>
      <c r="B48" s="3131"/>
      <c r="C48" s="3131"/>
      <c r="D48" s="140">
        <f>IF(H48="情况1",0,IF(H48="情况2",D52,IF(H48="情况3",D53,IF(H48="情况4",D54))))</f>
        <v>0</v>
      </c>
      <c r="E48" s="1798" t="str">
        <f>IF(H48="情况4","(销售额-原购置价)×税（费）率","销售额×税（费）率")</f>
        <v>销售额×税（费）率</v>
      </c>
      <c r="F48" s="175" t="str">
        <f>IF(H48="情况1","免征",'数据-取费表'!B41)</f>
        <v>免征</v>
      </c>
      <c r="G48" s="2477" t="s">
        <v>2189</v>
      </c>
      <c r="H48" s="2478" t="s">
        <v>2190</v>
      </c>
      <c r="I48" s="2476"/>
      <c r="J48" s="1809">
        <v>3</v>
      </c>
      <c r="K48" s="3062" t="s">
        <v>2191</v>
      </c>
      <c r="L48" s="3062"/>
      <c r="M48" s="3065">
        <f ca="1">H101</f>
        <v>28850</v>
      </c>
      <c r="N48" s="3065"/>
      <c r="O48" s="3065"/>
    </row>
    <row r="49" spans="1:35" ht="25.5" customHeight="1">
      <c r="A49" s="176" t="s">
        <v>2192</v>
      </c>
      <c r="B49" s="3110" t="s">
        <v>2193</v>
      </c>
      <c r="C49" s="3110"/>
      <c r="D49" s="177">
        <v>0</v>
      </c>
      <c r="E49" s="23" t="s">
        <v>2194</v>
      </c>
      <c r="F49" s="28" t="s">
        <v>34</v>
      </c>
      <c r="G49" s="3091"/>
      <c r="H49" s="138"/>
      <c r="I49" s="2479"/>
      <c r="J49" s="1809">
        <v>4</v>
      </c>
      <c r="K49" s="3062" t="str">
        <f>IF(项目基本情况!E8="房地产抵押价值","房地产抵押价值","抵押担保权已注销时的房地产抵押价值")</f>
        <v>房地产抵押价值</v>
      </c>
      <c r="L49" s="3062"/>
      <c r="M49" s="3065">
        <f ca="1">IF(项目基本情况!E8="房地产抵押价值",H107,H109)</f>
        <v>28850</v>
      </c>
      <c r="N49" s="3065"/>
      <c r="O49" s="3065"/>
    </row>
    <row r="50" spans="1:35" ht="25.5" customHeight="1">
      <c r="A50" s="178"/>
      <c r="B50" s="3110" t="s">
        <v>2195</v>
      </c>
      <c r="C50" s="3110"/>
      <c r="D50" s="179"/>
      <c r="E50" s="31"/>
      <c r="F50" s="180"/>
      <c r="G50" s="3092"/>
      <c r="H50" s="138"/>
      <c r="I50" s="2479"/>
      <c r="J50" s="3062" t="s">
        <v>2196</v>
      </c>
      <c r="K50" s="3062"/>
      <c r="L50" s="3062"/>
      <c r="M50" s="3062"/>
      <c r="N50" s="3062"/>
      <c r="O50" s="3062"/>
    </row>
    <row r="51" spans="1:35" ht="12" customHeight="1">
      <c r="A51" s="181"/>
      <c r="B51" s="3110" t="s">
        <v>2197</v>
      </c>
      <c r="C51" s="3110"/>
      <c r="D51" s="182"/>
      <c r="E51" s="30"/>
      <c r="F51" s="180"/>
      <c r="G51" s="3093"/>
      <c r="H51" s="138"/>
      <c r="I51" s="2479"/>
      <c r="J51" s="2480" t="s">
        <v>2198</v>
      </c>
      <c r="K51" s="3062" t="s">
        <v>2199</v>
      </c>
      <c r="L51" s="3062"/>
      <c r="M51" s="2480" t="s">
        <v>2200</v>
      </c>
      <c r="N51" s="2480" t="s">
        <v>2201</v>
      </c>
      <c r="O51" s="2480" t="s">
        <v>2202</v>
      </c>
    </row>
    <row r="52" spans="1:35" ht="24" customHeight="1">
      <c r="A52" s="183" t="s">
        <v>2203</v>
      </c>
      <c r="B52" s="3110" t="s">
        <v>2204</v>
      </c>
      <c r="C52" s="3110"/>
      <c r="D52" s="182">
        <f ca="1">ROUND(D45*'数据-取费表'!B41/(1+'数据-取费表'!C42),0)</f>
        <v>1539</v>
      </c>
      <c r="E52" s="11" t="s">
        <v>2205</v>
      </c>
      <c r="F52" s="184">
        <f>'数据-取费表'!B41</f>
        <v>5.6000000000000001E-2</v>
      </c>
      <c r="G52" s="2481"/>
      <c r="H52" s="138"/>
      <c r="I52" s="2479"/>
      <c r="J52" s="1809">
        <v>1</v>
      </c>
      <c r="K52" s="3085" t="s">
        <v>2206</v>
      </c>
      <c r="L52" s="3085"/>
      <c r="M52" s="1751">
        <f>D48</f>
        <v>0</v>
      </c>
      <c r="N52" s="1809" t="str">
        <f>E48</f>
        <v>销售额×税（费）率</v>
      </c>
      <c r="O52" s="1752" t="str">
        <f>F48</f>
        <v>免征</v>
      </c>
    </row>
    <row r="53" spans="1:35" ht="12" customHeight="1">
      <c r="A53" s="183" t="s">
        <v>2207</v>
      </c>
      <c r="B53" s="3111" t="s">
        <v>2208</v>
      </c>
      <c r="C53" s="3112"/>
      <c r="D53" s="182">
        <f ca="1">ROUND(D45*'数据-取费表'!B41/(1+'数据-取费表'!C42),0)</f>
        <v>1539</v>
      </c>
      <c r="E53" s="11" t="s">
        <v>2205</v>
      </c>
      <c r="F53" s="184">
        <f>'数据-取费表'!B41</f>
        <v>5.6000000000000001E-2</v>
      </c>
      <c r="G53" s="2481"/>
      <c r="H53" s="138"/>
      <c r="I53" s="2479"/>
      <c r="J53" s="1809">
        <v>2</v>
      </c>
      <c r="K53" s="3085" t="s">
        <v>2209</v>
      </c>
      <c r="L53" s="3085"/>
      <c r="M53" s="1751">
        <f t="shared" ref="M53:O54" ca="1" si="0">D55</f>
        <v>14</v>
      </c>
      <c r="N53" s="1809" t="str">
        <f t="shared" si="0"/>
        <v>销售额×税（费）率</v>
      </c>
      <c r="O53" s="1752">
        <f t="shared" si="0"/>
        <v>5.0000000000000001E-4</v>
      </c>
    </row>
    <row r="54" spans="1:35" ht="12" customHeight="1">
      <c r="A54" s="183" t="s">
        <v>2210</v>
      </c>
      <c r="B54" s="3111" t="s">
        <v>2211</v>
      </c>
      <c r="C54" s="3112"/>
      <c r="D54" s="182">
        <f ca="1">C68</f>
        <v>1539</v>
      </c>
      <c r="E54" s="30" t="s">
        <v>2212</v>
      </c>
      <c r="F54" s="184">
        <f>'数据-取费表'!B41</f>
        <v>5.6000000000000001E-2</v>
      </c>
      <c r="G54" s="2481"/>
      <c r="H54" s="2482"/>
      <c r="I54" s="2479"/>
      <c r="J54" s="1809">
        <v>3</v>
      </c>
      <c r="K54" s="3085" t="s">
        <v>2213</v>
      </c>
      <c r="L54" s="3085"/>
      <c r="M54" s="1751">
        <f t="shared" ca="1" si="0"/>
        <v>16329</v>
      </c>
      <c r="N54" s="1809" t="str">
        <f t="shared" si="0"/>
        <v>增值额×税（费）率</v>
      </c>
      <c r="O54" s="1753" t="str">
        <f t="shared" si="0"/>
        <v>——</v>
      </c>
    </row>
    <row r="55" spans="1:35" ht="24" customHeight="1">
      <c r="A55" s="3149" t="s">
        <v>2214</v>
      </c>
      <c r="B55" s="3131"/>
      <c r="C55" s="3131"/>
      <c r="D55" s="185">
        <f ca="1">IF(H55="个人住宅",0,ROUND(D45*I55,0))</f>
        <v>14</v>
      </c>
      <c r="E55" s="11" t="s">
        <v>2215</v>
      </c>
      <c r="F55" s="184">
        <f>IF(H55="正常",I55,"免征")</f>
        <v>5.0000000000000001E-4</v>
      </c>
      <c r="G55" s="2481"/>
      <c r="H55" s="2478" t="s">
        <v>2216</v>
      </c>
      <c r="I55" s="186">
        <f>'数据-取费表'!B49</f>
        <v>5.0000000000000001E-4</v>
      </c>
      <c r="J55" s="1809" t="str">
        <f>IF(H59="非个人房产","",4)</f>
        <v/>
      </c>
      <c r="K55" s="3085" t="str">
        <f>IF(H59="非个人房产","——","个人所得税")</f>
        <v>——</v>
      </c>
      <c r="L55" s="3085"/>
      <c r="M55" s="1754" t="str">
        <f>D59</f>
        <v>——</v>
      </c>
      <c r="N55" s="1807" t="str">
        <f>E59</f>
        <v>——</v>
      </c>
      <c r="O55" s="1755" t="str">
        <f>F59</f>
        <v>——</v>
      </c>
    </row>
    <row r="56" spans="1:35" ht="24.75">
      <c r="A56" s="3149" t="s">
        <v>2217</v>
      </c>
      <c r="B56" s="3131"/>
      <c r="C56" s="3131"/>
      <c r="D56" s="185">
        <f ca="1">IF(H56="个人住宅",D57,D58)</f>
        <v>16329</v>
      </c>
      <c r="E56" s="11" t="s">
        <v>2218</v>
      </c>
      <c r="F56" s="184" t="str">
        <f>IF(H56="正常",F58,"免征")</f>
        <v>——</v>
      </c>
      <c r="G56" s="2483" t="s">
        <v>2219</v>
      </c>
      <c r="H56" s="2484" t="s">
        <v>2216</v>
      </c>
      <c r="I56" s="2485"/>
      <c r="J56" s="1809" t="str">
        <f>IF(项目基本情况!K6="上海银行",IF(J55="",4,J55+1),"")</f>
        <v/>
      </c>
      <c r="K56" s="3068" t="str">
        <f>IF(项目基本情况!K6="上海银行","其他处置费用","")</f>
        <v/>
      </c>
      <c r="L56" s="3069"/>
      <c r="M56" s="1751" t="str">
        <f>IF(项目基本情况!K6="上海银行",M69,"")</f>
        <v/>
      </c>
      <c r="N56" s="3071" t="str">
        <f>IF(项目基本情况!K6="上海银行","包含处置中涉及的律师、诉讼、拍卖、评估等费用","")</f>
        <v/>
      </c>
      <c r="O56" s="3072"/>
    </row>
    <row r="57" spans="1:35" ht="12.75">
      <c r="A57" s="183" t="s">
        <v>2192</v>
      </c>
      <c r="B57" s="3116" t="s">
        <v>2220</v>
      </c>
      <c r="C57" s="3117"/>
      <c r="D57" s="187">
        <v>0</v>
      </c>
      <c r="E57" s="23" t="s">
        <v>2194</v>
      </c>
      <c r="F57" s="155"/>
      <c r="G57" s="2481"/>
      <c r="H57" s="2485"/>
      <c r="I57" s="2485"/>
      <c r="J57" s="3085">
        <f>IF(AND(J55="",J56=""),4,IF(项目基本情况!K6="上海银行",结果表!J56+1,结果表!J55+1))</f>
        <v>4</v>
      </c>
      <c r="K57" s="3085" t="s">
        <v>2221</v>
      </c>
      <c r="L57" s="2486" t="s">
        <v>2222</v>
      </c>
      <c r="M57" s="1756"/>
      <c r="N57" s="1757">
        <f ca="1">SUMIF(M52:M56,"&lt;9e307")</f>
        <v>16343</v>
      </c>
      <c r="O57" s="2487"/>
      <c r="P57" s="1750">
        <f ca="1">N57/M49</f>
        <v>0.56648180242634316</v>
      </c>
    </row>
    <row r="58" spans="1:35" ht="24.75">
      <c r="A58" s="183" t="s">
        <v>2203</v>
      </c>
      <c r="B58" s="3116" t="s">
        <v>2223</v>
      </c>
      <c r="C58" s="3129"/>
      <c r="D58" s="185">
        <f ca="1">IF(H58="转让取得",C81,C97)</f>
        <v>16329</v>
      </c>
      <c r="E58" s="11" t="s">
        <v>2218</v>
      </c>
      <c r="F58" s="24" t="s">
        <v>34</v>
      </c>
      <c r="G58" s="2481"/>
      <c r="H58" s="2484" t="s">
        <v>2224</v>
      </c>
      <c r="I58" s="2485"/>
      <c r="J58" s="3085"/>
      <c r="K58" s="3085"/>
      <c r="L58" s="2486" t="s">
        <v>2225</v>
      </c>
      <c r="M58" s="1758"/>
      <c r="N58" s="2488" t="str">
        <f ca="1">NUMBERSTRING(INT(N57*10000),2)&amp;"元整"</f>
        <v>壹亿陆仟叁佰肆拾叁万元整</v>
      </c>
      <c r="O58" s="2489"/>
    </row>
    <row r="59" spans="1:35" ht="24.75" thickBot="1">
      <c r="A59" s="3089" t="s">
        <v>2226</v>
      </c>
      <c r="B59" s="3090"/>
      <c r="C59" s="3090"/>
      <c r="D59" s="188" t="str">
        <f>IF(H59="非个人房产","——",IF(H59="个人住宅",0,ROUND(D45*I59,0)))</f>
        <v>——</v>
      </c>
      <c r="E59" s="189" t="str">
        <f>IF(H59="非个人房产","——","销售额×税（费）率")</f>
        <v>——</v>
      </c>
      <c r="F59" s="190" t="str">
        <f>IF(H59="非个人房产","——",IF(H59="个人住宅","免征",I59))</f>
        <v>——</v>
      </c>
      <c r="G59" s="2490" t="s">
        <v>2219</v>
      </c>
      <c r="H59" s="2484" t="s">
        <v>2227</v>
      </c>
      <c r="I59" s="191">
        <v>0.01</v>
      </c>
      <c r="J59" s="3087">
        <f>J57+1</f>
        <v>5</v>
      </c>
      <c r="K59" s="3085" t="s">
        <v>2228</v>
      </c>
      <c r="L59" s="1809" t="s">
        <v>2222</v>
      </c>
      <c r="M59" s="1759"/>
      <c r="N59" s="1760">
        <f ca="1">M49-N57</f>
        <v>12507</v>
      </c>
      <c r="O59" s="2491"/>
    </row>
    <row r="60" spans="1:35" ht="12" customHeight="1">
      <c r="A60" s="2492"/>
      <c r="B60" s="2414"/>
      <c r="C60" s="2414"/>
      <c r="D60" s="2414"/>
      <c r="E60" s="2163"/>
      <c r="F60" s="2485"/>
      <c r="G60" s="2485"/>
      <c r="H60" s="2493"/>
      <c r="I60" s="138"/>
      <c r="J60" s="3088"/>
      <c r="K60" s="3085"/>
      <c r="L60" s="2486" t="s">
        <v>2225</v>
      </c>
      <c r="M60" s="1758"/>
      <c r="N60" s="2488" t="str">
        <f ca="1">NUMBERSTRING(INT(N59*10000),2)&amp;"元整"</f>
        <v>壹亿贰仟伍佰零柒万元整</v>
      </c>
      <c r="O60" s="2489"/>
    </row>
    <row r="61" spans="1:35" ht="13.5" thickBot="1">
      <c r="A61" s="3148" t="s">
        <v>2229</v>
      </c>
      <c r="B61" s="3148"/>
      <c r="C61" s="3148"/>
      <c r="D61" s="3148"/>
      <c r="E61" s="3148"/>
      <c r="F61" s="2485"/>
      <c r="G61" s="2485"/>
      <c r="H61" s="2493"/>
      <c r="I61" s="138"/>
      <c r="J61" s="1809">
        <f>J59+1</f>
        <v>6</v>
      </c>
      <c r="K61" s="3085" t="s">
        <v>2230</v>
      </c>
      <c r="L61" s="3085"/>
      <c r="M61" s="1761"/>
      <c r="N61" s="1762">
        <f ca="1">ROUND(N59*10000/'数据-汇总表'!E3,0)</f>
        <v>15111</v>
      </c>
      <c r="O61" s="2494"/>
    </row>
    <row r="62" spans="1:35" ht="12.75">
      <c r="A62" s="3105" t="s">
        <v>2231</v>
      </c>
      <c r="B62" s="3106"/>
      <c r="C62" s="1801"/>
      <c r="D62" s="1801" t="s">
        <v>2232</v>
      </c>
      <c r="E62" s="192" t="s">
        <v>2233</v>
      </c>
      <c r="F62" s="2485"/>
      <c r="G62" s="2485"/>
      <c r="H62" s="2493"/>
      <c r="I62" s="138"/>
    </row>
    <row r="63" spans="1:35" ht="12.75">
      <c r="A63" s="203" t="s">
        <v>775</v>
      </c>
      <c r="B63" s="193" t="s">
        <v>2234</v>
      </c>
      <c r="C63" s="194">
        <f ca="1">ROUND((C64+C65)/(1+'数据-取费表'!C42),0)</f>
        <v>27476</v>
      </c>
      <c r="D63" s="195"/>
      <c r="E63" s="196"/>
      <c r="F63" s="2485"/>
      <c r="G63" s="2485"/>
      <c r="H63" s="2493"/>
      <c r="I63" s="138"/>
      <c r="J63" s="3070" t="s">
        <v>2235</v>
      </c>
      <c r="K63" s="2495" t="s">
        <v>2236</v>
      </c>
      <c r="L63" s="1749">
        <f ca="1">IF(M49&gt;10000,M49*0.5%,IF(AND(M49&gt;1000,M49&lt;=10000),M49*1%,IF(AND(M49&gt;100,M49&lt;=1000),M49*3%,IF(AND(M49&gt;10,M49&lt;=100),M49*5%,M49*8%))))</f>
        <v>144.25</v>
      </c>
      <c r="M63" s="24">
        <f ca="1">ROUND(L63,1)</f>
        <v>144.30000000000001</v>
      </c>
      <c r="Z63" s="2419"/>
      <c r="AI63" s="2420"/>
    </row>
    <row r="64" spans="1:35" ht="14.25" customHeight="1">
      <c r="A64" s="197" t="s">
        <v>770</v>
      </c>
      <c r="B64" s="198" t="s">
        <v>2237</v>
      </c>
      <c r="C64" s="199">
        <f ca="1">D45</f>
        <v>28850</v>
      </c>
      <c r="D64" s="200" t="s">
        <v>32</v>
      </c>
      <c r="E64" s="201"/>
      <c r="F64" s="2485"/>
      <c r="G64" s="2485"/>
      <c r="H64" s="2493"/>
      <c r="I64" s="138"/>
      <c r="J64" s="3070"/>
      <c r="K64" s="2495" t="s">
        <v>2238</v>
      </c>
      <c r="L64" s="1749">
        <f ca="1">IF(M49&gt;2000,M49*0.5%,IF(AND(M49&gt;1000,M49&lt;=2000),M49*0.6%,IF(AND(M49&gt;500,M49&lt;=1000),M49*0.7%,IF(AND(M49&gt;200,M49&lt;=500),M49*0.8%,IF(AND(M49&gt;100,M49&lt;=200),M49*0.9%,IF(AND(M49&gt;50,M49&lt;=100),M49*1%,IF(AND(M49&gt;20,M49&lt;=50),M49*1.5%,IF(AND(M49&gt;10,M49&lt;=20),M49*2%,IF(AND(M49&gt;1,M49&lt;=10),M49*2.5%)))))))))</f>
        <v>144.25</v>
      </c>
      <c r="M64" s="24">
        <f t="shared" ref="M64:M65" ca="1" si="1">ROUND(L64,1)</f>
        <v>144.30000000000001</v>
      </c>
      <c r="N64" s="138" t="s">
        <v>2239</v>
      </c>
      <c r="Z64" s="2419"/>
      <c r="AI64" s="2420"/>
    </row>
    <row r="65" spans="1:35" ht="14.25" customHeight="1">
      <c r="A65" s="197" t="s">
        <v>771</v>
      </c>
      <c r="B65" s="198" t="s">
        <v>2240</v>
      </c>
      <c r="C65" s="202"/>
      <c r="D65" s="200"/>
      <c r="E65" s="201"/>
      <c r="F65" s="2485"/>
      <c r="G65" s="2485"/>
      <c r="H65" s="2493"/>
      <c r="I65" s="138"/>
      <c r="J65" s="3070"/>
      <c r="K65" s="2495" t="s">
        <v>2241</v>
      </c>
      <c r="L65" s="1749">
        <f ca="1">IF(M49&gt;1000,M49*0.1%,IF(AND(M49&gt;500,M49&lt;=1000),M49*0.5%,IF(AND(M49&gt;50,M49&lt;=500),M49*1%,IF(AND(M49&gt;1,M49&lt;=50),M49*1.5%))))</f>
        <v>28.85</v>
      </c>
      <c r="M65" s="24">
        <f t="shared" ca="1" si="1"/>
        <v>28.9</v>
      </c>
      <c r="N65" s="138" t="s">
        <v>2239</v>
      </c>
      <c r="Z65" s="2419"/>
      <c r="AI65" s="2420"/>
    </row>
    <row r="66" spans="1:35" ht="14.25" customHeight="1">
      <c r="A66" s="203" t="s">
        <v>772</v>
      </c>
      <c r="B66" s="204" t="s">
        <v>2242</v>
      </c>
      <c r="C66" s="205"/>
      <c r="D66" s="206" t="s">
        <v>32</v>
      </c>
      <c r="E66" s="1773" t="s">
        <v>1367</v>
      </c>
      <c r="F66" s="2485"/>
      <c r="G66" s="2485"/>
      <c r="H66" s="2493"/>
      <c r="I66" s="138"/>
      <c r="J66" s="3070"/>
      <c r="K66" s="2495" t="s">
        <v>2243</v>
      </c>
      <c r="L66" s="1749">
        <f ca="1">M49*0.5%</f>
        <v>144.25</v>
      </c>
      <c r="M66" s="24">
        <f ca="1">IF(L66&gt;0.5,0.5,ROUND(L66,0))</f>
        <v>0.5</v>
      </c>
      <c r="N66" s="138" t="s">
        <v>2244</v>
      </c>
      <c r="Z66" s="2419"/>
      <c r="AI66" s="2420"/>
    </row>
    <row r="67" spans="1:35" ht="14.25" customHeight="1">
      <c r="A67" s="203" t="s">
        <v>773</v>
      </c>
      <c r="B67" s="204" t="s">
        <v>2245</v>
      </c>
      <c r="C67" s="207">
        <f ca="1">C63-C66</f>
        <v>27476</v>
      </c>
      <c r="D67" s="200" t="s">
        <v>32</v>
      </c>
      <c r="E67" s="201"/>
      <c r="F67" s="2485"/>
      <c r="G67" s="2485"/>
      <c r="H67" s="2493"/>
      <c r="I67" s="138"/>
      <c r="J67" s="3070"/>
      <c r="K67" s="2495" t="s">
        <v>2246</v>
      </c>
      <c r="L67" s="1749">
        <f ca="1">IF(M49&gt;=10000,(8.25+(M49-10000)*0.01%),IF(AND(M49&gt;=8000,M49&lt;10000),(7.85+(M49-8000)*0.02%),IF(AND(M49&gt;=5000,M49&lt;8000),(6.65+(M49-5000)*0.04%),IF(AND(M49&gt;=2000,M49&lt;5000),(4.25+(PM49-2000)*0.08%),IF(AND(M49&gt;=1000,M49&lt;2000),(2.75+(M49-1000)*0.15%),IF(AND(M49&gt;=100,M49&lt;1000),(0.5+(M49-100)*0.25%),IF(AND(M49&gt;0,M49&lt;100),M49*0.5%)))))))</f>
        <v>10.135</v>
      </c>
      <c r="M67" s="24">
        <f ca="1">ROUND(L67*0.9,1)</f>
        <v>9.1</v>
      </c>
      <c r="Z67" s="2419"/>
      <c r="AI67" s="2420"/>
    </row>
    <row r="68" spans="1:35" ht="14.25" customHeight="1" thickBot="1">
      <c r="A68" s="208" t="s">
        <v>774</v>
      </c>
      <c r="B68" s="209" t="s">
        <v>2247</v>
      </c>
      <c r="C68" s="210">
        <f ca="1">IF(C67&lt;=0,0,ROUND(C67*D68,0))</f>
        <v>1539</v>
      </c>
      <c r="D68" s="211">
        <f>'数据-取费表'!B41</f>
        <v>5.6000000000000001E-2</v>
      </c>
      <c r="E68" s="212"/>
      <c r="F68" s="2485"/>
      <c r="G68" s="2485"/>
      <c r="H68" s="2493"/>
      <c r="I68" s="138"/>
      <c r="J68" s="3070"/>
      <c r="K68" s="2495" t="s">
        <v>2248</v>
      </c>
      <c r="L68" s="1749">
        <f ca="1">IF(M49&gt;10000,M49*0.5%,IF(AND(M49&gt;5000,M49&lt;=10000),M49*1%,IF(AND(M49&gt;1000,M49&lt;=5000),M49*2%,IF(AND(M49&gt;200,M49&lt;=1000),M49*3%,M49*5%))))</f>
        <v>144.25</v>
      </c>
      <c r="M68" s="24">
        <f ca="1">ROUND(L68,1)</f>
        <v>144.30000000000001</v>
      </c>
      <c r="Z68" s="2419"/>
      <c r="AI68" s="2420"/>
    </row>
    <row r="69" spans="1:35" s="2442" customFormat="1" ht="16.5" customHeight="1">
      <c r="A69" s="2496"/>
      <c r="B69" s="2497"/>
      <c r="C69" s="2498"/>
      <c r="D69" s="2499"/>
      <c r="E69" s="2500"/>
      <c r="F69" s="2163"/>
      <c r="G69" s="2163"/>
      <c r="H69" s="2162"/>
      <c r="I69" s="2414"/>
      <c r="J69" s="3070"/>
      <c r="K69" s="2495" t="s">
        <v>2249</v>
      </c>
      <c r="L69" s="2501"/>
      <c r="M69" s="24">
        <f ca="1">ROUND(SUM(M63:M68),0)</f>
        <v>471</v>
      </c>
      <c r="N69" s="1750">
        <f ca="1">M69/M49</f>
        <v>1.632582322357019E-2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4" t="s">
        <v>2250</v>
      </c>
      <c r="B70" s="3115"/>
      <c r="C70" s="3115"/>
      <c r="D70" s="3115"/>
      <c r="E70" s="3115"/>
      <c r="F70" s="3115"/>
      <c r="G70" s="3115"/>
      <c r="H70" s="3115"/>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5" t="s">
        <v>2231</v>
      </c>
      <c r="B71" s="3106"/>
      <c r="C71" s="1801"/>
      <c r="D71" s="1801" t="s">
        <v>2232</v>
      </c>
      <c r="E71" s="213" t="s">
        <v>2233</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2251</v>
      </c>
      <c r="C72" s="207">
        <f ca="1">ROUND(D45/(1+'数据-取费表'!C42),0)</f>
        <v>27476</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2252</v>
      </c>
      <c r="C73" s="207">
        <f ca="1">C74+C78</f>
        <v>165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2253</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2254</v>
      </c>
      <c r="C75" s="218"/>
      <c r="D75" s="200" t="s">
        <v>32</v>
      </c>
      <c r="E75" s="219" t="s">
        <v>2255</v>
      </c>
      <c r="F75" s="2507" t="s">
        <v>2256</v>
      </c>
      <c r="G75" s="219" t="s">
        <v>2257</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2258</v>
      </c>
      <c r="C76" s="200">
        <f>IF(F75="购房发票",ROUND(C75*H75*D76,0),0)</f>
        <v>0</v>
      </c>
      <c r="D76" s="222">
        <v>0.05</v>
      </c>
      <c r="E76" s="3111" t="s">
        <v>2259</v>
      </c>
      <c r="F76" s="3110"/>
      <c r="G76" s="3110"/>
      <c r="H76" s="3113"/>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9" t="s">
        <v>2262</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2263</v>
      </c>
      <c r="C78" s="225">
        <f ca="1">ROUND(D45*D78/(1+'数据-取费表'!C42),0)</f>
        <v>165</v>
      </c>
      <c r="D78" s="226">
        <f>'数据-取费表'!B43</f>
        <v>6.000000000000001E-3</v>
      </c>
      <c r="E78" s="3102" t="s">
        <v>2264</v>
      </c>
      <c r="F78" s="3103"/>
      <c r="G78" s="3103"/>
      <c r="H78" s="3104"/>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2265</v>
      </c>
      <c r="C79" s="207">
        <f ca="1">C72-C73</f>
        <v>27311</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2266</v>
      </c>
      <c r="C80" s="227">
        <f ca="1">IF(C79&lt;=0,0,C79/C73)</f>
        <v>165.52121212121213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2267</v>
      </c>
      <c r="C81" s="228">
        <f ca="1">ROUND(IF(C79&lt;=0,0,IF(C80&gt;=200%,C79*60%-C73*35%,IF(C80&gt;=100%,C79*50%-C73*15%,IF(C80&gt;=50%,C79*40%-C73*5%,IF(C80&lt;50%,C79*30%,0))))),0)</f>
        <v>16329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4" t="s">
        <v>2268</v>
      </c>
      <c r="B83" s="3115"/>
      <c r="C83" s="3115"/>
      <c r="D83" s="3115"/>
      <c r="E83" s="3115"/>
      <c r="F83" s="3115"/>
      <c r="G83" s="3115"/>
      <c r="H83" s="3115"/>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5" t="s">
        <v>2231</v>
      </c>
      <c r="B84" s="3106"/>
      <c r="C84" s="1801"/>
      <c r="D84" s="1801" t="s">
        <v>2232</v>
      </c>
      <c r="E84" s="213" t="s">
        <v>2233</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2251</v>
      </c>
      <c r="C85" s="207">
        <f ca="1">ROUND(D45/(1+'数据-取费表'!C42),0)</f>
        <v>27476</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2252</v>
      </c>
      <c r="C86" s="207">
        <f ca="1">IF(H88="仅含出让金",C87+C90+C91+C92+C93+C94,C87+C91+C92+C93+C94)</f>
        <v>165</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2269</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2270</v>
      </c>
      <c r="C88" s="236"/>
      <c r="D88" s="226"/>
      <c r="E88" s="237" t="s">
        <v>2271</v>
      </c>
      <c r="F88" s="1797"/>
      <c r="G88" s="238" t="s">
        <v>2272</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2260</v>
      </c>
      <c r="C89" s="225">
        <f>ROUND(C88*D89,0)</f>
        <v>0</v>
      </c>
      <c r="D89" s="226">
        <f>'数据-取费表'!B48+'数据-取费表'!B49</f>
        <v>3.0499999999999999E-2</v>
      </c>
      <c r="E89" s="237" t="s">
        <v>2273</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2274</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2275</v>
      </c>
      <c r="B91" s="198" t="s">
        <v>2276</v>
      </c>
      <c r="C91" s="225">
        <f>IF(H91="——",成本法!C33,I91)</f>
        <v>0</v>
      </c>
      <c r="D91" s="226"/>
      <c r="E91" s="3102" t="s">
        <v>2277</v>
      </c>
      <c r="F91" s="3103"/>
      <c r="G91" s="3103"/>
      <c r="H91" s="2514" t="s">
        <v>2278</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2279</v>
      </c>
      <c r="B92" s="198" t="s">
        <v>2280</v>
      </c>
      <c r="C92" s="225">
        <f>ROUND((C87+C90+C91)*D92,0)</f>
        <v>0</v>
      </c>
      <c r="D92" s="226">
        <v>0.1</v>
      </c>
      <c r="E92" s="3102" t="s">
        <v>2281</v>
      </c>
      <c r="F92" s="3103"/>
      <c r="G92" s="3103"/>
      <c r="H92" s="3104"/>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2282</v>
      </c>
      <c r="B93" s="198" t="s">
        <v>2263</v>
      </c>
      <c r="C93" s="225">
        <f ca="1">ROUND(D45*D93/(1+'数据-取费表'!C42),0)</f>
        <v>165</v>
      </c>
      <c r="D93" s="226">
        <f>'数据-取费表'!B43</f>
        <v>6.000000000000001E-3</v>
      </c>
      <c r="E93" s="3102" t="s">
        <v>2264</v>
      </c>
      <c r="F93" s="3103"/>
      <c r="G93" s="3103"/>
      <c r="H93" s="3104"/>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2283</v>
      </c>
      <c r="B94" s="198" t="s">
        <v>2284</v>
      </c>
      <c r="C94" s="236">
        <f>ROUND((C87+C90+C91)*D94,0)</f>
        <v>0</v>
      </c>
      <c r="D94" s="226">
        <v>0.2</v>
      </c>
      <c r="E94" s="3150" t="s">
        <v>2285</v>
      </c>
      <c r="F94" s="3151"/>
      <c r="G94" s="3151"/>
      <c r="H94" s="315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2265</v>
      </c>
      <c r="C95" s="207">
        <f ca="1">ROUND(C85-C86,0)</f>
        <v>27311</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2266</v>
      </c>
      <c r="C96" s="227">
        <f ca="1">IF(C95&lt;=0,0,C95/C86)</f>
        <v>165.52121212121213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2267</v>
      </c>
      <c r="C97" s="228">
        <f ca="1">ROUND(IF(C95&lt;=0,0,IF(C96&gt;=200%,C95*60%-C86*35%,IF(C96&gt;=100%,C95*50%-C86*15%,IF(C96&gt;=50%,C95*40%-C86*5%,IF(C96&lt;50%,C95*30%,0))))),0)</f>
        <v>16329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3"/>
      <c r="F98" s="2163"/>
      <c r="G98" s="2163"/>
      <c r="H98" s="2162"/>
      <c r="I98" s="138"/>
    </row>
    <row r="99" spans="1:35" ht="21.75" customHeight="1" thickBot="1">
      <c r="A99" s="2470" t="s">
        <v>2286</v>
      </c>
      <c r="B99" s="2414"/>
      <c r="C99" s="2414"/>
      <c r="D99" s="2414"/>
      <c r="E99" s="2163"/>
      <c r="F99" s="2163"/>
      <c r="G99" s="2163"/>
      <c r="H99" s="2162"/>
      <c r="I99" s="138"/>
    </row>
    <row r="100" spans="1:35" ht="18.75" customHeight="1">
      <c r="A100" s="3054" t="s">
        <v>2287</v>
      </c>
      <c r="B100" s="3055"/>
      <c r="C100" s="3055"/>
      <c r="D100" s="3086"/>
      <c r="E100" s="3055" t="s">
        <v>2288</v>
      </c>
      <c r="F100" s="3055"/>
      <c r="G100" s="3055"/>
      <c r="H100" s="3086"/>
      <c r="I100" s="138"/>
    </row>
    <row r="101" spans="1:35" ht="18.75" customHeight="1">
      <c r="A101" s="3094" t="s">
        <v>2289</v>
      </c>
      <c r="B101" s="3095"/>
      <c r="C101" s="736" t="str">
        <f>C4</f>
        <v>成本法</v>
      </c>
      <c r="D101" s="737" t="str">
        <f>D4</f>
        <v>收益法</v>
      </c>
      <c r="E101" s="3066" t="s">
        <v>2290</v>
      </c>
      <c r="F101" s="3067"/>
      <c r="G101" s="2516" t="s">
        <v>2291</v>
      </c>
      <c r="H101" s="1045">
        <f ca="1">H118</f>
        <v>28850</v>
      </c>
      <c r="I101" s="138"/>
    </row>
    <row r="102" spans="1:35" ht="18.75" customHeight="1">
      <c r="A102" s="3096" t="s">
        <v>2292</v>
      </c>
      <c r="B102" s="2516" t="s">
        <v>2291</v>
      </c>
      <c r="C102" s="736">
        <f ca="1">C19</f>
        <v>32325</v>
      </c>
      <c r="D102" s="737">
        <f ca="1">D19</f>
        <v>25375</v>
      </c>
      <c r="E102" s="3066"/>
      <c r="F102" s="3067"/>
      <c r="G102" s="2516" t="s">
        <v>2293</v>
      </c>
      <c r="H102" s="371">
        <f ca="1">I118</f>
        <v>34857</v>
      </c>
      <c r="I102" s="138"/>
    </row>
    <row r="103" spans="1:35" ht="42.75" customHeight="1">
      <c r="A103" s="3096"/>
      <c r="B103" s="2516" t="s">
        <v>2293</v>
      </c>
      <c r="C103" s="738">
        <f ca="1">C20</f>
        <v>39056</v>
      </c>
      <c r="D103" s="739">
        <f ca="1">D20</f>
        <v>30659</v>
      </c>
      <c r="E103" s="3060" t="s">
        <v>3144</v>
      </c>
      <c r="F103" s="3061"/>
      <c r="G103" s="2517" t="s">
        <v>2294</v>
      </c>
      <c r="H103" s="1045">
        <f>IF(D36="正常操作",H104+H105+H106,H105+H106)</f>
        <v>0</v>
      </c>
      <c r="I103" s="138"/>
    </row>
    <row r="104" spans="1:35" ht="18.75" customHeight="1">
      <c r="A104" s="3096" t="s">
        <v>2295</v>
      </c>
      <c r="B104" s="2518" t="s">
        <v>2291</v>
      </c>
      <c r="C104" s="740">
        <f ca="1">H118</f>
        <v>28850</v>
      </c>
      <c r="D104" s="741"/>
      <c r="E104" s="2263" t="s">
        <v>2296</v>
      </c>
      <c r="F104" s="2254"/>
      <c r="G104" s="2517" t="s">
        <v>2294</v>
      </c>
      <c r="H104" s="1046">
        <f>IF(D36="同一抵押权人同一抵押物续贷",C36&amp;"（未扣减，详见特别提示）",C36)</f>
        <v>0</v>
      </c>
      <c r="I104" s="138"/>
    </row>
    <row r="105" spans="1:35" ht="18.75" customHeight="1" thickBot="1">
      <c r="A105" s="3108"/>
      <c r="B105" s="2519" t="s">
        <v>2293</v>
      </c>
      <c r="C105" s="742">
        <f ca="1">I118</f>
        <v>34857</v>
      </c>
      <c r="D105" s="743"/>
      <c r="E105" s="2263" t="s">
        <v>2297</v>
      </c>
      <c r="F105" s="2254"/>
      <c r="G105" s="2517" t="s">
        <v>2294</v>
      </c>
      <c r="H105" s="1046">
        <f>C37</f>
        <v>0</v>
      </c>
      <c r="I105" s="138"/>
    </row>
    <row r="106" spans="1:35" ht="18.75" customHeight="1">
      <c r="A106" s="2414" t="s">
        <v>2298</v>
      </c>
      <c r="B106" s="2414"/>
      <c r="C106" s="2414"/>
      <c r="D106" s="2414"/>
      <c r="E106" s="2520" t="s">
        <v>2299</v>
      </c>
      <c r="F106" s="2254"/>
      <c r="G106" s="2517" t="s">
        <v>2294</v>
      </c>
      <c r="H106" s="1046">
        <f>C38</f>
        <v>0</v>
      </c>
      <c r="I106" s="138"/>
    </row>
    <row r="107" spans="1:35" ht="18.75" customHeight="1">
      <c r="A107" s="138"/>
      <c r="B107" s="138"/>
      <c r="C107" s="138"/>
      <c r="D107" s="138"/>
      <c r="E107" s="3097" t="str">
        <f>IF(项目基本情况!E8="已注销","——","3.房地产抵押价值")</f>
        <v>3.房地产抵押价值</v>
      </c>
      <c r="F107" s="3067"/>
      <c r="G107" s="2516" t="s">
        <v>2291</v>
      </c>
      <c r="H107" s="1045">
        <f ca="1">IF(E107="——","——",H101-H103)</f>
        <v>28850</v>
      </c>
      <c r="I107" s="138"/>
    </row>
    <row r="108" spans="1:35" ht="18.75" customHeight="1">
      <c r="A108" s="138"/>
      <c r="B108" s="138"/>
      <c r="C108" s="138"/>
      <c r="D108" s="138"/>
      <c r="E108" s="3097"/>
      <c r="F108" s="3067"/>
      <c r="G108" s="2516" t="s">
        <v>2293</v>
      </c>
      <c r="H108" s="371">
        <f ca="1">ROUND(H107*10000/'数据-汇总表'!E3,0)</f>
        <v>34857</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16" t="s">
        <v>2291</v>
      </c>
      <c r="H109" s="348" t="str">
        <f>IF(E109="——","——",H101-H105-H106)</f>
        <v>——</v>
      </c>
      <c r="I109" s="138"/>
    </row>
    <row r="110" spans="1:35" ht="18.75" customHeight="1">
      <c r="A110" s="138"/>
      <c r="B110" s="138"/>
      <c r="C110" s="138"/>
      <c r="D110" s="138"/>
      <c r="E110" s="3097"/>
      <c r="F110" s="3067"/>
      <c r="G110" s="2516" t="s">
        <v>2293</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16" t="s">
        <v>2291</v>
      </c>
      <c r="H111" s="1045" t="str">
        <f>IF(E111="——","——",N59)</f>
        <v>——</v>
      </c>
      <c r="I111" s="138"/>
    </row>
    <row r="112" spans="1:35" ht="18.75" customHeight="1" thickBot="1">
      <c r="A112" s="138"/>
      <c r="B112" s="138"/>
      <c r="C112" s="138"/>
      <c r="D112" s="138"/>
      <c r="E112" s="3100"/>
      <c r="F112" s="3101"/>
      <c r="G112" s="2521" t="s">
        <v>2293</v>
      </c>
      <c r="H112" s="790" t="str">
        <f>IF(E111="——","——",N61)</f>
        <v>——</v>
      </c>
      <c r="I112" s="138"/>
    </row>
    <row r="113" spans="1:11" ht="18.75" customHeight="1">
      <c r="A113" s="138"/>
      <c r="B113" s="138"/>
      <c r="C113" s="138"/>
      <c r="D113" s="138"/>
      <c r="E113" s="3109" t="s">
        <v>2298</v>
      </c>
      <c r="F113" s="3109"/>
      <c r="G113" s="3109"/>
      <c r="H113" s="3109"/>
      <c r="I113" s="138"/>
    </row>
    <row r="114" spans="1:11" ht="3.75" customHeight="1">
      <c r="A114" s="2414"/>
      <c r="B114" s="2414"/>
      <c r="C114" s="2414"/>
      <c r="D114" s="2414"/>
      <c r="E114" s="2492"/>
      <c r="F114" s="2492"/>
      <c r="G114" s="2492"/>
      <c r="H114" s="2492"/>
      <c r="I114" s="2414"/>
    </row>
    <row r="115" spans="1:11" ht="18.75" customHeight="1">
      <c r="A115" s="3122" t="s">
        <v>2300</v>
      </c>
      <c r="B115" s="3123"/>
      <c r="C115" s="3123"/>
      <c r="D115" s="3123"/>
      <c r="E115" s="3123"/>
      <c r="F115" s="3123"/>
      <c r="G115" s="3123"/>
      <c r="H115" s="3123"/>
      <c r="I115" s="3124"/>
    </row>
    <row r="116" spans="1:11" ht="27" customHeight="1">
      <c r="A116" s="3033" t="s">
        <v>2301</v>
      </c>
      <c r="B116" s="3076" t="s">
        <v>3148</v>
      </c>
      <c r="C116" s="3076" t="s">
        <v>2302</v>
      </c>
      <c r="D116" s="3082" t="s">
        <v>2303</v>
      </c>
      <c r="E116" s="3083"/>
      <c r="F116" s="3118" t="s">
        <v>3147</v>
      </c>
      <c r="G116" s="3118"/>
      <c r="H116" s="3033" t="s">
        <v>2304</v>
      </c>
      <c r="I116" s="3033"/>
    </row>
    <row r="117" spans="1:11" ht="18.75" customHeight="1">
      <c r="A117" s="3033"/>
      <c r="B117" s="3077"/>
      <c r="C117" s="3077"/>
      <c r="D117" s="1795" t="s">
        <v>2305</v>
      </c>
      <c r="E117" s="1795" t="s">
        <v>2306</v>
      </c>
      <c r="F117" s="1795" t="s">
        <v>2305</v>
      </c>
      <c r="G117" s="1795" t="s">
        <v>2307</v>
      </c>
      <c r="H117" s="1795" t="s">
        <v>2305</v>
      </c>
      <c r="I117" s="1795" t="s">
        <v>2307</v>
      </c>
    </row>
    <row r="118" spans="1:11" ht="24.75" customHeight="1">
      <c r="A118" s="2522" t="str">
        <f>项目基本情况!S2</f>
        <v>北京市海淀区中关村大街18号六层综合用房房地产</v>
      </c>
      <c r="B118" s="1795">
        <f>M18</f>
        <v>8276.64</v>
      </c>
      <c r="C118" s="1795">
        <f>M19</f>
        <v>927.85</v>
      </c>
      <c r="D118" s="1795">
        <f ca="1">ROUND(IF(D32="总价",C34,E118*B118/10000),0)</f>
        <v>26427</v>
      </c>
      <c r="E118" s="1795">
        <f ca="1">ROUND(IF(C33="自定义",IF(D32="楼面单价",C34,D118*10000/B118),I118-G118),0)</f>
        <v>31929</v>
      </c>
      <c r="F118" s="1795">
        <f ca="1">ROUND(IF(D32="总价",C35,G118*B118/10000),0)</f>
        <v>2423</v>
      </c>
      <c r="G118" s="1795">
        <f ca="1">ROUND(IF(D32="楼面单价",C35,F118*10000/B118),0)</f>
        <v>2928</v>
      </c>
      <c r="H118" s="1795">
        <f ca="1">ROUND(IF(D32="总价",C32,I118*B118/10000),0)</f>
        <v>28850</v>
      </c>
      <c r="I118" s="1795">
        <f ca="1">ROUND(IF(D32="楼面单价",C32,H118*10000/B118),0)</f>
        <v>34857</v>
      </c>
    </row>
    <row r="119" spans="1:11" ht="18.75" customHeight="1">
      <c r="A119" s="3033" t="s">
        <v>2308</v>
      </c>
      <c r="B119" s="3033"/>
      <c r="C119" s="3033"/>
      <c r="D119" s="3078" t="str">
        <f ca="1">NUMBERSTRING(INT(D118*10000),2)&amp;"元整"</f>
        <v>贰亿陆仟肆佰贰拾柒万元整</v>
      </c>
      <c r="E119" s="3079"/>
      <c r="F119" s="3078" t="str">
        <f ca="1">NUMBERSTRING(INT(F118*10000),2)&amp;"元整"</f>
        <v>贰仟肆佰贰拾叁万元整</v>
      </c>
      <c r="G119" s="3079"/>
      <c r="H119" s="3078" t="str">
        <f ca="1">NUMBERSTRING(INT(H118*10000),2)&amp;"元整"</f>
        <v>贰亿捌仟捌佰伍拾万元整</v>
      </c>
      <c r="I119" s="3079"/>
    </row>
    <row r="120" spans="1:11" ht="18.75" customHeight="1">
      <c r="A120" s="3073" t="str">
        <f>IF(项目基本情况!B9="房地产市场价值","",MID(E103,3,LEN(E103)-2))</f>
        <v>估价师知悉的除抵押担保权以外的法定优先受偿款</v>
      </c>
      <c r="B120" s="3074"/>
      <c r="C120" s="3075"/>
      <c r="D120" s="3073">
        <f>H103</f>
        <v>0</v>
      </c>
      <c r="E120" s="3074"/>
      <c r="F120" s="3074"/>
      <c r="G120" s="3074"/>
      <c r="H120" s="3074"/>
      <c r="I120" s="3075"/>
      <c r="K120" s="2419" t="str">
        <f>IF(D120=0,"故，本次评估不存在"&amp;A120,"故，本次评估"&amp;A120&amp;"为人民币"&amp;D120&amp;"万元整。")</f>
        <v>故，本次评估不存在估价师知悉的除抵押担保权以外的法定优先受偿款</v>
      </c>
    </row>
    <row r="121" spans="1:11" ht="18.75" customHeight="1">
      <c r="A121" s="3119" t="s">
        <v>2308</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28850</v>
      </c>
      <c r="E122" s="3074"/>
      <c r="F122" s="3074"/>
      <c r="G122" s="3074"/>
      <c r="H122" s="3074"/>
      <c r="I122" s="3075"/>
    </row>
    <row r="123" spans="1:11" ht="18.75" customHeight="1">
      <c r="A123" s="3033" t="s">
        <v>2308</v>
      </c>
      <c r="B123" s="3033"/>
      <c r="C123" s="3033"/>
      <c r="D123" s="3078" t="str">
        <f ca="1">NUMBERSTRING(INT(D122*10000),2)&amp;"元整"</f>
        <v>贰亿捌仟捌佰伍拾万元整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2308</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2308</v>
      </c>
      <c r="B127" s="3033"/>
      <c r="C127" s="3033"/>
      <c r="D127" s="3078" t="e">
        <f>NUMBERSTRING(INT(D126*10000),2)&amp;"元整"</f>
        <v>#VALUE!</v>
      </c>
      <c r="E127" s="3080"/>
      <c r="F127" s="3080"/>
      <c r="G127" s="3080"/>
      <c r="H127" s="3080"/>
      <c r="I127" s="3079"/>
    </row>
    <row r="128" spans="1:11" ht="21.75" customHeight="1">
      <c r="A128" s="3081" t="s">
        <v>2309</v>
      </c>
      <c r="B128" s="3081"/>
      <c r="C128" s="3081"/>
      <c r="D128" s="3081"/>
      <c r="E128" s="3081"/>
      <c r="F128" s="3081"/>
      <c r="G128" s="3081"/>
      <c r="H128" s="3081"/>
      <c r="I128" s="3081"/>
    </row>
    <row r="129" spans="1:35" ht="21.75" customHeight="1">
      <c r="A129" s="2523" t="s">
        <v>2310</v>
      </c>
      <c r="B129" s="2524"/>
      <c r="C129" s="2525" t="s">
        <v>2311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2312</v>
      </c>
      <c r="G135" s="2540"/>
      <c r="H135" s="2540"/>
      <c r="I135" s="2541" t="s">
        <v>2313</v>
      </c>
    </row>
    <row r="136" spans="1:35" ht="21.75" customHeight="1">
      <c r="A136" s="795"/>
      <c r="B136" s="2542" t="s">
        <v>2314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2315</v>
      </c>
    </row>
    <row r="139" spans="1:35" ht="21.75" customHeight="1">
      <c r="A139" s="795"/>
      <c r="B139" s="2542" t="s">
        <v>2316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2315</v>
      </c>
    </row>
    <row r="142" spans="1:35" ht="21.75" customHeight="1">
      <c r="A142" s="795"/>
      <c r="B142" s="2542"/>
      <c r="C142" s="2543"/>
      <c r="D142" s="2544"/>
      <c r="E142" s="2544"/>
      <c r="F142" s="2337"/>
      <c r="G142" s="795"/>
      <c r="H142" s="795"/>
      <c r="I142" s="795"/>
    </row>
    <row r="143" spans="1:35" s="139" customFormat="1" ht="21.75" customHeight="1">
      <c r="A143" s="795"/>
      <c r="B143" s="2542"/>
      <c r="C143" s="2543"/>
      <c r="D143" s="2544"/>
      <c r="E143" s="2544"/>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4" sqref="G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6" t="s">
        <v>3060</v>
      </c>
      <c r="C1" s="242"/>
      <c r="D1" s="242"/>
      <c r="E1" s="242"/>
      <c r="F1" s="242"/>
      <c r="G1" s="1379">
        <f>MATCH(B1,'数据-取费表'!A6:A16,0)+5</f>
        <v>6</v>
      </c>
    </row>
    <row r="2" spans="1:9" s="244" customFormat="1" ht="18" customHeight="1">
      <c r="A2" s="245" t="s">
        <v>2318</v>
      </c>
      <c r="B2" s="246">
        <f ca="1">IF(D2="——",C52,C52-E2)</f>
        <v>32325</v>
      </c>
      <c r="C2" s="243" t="s">
        <v>2319</v>
      </c>
      <c r="D2" s="2545" t="s">
        <v>70</v>
      </c>
      <c r="E2" s="1440" t="e">
        <f ca="1">SUMIF(INDIRECT("'"&amp;G2&amp;"'"&amp;"!A:A"),"承租人权益价值",INDIRECT("'"&amp;G2&amp;"'"&amp;"!c:c"))</f>
        <v>#REF!</v>
      </c>
      <c r="F2" s="2546" t="s">
        <v>2319</v>
      </c>
      <c r="G2" s="2547"/>
    </row>
    <row r="3" spans="1:9" s="244" customFormat="1" ht="18" customHeight="1" thickBot="1">
      <c r="A3" s="247" t="s">
        <v>2320</v>
      </c>
      <c r="B3" s="248">
        <f ca="1">ROUND(B2*10000/(IF(B1="",'数据-汇总表'!E3,INDIRECT("'数据-取费表'!k"&amp;$G$1))),0)</f>
        <v>39056</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 ca="1">C6+C7+C8</f>
        <v>20952</v>
      </c>
      <c r="D5" s="255" t="s">
        <v>2325</v>
      </c>
      <c r="E5" s="256" t="s">
        <v>2326</v>
      </c>
      <c r="F5" s="256" t="s">
        <v>2327</v>
      </c>
      <c r="G5" s="257"/>
    </row>
    <row r="6" spans="1:9" s="258" customFormat="1" ht="13.5" customHeight="1">
      <c r="A6" s="949" t="s">
        <v>2328</v>
      </c>
      <c r="B6" s="259" t="s">
        <v>2329</v>
      </c>
      <c r="C6" s="260">
        <f ca="1">基准地价修正!B2</f>
        <v>20171</v>
      </c>
      <c r="D6" s="261"/>
      <c r="E6" s="262"/>
      <c r="F6" s="262"/>
      <c r="G6" s="263"/>
    </row>
    <row r="7" spans="1:9" s="258" customFormat="1" ht="13.5" customHeight="1">
      <c r="A7" s="949" t="s">
        <v>2330</v>
      </c>
      <c r="B7" s="259" t="s">
        <v>2331</v>
      </c>
      <c r="C7" s="264">
        <f ca="1">ROUND(C6*F7,0)</f>
        <v>615</v>
      </c>
      <c r="D7" s="264"/>
      <c r="E7" s="262"/>
      <c r="F7" s="265">
        <f>IF(项目基本情况!B8="出让",0,'数据-取费表'!B48+'数据-取费表'!B49)</f>
        <v>3.0499999999999999E-2</v>
      </c>
      <c r="G7" s="263"/>
    </row>
    <row r="8" spans="1:9" s="267" customFormat="1">
      <c r="A8" s="949" t="s">
        <v>2332</v>
      </c>
      <c r="B8" s="259" t="s">
        <v>2333</v>
      </c>
      <c r="C8" s="264">
        <f ca="1">IF(G8="已包含在土地购买价格中","0",IF(B1="",'数据-取费表'!B29,IF(G9="全部缴纳",C9+C10,H9)))</f>
        <v>166</v>
      </c>
      <c r="D8" s="266"/>
      <c r="E8" s="264"/>
      <c r="F8" s="265"/>
      <c r="G8" s="2548" t="s">
        <v>3079</v>
      </c>
    </row>
    <row r="9" spans="1:9" s="258" customFormat="1" ht="13.5" customHeight="1">
      <c r="A9" s="950" t="s">
        <v>800</v>
      </c>
      <c r="B9" s="268" t="s">
        <v>2334</v>
      </c>
      <c r="C9" s="269">
        <f ca="1">ROUND(D9*E9/10000,0)</f>
        <v>0</v>
      </c>
      <c r="D9" s="1032">
        <f ca="1">IF(B1="",'数据-汇总表'!E5,IF(INDIRECT("'数据-取费表'!c"&amp;$G$1)="住宅",INDIRECT("'数据-取费表'!k"&amp;$G$1),0))</f>
        <v>0</v>
      </c>
      <c r="E9" s="269">
        <f>'数据-取费表'!B27</f>
        <v>0</v>
      </c>
      <c r="F9" s="265"/>
      <c r="G9" s="2549" t="s">
        <v>3080</v>
      </c>
      <c r="H9" s="1390"/>
      <c r="I9" s="2550" t="s">
        <v>2335</v>
      </c>
    </row>
    <row r="10" spans="1:9" s="258" customFormat="1" ht="13.5" customHeight="1">
      <c r="A10" s="950" t="s">
        <v>801</v>
      </c>
      <c r="B10" s="268" t="s">
        <v>2336</v>
      </c>
      <c r="C10" s="269">
        <f ca="1">ROUND(D10*E10/10000,0)</f>
        <v>166</v>
      </c>
      <c r="D10" s="1032">
        <f ca="1">IF(B1="",'数据-汇总表'!E6,IF(INDIRECT("'数据-取费表'!c"&amp;$G$1)="住宅",INDIRECT("'数据-取费表'!s"&amp;$G$1),INDIRECT("'数据-取费表'!k"&amp;$G$1)+INDIRECT("'数据-取费表'!s"&amp;$G$1)))</f>
        <v>8276.64</v>
      </c>
      <c r="E10" s="269">
        <f>'数据-取费表'!B28</f>
        <v>200</v>
      </c>
      <c r="F10" s="265"/>
      <c r="G10" s="270"/>
    </row>
    <row r="11" spans="1:9" s="258" customFormat="1" ht="13.5" hidden="1" customHeight="1">
      <c r="A11" s="271" t="s">
        <v>7</v>
      </c>
      <c r="B11" s="259" t="s">
        <v>2337</v>
      </c>
      <c r="C11" s="255"/>
      <c r="D11" s="1034"/>
      <c r="E11" s="262"/>
      <c r="F11" s="262"/>
      <c r="G11" s="263"/>
    </row>
    <row r="12" spans="1:9" s="258" customFormat="1" ht="13.5" hidden="1" customHeight="1">
      <c r="A12" s="271" t="s">
        <v>8</v>
      </c>
      <c r="B12" s="259" t="s">
        <v>2338</v>
      </c>
      <c r="C12" s="255">
        <v>0</v>
      </c>
      <c r="D12" s="1034"/>
      <c r="E12" s="272"/>
      <c r="F12" s="265">
        <v>3.0499999999999999E-2</v>
      </c>
      <c r="G12" s="263"/>
    </row>
    <row r="13" spans="1:9" s="258" customFormat="1" ht="13.5" hidden="1" customHeight="1">
      <c r="A13" s="271" t="s">
        <v>9</v>
      </c>
      <c r="B13" s="259" t="s">
        <v>2339</v>
      </c>
      <c r="C13" s="255"/>
      <c r="D13" s="1034"/>
      <c r="E13" s="262"/>
      <c r="F13" s="262"/>
      <c r="G13" s="263"/>
    </row>
    <row r="14" spans="1:9" s="258" customFormat="1" ht="13.5" hidden="1" customHeight="1">
      <c r="A14" s="271" t="s">
        <v>10</v>
      </c>
      <c r="B14" s="259" t="s">
        <v>2340</v>
      </c>
      <c r="C14" s="255"/>
      <c r="D14" s="1034"/>
      <c r="E14" s="262"/>
      <c r="F14" s="262"/>
      <c r="G14" s="263" t="s">
        <v>2341</v>
      </c>
    </row>
    <row r="15" spans="1:9" s="258" customFormat="1" ht="13.5" hidden="1" customHeight="1">
      <c r="A15" s="271" t="s">
        <v>11</v>
      </c>
      <c r="B15" s="259" t="s">
        <v>2342</v>
      </c>
      <c r="C15" s="264"/>
      <c r="D15" s="1034"/>
      <c r="E15" s="262"/>
      <c r="F15" s="262"/>
      <c r="G15" s="263" t="s">
        <v>2343</v>
      </c>
    </row>
    <row r="16" spans="1:9" s="258" customFormat="1" ht="13.5" hidden="1" customHeight="1">
      <c r="A16" s="271" t="s">
        <v>12</v>
      </c>
      <c r="B16" s="259" t="s">
        <v>2340</v>
      </c>
      <c r="C16" s="264"/>
      <c r="D16" s="1034"/>
      <c r="E16" s="262"/>
      <c r="F16" s="262"/>
      <c r="G16" s="263"/>
    </row>
    <row r="17" spans="1:7" s="258" customFormat="1" ht="13.5" hidden="1" customHeight="1">
      <c r="A17" s="271" t="s">
        <v>13</v>
      </c>
      <c r="B17" s="259" t="s">
        <v>2344</v>
      </c>
      <c r="C17" s="273"/>
      <c r="D17" s="1035"/>
      <c r="E17" s="273"/>
      <c r="F17" s="273"/>
      <c r="G17" s="263" t="s">
        <v>2343</v>
      </c>
    </row>
    <row r="18" spans="1:7" s="258" customFormat="1" ht="13.5" hidden="1" customHeight="1">
      <c r="A18" s="271" t="s">
        <v>14</v>
      </c>
      <c r="B18" s="259" t="s">
        <v>2345</v>
      </c>
      <c r="C18" s="264">
        <v>0</v>
      </c>
      <c r="D18" s="1034"/>
      <c r="E18" s="262"/>
      <c r="F18" s="265">
        <v>3.0499999999999999E-2</v>
      </c>
      <c r="G18" s="263" t="s">
        <v>2346</v>
      </c>
    </row>
    <row r="19" spans="1:7" s="267" customFormat="1" ht="13.5" customHeight="1">
      <c r="A19" s="299" t="s">
        <v>2347</v>
      </c>
      <c r="B19" s="254" t="s">
        <v>2348</v>
      </c>
      <c r="C19" s="255">
        <f ca="1">IF(G19="已包含在土地取得成本中","0",ROUND(D19*E19/10000,0))</f>
        <v>166</v>
      </c>
      <c r="D19" s="1036">
        <f ca="1">D9+D10</f>
        <v>8276.64</v>
      </c>
      <c r="E19" s="255">
        <f>'数据-取费表'!B31</f>
        <v>200</v>
      </c>
      <c r="F19" s="275"/>
      <c r="G19" s="2548" t="s">
        <v>1071</v>
      </c>
    </row>
    <row r="20" spans="1:7" s="258" customFormat="1" ht="13.5" customHeight="1">
      <c r="A20" s="299" t="s">
        <v>2349</v>
      </c>
      <c r="B20" s="254" t="s">
        <v>2350</v>
      </c>
      <c r="C20" s="276">
        <f ca="1">ROUND((C5+C19)*F20,0)</f>
        <v>211</v>
      </c>
      <c r="D20" s="276"/>
      <c r="E20" s="276"/>
      <c r="F20" s="277">
        <f>'数据-取费表'!B37</f>
        <v>0.01</v>
      </c>
      <c r="G20" s="278" t="s">
        <v>2351</v>
      </c>
    </row>
    <row r="21" spans="1:7" s="258" customFormat="1" ht="13.5" customHeight="1">
      <c r="A21" s="299" t="s">
        <v>2352</v>
      </c>
      <c r="B21" s="254" t="s">
        <v>2353</v>
      </c>
      <c r="C21" s="279">
        <f>F21</f>
        <v>0.01</v>
      </c>
      <c r="D21" s="280" t="s">
        <v>2354</v>
      </c>
      <c r="E21" s="276"/>
      <c r="F21" s="277">
        <f>'数据-取费表'!B38</f>
        <v>0.01</v>
      </c>
      <c r="G21" s="278" t="s">
        <v>2355</v>
      </c>
    </row>
    <row r="22" spans="1:7" s="258" customFormat="1" ht="13.5" customHeight="1">
      <c r="A22" s="299" t="s">
        <v>2356</v>
      </c>
      <c r="B22" s="254" t="s">
        <v>2357</v>
      </c>
      <c r="C22" s="1354">
        <f ca="1">ROUND(SUM(C23:C25),0)</f>
        <v>2064</v>
      </c>
      <c r="D22" s="279">
        <f ca="1">C26</f>
        <v>5.0000000000000001E-4</v>
      </c>
      <c r="E22" s="280" t="s">
        <v>2354</v>
      </c>
      <c r="F22" s="281">
        <f ca="1">'数据-取费表'!B40</f>
        <v>4.7500000000000001E-2</v>
      </c>
      <c r="G22" s="278" t="str">
        <f>IF('数据-取费表'!B22&lt;=1,"单利计息","复利计息")</f>
        <v>复利计息</v>
      </c>
    </row>
    <row r="23" spans="1:7" s="258" customFormat="1" ht="13.5" customHeight="1">
      <c r="A23" s="951" t="s">
        <v>2358</v>
      </c>
      <c r="B23" s="259" t="s">
        <v>2359</v>
      </c>
      <c r="C23" s="1355">
        <f ca="1">ROUND(IF('数据-取费表'!B22&lt;=1,C5*F22*'数据-取费表'!B23,C5*(POWER((1+F22),'数据-取费表'!B23)-1)),0)</f>
        <v>2038</v>
      </c>
      <c r="D23" s="282"/>
      <c r="E23" s="282"/>
      <c r="F23" s="283"/>
      <c r="G23" s="284" t="s">
        <v>2360</v>
      </c>
    </row>
    <row r="24" spans="1:7" s="258" customFormat="1" ht="13.5" customHeight="1">
      <c r="A24" s="951" t="s">
        <v>2361</v>
      </c>
      <c r="B24" s="259" t="s">
        <v>2362</v>
      </c>
      <c r="C24" s="1355">
        <f ca="1">ROUND(IF('数据-取费表'!B22&lt;=1,C19*F22*('数据-取费表'!B19/2+'数据-取费表'!B21),C19*(POWER((1+F22),('数据-取费表'!B19/2+'数据-取费表'!B21))-1)),0)</f>
        <v>16</v>
      </c>
      <c r="D24" s="282"/>
      <c r="E24" s="282"/>
      <c r="F24" s="283"/>
      <c r="G24" s="284" t="s">
        <v>2363</v>
      </c>
    </row>
    <row r="25" spans="1:7" s="258" customFormat="1" ht="24">
      <c r="A25" s="951" t="s">
        <v>2364</v>
      </c>
      <c r="B25" s="259" t="s">
        <v>2365</v>
      </c>
      <c r="C25" s="1355">
        <f ca="1">ROUND(IF('数据-取费表'!B22&lt;=1,C20*F22*'数据-取费表'!B23/2,C20*(POWER((1+F22),'数据-取费表'!B23/2)-1)),0)</f>
        <v>10</v>
      </c>
      <c r="D25" s="282"/>
      <c r="E25" s="285"/>
      <c r="F25" s="283"/>
      <c r="G25" s="286" t="s">
        <v>2366</v>
      </c>
    </row>
    <row r="26" spans="1:7" s="258" customFormat="1">
      <c r="A26" s="951" t="s">
        <v>795</v>
      </c>
      <c r="B26" s="259" t="s">
        <v>2367</v>
      </c>
      <c r="C26" s="282">
        <f ca="1">ROUND(IF('数据-取费表'!B22&lt;=1,F21*F22*'数据-取费表'!B23/2,F21*(POWER((1+F22),'数据-取费表'!B23/2)-1)),4)</f>
        <v>5.0000000000000001E-4</v>
      </c>
      <c r="D26" s="282"/>
      <c r="E26" s="285"/>
      <c r="F26" s="283"/>
      <c r="G26" s="287"/>
    </row>
    <row r="27" spans="1:7" s="258" customFormat="1" ht="24.75">
      <c r="A27" s="299" t="s">
        <v>2368</v>
      </c>
      <c r="B27" s="288" t="s">
        <v>2369</v>
      </c>
      <c r="C27" s="289">
        <f ca="1">C28</f>
        <v>4266</v>
      </c>
      <c r="D27" s="279">
        <f ca="1">C29</f>
        <v>2E-3</v>
      </c>
      <c r="E27" s="280" t="s">
        <v>2370</v>
      </c>
      <c r="F27" s="290">
        <f ca="1">IF(B1="",'数据-取费表'!Q16,INDIRECT("'数据-取费表'!q"&amp;$G$1))</f>
        <v>0.2</v>
      </c>
      <c r="G27" s="291" t="s">
        <v>2371</v>
      </c>
    </row>
    <row r="28" spans="1:7" s="258" customFormat="1" ht="13.5" customHeight="1">
      <c r="A28" s="951" t="s">
        <v>791</v>
      </c>
      <c r="B28" s="292" t="s">
        <v>2372</v>
      </c>
      <c r="C28" s="293">
        <f ca="1">ROUND((C5+C19+C20)*F27*'数据-取费表'!B21/'数据-取费表'!B20,0)</f>
        <v>4266</v>
      </c>
      <c r="D28" s="279"/>
      <c r="E28" s="280"/>
      <c r="F28" s="290"/>
      <c r="G28" s="291"/>
    </row>
    <row r="29" spans="1:7" s="258" customFormat="1" ht="13.5" customHeight="1">
      <c r="A29" s="951" t="s">
        <v>792</v>
      </c>
      <c r="B29" s="292" t="s">
        <v>2373</v>
      </c>
      <c r="C29" s="282">
        <f ca="1">ROUND(C21*F27*'数据-取费表'!B21/'数据-取费表'!B20,4)</f>
        <v>2E-3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29607</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2760</v>
      </c>
      <c r="D33" s="276"/>
      <c r="E33" s="256"/>
      <c r="F33" s="285"/>
      <c r="G33" s="278"/>
    </row>
    <row r="34" spans="1:7" s="302" customFormat="1" ht="13.5" customHeight="1">
      <c r="A34" s="951" t="s">
        <v>791</v>
      </c>
      <c r="B34" s="259" t="s">
        <v>2381</v>
      </c>
      <c r="C34" s="264">
        <f ca="1">IF(B1="",IF(F34=100%,'数据-取费表'!M16,'数据-取费表'!O16),IF(F34=100%,INDIRECT("'数据-取费表'!m"&amp;$G$1)+INDIRECT("'数据-取费表'!t"&amp;$G$1),INDIRECT("'数据-取费表'!o"&amp;$G$1)+INDIRECT("'数据-取费表'!aq"&amp;$G$1)))</f>
        <v>2483</v>
      </c>
      <c r="D34" s="261"/>
      <c r="E34" s="264"/>
      <c r="F34" s="301">
        <f ca="1">IF('数据-取费表'!B24=0,1,IF(B1="",'数据-取费表'!N16,INDIRECT("'数据-取费表'!n"&amp;$G$1)))</f>
        <v>1</v>
      </c>
      <c r="G34" s="263" t="s">
        <v>2382</v>
      </c>
    </row>
    <row r="35" spans="1:7" ht="13.5" customHeight="1">
      <c r="A35" s="951" t="s">
        <v>796</v>
      </c>
      <c r="B35" s="259" t="s">
        <v>2383</v>
      </c>
      <c r="C35" s="264">
        <f ca="1">ROUND(C34*F35,0)</f>
        <v>74</v>
      </c>
      <c r="D35" s="264"/>
      <c r="E35" s="264"/>
      <c r="F35" s="303">
        <f>'数据-取费表'!B33</f>
        <v>0.03</v>
      </c>
      <c r="G35" s="263" t="s">
        <v>2384</v>
      </c>
    </row>
    <row r="36" spans="1:7" ht="24">
      <c r="A36" s="951"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1" t="s">
        <v>798</v>
      </c>
      <c r="B37" s="259" t="s">
        <v>2387</v>
      </c>
      <c r="C37" s="293">
        <f ca="1">ROUND(E37*D37*F34/10000,0)</f>
        <v>166</v>
      </c>
      <c r="D37" s="261">
        <f ca="1">D19</f>
        <v>8276.64</v>
      </c>
      <c r="E37" s="293">
        <f>'数据-取费表'!B35</f>
        <v>200</v>
      </c>
      <c r="F37" s="303"/>
      <c r="G37" s="305" t="s">
        <v>2388</v>
      </c>
    </row>
    <row r="38" spans="1:7" ht="13.5" customHeight="1">
      <c r="A38" s="951" t="s">
        <v>799</v>
      </c>
      <c r="B38" s="259" t="s">
        <v>2389</v>
      </c>
      <c r="C38" s="264">
        <f ca="1">ROUND(C34*F38,0)</f>
        <v>37</v>
      </c>
      <c r="D38" s="264"/>
      <c r="E38" s="264"/>
      <c r="F38" s="303">
        <f>'数据-取费表'!B36</f>
        <v>1.4999999999999999E-2</v>
      </c>
      <c r="G38" s="263" t="s">
        <v>2384</v>
      </c>
    </row>
    <row r="39" spans="1:7" s="258" customFormat="1" ht="13.5" customHeight="1">
      <c r="A39" s="299" t="s">
        <v>2390</v>
      </c>
      <c r="B39" s="254" t="s">
        <v>2391</v>
      </c>
      <c r="C39" s="276">
        <f ca="1">ROUND(C33*F20,0)</f>
        <v>28</v>
      </c>
      <c r="D39" s="276"/>
      <c r="E39" s="276"/>
      <c r="F39" s="277"/>
      <c r="G39" s="278" t="s">
        <v>2392</v>
      </c>
    </row>
    <row r="40" spans="1:7" s="258" customFormat="1" ht="13.5" customHeight="1">
      <c r="A40" s="299" t="s">
        <v>2393</v>
      </c>
      <c r="B40" s="254" t="s">
        <v>2394</v>
      </c>
      <c r="C40" s="1728">
        <f>F21</f>
        <v>0.01</v>
      </c>
      <c r="D40" s="280" t="s">
        <v>2395</v>
      </c>
      <c r="E40" s="276"/>
      <c r="F40" s="277"/>
      <c r="G40" s="278" t="s">
        <v>2396</v>
      </c>
    </row>
    <row r="41" spans="1:7" s="258" customFormat="1" ht="13.5" customHeight="1">
      <c r="A41" s="299" t="s">
        <v>2397</v>
      </c>
      <c r="B41" s="254" t="s">
        <v>2398</v>
      </c>
      <c r="C41" s="276">
        <f ca="1">ROUND(SUM(C42:C43),0)</f>
        <v>132</v>
      </c>
      <c r="D41" s="279">
        <f ca="1">C44</f>
        <v>5.0000000000000001E-4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ROUND(IF('数据-取费表'!B22&lt;=1,C33*F22*'数据-取费表'!B21/2,C33*(POWER((1+F22),'数据-取费表'!B21/2)-1)),0)</f>
        <v>131</v>
      </c>
      <c r="D42" s="282"/>
      <c r="E42" s="282"/>
      <c r="F42" s="283"/>
      <c r="G42" s="3153" t="s">
        <v>2400</v>
      </c>
    </row>
    <row r="43" spans="1:7" ht="13.5" customHeight="1">
      <c r="A43" s="951" t="s">
        <v>792</v>
      </c>
      <c r="B43" s="259" t="s">
        <v>2401</v>
      </c>
      <c r="C43" s="282">
        <f ca="1">ROUND(IF('数据-取费表'!B22&lt;=1,C39*F22*'数据-取费表'!B21/2,C39*(POWER((1+F22),'数据-取费表'!B21/2)-1)),0)</f>
        <v>1</v>
      </c>
      <c r="D43" s="282"/>
      <c r="E43" s="282"/>
      <c r="F43" s="283"/>
      <c r="G43" s="3154"/>
    </row>
    <row r="44" spans="1:7" ht="13.5" customHeight="1">
      <c r="A44" s="951" t="s">
        <v>793</v>
      </c>
      <c r="B44" s="259" t="s">
        <v>2402</v>
      </c>
      <c r="C44" s="282">
        <f ca="1">ROUND(IF('数据-取费表'!B22&lt;=1,C40*F22*'数据-取费表'!B21/2,C40*(POWER((1+F22),'数据-取费表'!B21/2)-1)),4)</f>
        <v>5.0000000000000001E-4</v>
      </c>
      <c r="D44" s="282"/>
      <c r="E44" s="282"/>
      <c r="F44" s="283"/>
      <c r="G44" s="3155"/>
    </row>
    <row r="45" spans="1:7" s="258" customFormat="1" ht="13.5" customHeight="1">
      <c r="A45" s="299" t="s">
        <v>2403</v>
      </c>
      <c r="B45" s="288" t="s">
        <v>2369</v>
      </c>
      <c r="C45" s="289">
        <f ca="1">C46</f>
        <v>558</v>
      </c>
      <c r="D45" s="279">
        <f ca="1">C47</f>
        <v>2E-3</v>
      </c>
      <c r="E45" s="280" t="s">
        <v>2395</v>
      </c>
      <c r="F45" s="290"/>
      <c r="G45" s="291" t="s">
        <v>2404</v>
      </c>
    </row>
    <row r="46" spans="1:7" s="258" customFormat="1" ht="13.5" customHeight="1">
      <c r="A46" s="951" t="s">
        <v>791</v>
      </c>
      <c r="B46" s="292" t="s">
        <v>2405</v>
      </c>
      <c r="C46" s="293">
        <f ca="1">ROUND((C33+C39)*F27,0)</f>
        <v>558</v>
      </c>
      <c r="D46" s="307"/>
      <c r="E46" s="280"/>
      <c r="F46" s="290"/>
      <c r="G46" s="291"/>
    </row>
    <row r="47" spans="1:7" s="258" customFormat="1" ht="13.5" customHeight="1">
      <c r="A47" s="951" t="s">
        <v>792</v>
      </c>
      <c r="B47" s="292" t="s">
        <v>2406</v>
      </c>
      <c r="C47" s="282">
        <f ca="1">ROUND(C40*F27,4)</f>
        <v>2E-3</v>
      </c>
      <c r="D47" s="307"/>
      <c r="E47" s="280"/>
      <c r="F47" s="290"/>
      <c r="G47" s="291"/>
    </row>
    <row r="48" spans="1:7" s="258" customFormat="1" ht="13.5" customHeight="1">
      <c r="A48" s="299" t="s">
        <v>2368</v>
      </c>
      <c r="B48" s="254" t="s">
        <v>2407</v>
      </c>
      <c r="C48" s="1728">
        <f>ROUND(F30/(1+'数据-取费表'!C42),4)</f>
        <v>5.33E-2</v>
      </c>
      <c r="D48" s="280" t="s">
        <v>2395</v>
      </c>
      <c r="E48" s="276"/>
      <c r="F48" s="281"/>
      <c r="G48" s="278" t="s">
        <v>2408</v>
      </c>
    </row>
    <row r="49" spans="1:7" ht="16.5" customHeight="1">
      <c r="A49" s="299" t="s">
        <v>2374</v>
      </c>
      <c r="B49" s="254" t="s">
        <v>2409</v>
      </c>
      <c r="C49" s="276">
        <f ca="1">ROUND((C33+C39+C41+C45)/(1-C40-D41-D45-C48),0)</f>
        <v>3723</v>
      </c>
      <c r="D49" s="276"/>
      <c r="E49" s="276"/>
      <c r="F49" s="308"/>
      <c r="G49" s="278" t="s">
        <v>2410</v>
      </c>
    </row>
    <row r="50" spans="1:7" s="302" customFormat="1" ht="24">
      <c r="A50" s="299" t="s">
        <v>2411</v>
      </c>
      <c r="B50" s="254" t="s">
        <v>2412</v>
      </c>
      <c r="C50" s="276"/>
      <c r="D50" s="276"/>
      <c r="E50" s="276"/>
      <c r="F50" s="308">
        <f>IF('数据-取费表'!B24=0,'数据-取费表'!N16,1)</f>
        <v>0.73</v>
      </c>
      <c r="G50" s="291" t="s">
        <v>2413</v>
      </c>
    </row>
    <row r="51" spans="1:7" ht="16.5" customHeight="1">
      <c r="A51" s="299" t="s">
        <v>2414</v>
      </c>
      <c r="B51" s="254" t="s">
        <v>2415</v>
      </c>
      <c r="C51" s="276">
        <f ca="1">ROUND(C49*F50,0)</f>
        <v>2718</v>
      </c>
      <c r="D51" s="276"/>
      <c r="E51" s="276"/>
      <c r="F51" s="308"/>
      <c r="G51" s="278" t="s">
        <v>2416</v>
      </c>
    </row>
    <row r="52" spans="1:7" s="252" customFormat="1" ht="16.5" thickBot="1">
      <c r="A52" s="309" t="s">
        <v>2417</v>
      </c>
      <c r="B52" s="310"/>
      <c r="C52" s="311">
        <f ca="1">C31+C51</f>
        <v>32325</v>
      </c>
      <c r="D52" s="310"/>
      <c r="E52" s="310"/>
      <c r="F52" s="310"/>
      <c r="G52" s="312"/>
    </row>
    <row r="55" spans="1:7" ht="15">
      <c r="B55" s="314" t="s">
        <v>2418</v>
      </c>
      <c r="C55" s="315"/>
    </row>
    <row r="56" spans="1:7">
      <c r="B56" s="317" t="s">
        <v>1507</v>
      </c>
      <c r="C56" s="319">
        <f ca="1">1-C57</f>
        <v>0.91600000000000004</v>
      </c>
    </row>
    <row r="57" spans="1:7">
      <c r="B57" s="317" t="s">
        <v>1508</v>
      </c>
      <c r="C57" s="318">
        <f ca="1">ROUND(C51/C52,3)</f>
        <v>8.4000000000000005E-2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42" activeCellId="1" sqref="B49 E42"/>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7" t="str">
        <f>项目基本情况!B1</f>
        <v>北京市海淀区中关村大街18号六层综合用房房地产抵押价值预评估</v>
      </c>
      <c r="C37" s="2967"/>
      <c r="D37" s="2967"/>
      <c r="E37" s="2967"/>
      <c r="F37" s="2967"/>
      <c r="G37" s="2967"/>
      <c r="H37" s="2967"/>
      <c r="I37" s="2967"/>
    </row>
    <row r="38" spans="1:9">
      <c r="A38" s="1016"/>
      <c r="B38" s="1016"/>
    </row>
    <row r="39" spans="1:9">
      <c r="A39" s="1014" t="s">
        <v>818</v>
      </c>
      <c r="B39" s="1014" t="s">
        <v>820</v>
      </c>
    </row>
    <row r="40" spans="1:9">
      <c r="A40" s="1014"/>
      <c r="B40" s="1941" t="str">
        <f>项目基本情况!B5</f>
        <v>大连国美电器有限公司</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吴薇（注册号：1419970001)、崔锴（注册号：1120100036)</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R30" sqref="R30"/>
    </sheetView>
  </sheetViews>
  <sheetFormatPr defaultColWidth="12" defaultRowHeight="12.75"/>
  <cols>
    <col min="1" max="1" width="9.75" style="2786" customWidth="1"/>
    <col min="2" max="2" width="19.25"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2795</v>
      </c>
      <c r="B1" s="241"/>
      <c r="C1" s="245" t="s">
        <v>2796</v>
      </c>
      <c r="D1" s="388">
        <f>SUM(D29:D30,D33:D39)</f>
        <v>8276.64</v>
      </c>
      <c r="E1" s="2715"/>
      <c r="F1" s="2715"/>
      <c r="G1" s="2715"/>
      <c r="H1" s="2715"/>
      <c r="I1" s="2715"/>
      <c r="J1" s="2715"/>
      <c r="K1" s="1370"/>
      <c r="L1" s="2716" t="s">
        <v>2797</v>
      </c>
      <c r="M1" s="1080">
        <f>SUMPRODUCT((区片价!B5:B9=I2)*(区片价!C3:F3=E2)*(区片价!C5:F9))</f>
        <v>0</v>
      </c>
      <c r="N1" s="1083">
        <f>SUMPRODUCT((因素修正幅度!B5:B9=I2)*(因素修正幅度!C3:F3=E2)*(因素修正幅度!C5:F9))</f>
        <v>0</v>
      </c>
      <c r="O1" s="2717"/>
      <c r="P1" s="2717"/>
      <c r="Q1" s="1370"/>
      <c r="R1" s="1602" t="s">
        <v>2798</v>
      </c>
      <c r="S1" s="1602" t="s">
        <v>2799</v>
      </c>
      <c r="T1" s="1602" t="s">
        <v>2800</v>
      </c>
      <c r="U1" s="1602" t="s">
        <v>2801</v>
      </c>
      <c r="V1" s="1602" t="s">
        <v>2802</v>
      </c>
      <c r="W1" s="1606"/>
      <c r="X1" s="1606"/>
      <c r="Y1" s="1606"/>
      <c r="Z1" s="1606"/>
      <c r="AA1" s="1606"/>
      <c r="AB1" s="1606"/>
      <c r="AC1" s="1607"/>
      <c r="AD1" s="1608"/>
      <c r="AE1" s="1608"/>
      <c r="AF1" s="1608"/>
      <c r="AG1" s="1608"/>
      <c r="AH1" s="1608"/>
      <c r="AI1" s="1608"/>
      <c r="AJ1" s="1609"/>
    </row>
    <row r="2" spans="1:36" ht="15.75">
      <c r="A2" s="245" t="s">
        <v>2803</v>
      </c>
      <c r="B2" s="248">
        <f ca="1">C26</f>
        <v>20171</v>
      </c>
      <c r="C2" s="2719" t="s">
        <v>2804</v>
      </c>
      <c r="D2" s="2720" t="s">
        <v>2805</v>
      </c>
      <c r="E2" s="2721" t="s">
        <v>27</v>
      </c>
      <c r="F2" s="2720" t="s">
        <v>2806</v>
      </c>
      <c r="G2" s="2722" t="str">
        <f>IF(E2="商业",项目基本情况!B37,IF(E2="办公",项目基本情况!C37,IF(E2="住宅",项目基本情况!D37,项目基本情况!E37)))</f>
        <v>二级</v>
      </c>
      <c r="H2" s="2720" t="s">
        <v>2807</v>
      </c>
      <c r="I2" s="2722" t="str">
        <f>IF(E2="商业",项目基本情况!B38,IF(E2="办公",项目基本情况!C38,IF(E2="住宅",项目基本情况!D38,项目基本情况!E38)))</f>
        <v>Ⅱ—03</v>
      </c>
      <c r="J2" s="2723"/>
      <c r="K2" s="1370"/>
      <c r="L2" s="2724" t="s">
        <v>2808</v>
      </c>
      <c r="M2" s="1081">
        <f>SUMPRODUCT((区片价!B10:B28=I2)*(区片价!C3:F3=E2)*(区片价!C10:F28))</f>
        <v>23180</v>
      </c>
      <c r="N2" s="1083">
        <f>SUMPRODUCT((因素修正幅度!B10:B28=I2)*(因素修正幅度!C3:F3=E2)*(因素修正幅度!C10:F28))</f>
        <v>7.0999999999999994E-2</v>
      </c>
      <c r="O2" s="1370"/>
      <c r="P2" s="1370"/>
      <c r="Q2" s="1370"/>
      <c r="R2" s="1602">
        <v>1</v>
      </c>
      <c r="S2" s="1602">
        <f>ROUND(IF(G3&gt;1,IF(R2&lt;7,SUMPRODUCT((B93:B98=R2)*(C92:N92=G2)*(C93:N98)),SUMIF(C92:N92,G2,C100:N100)),IF(R2&lt;7,SUMPRODUCT((B102:B107=R2)*(C92:N92=G2)*(C102:N107)),SUMIF(C92:N92,G2,C109:N109))),4)</f>
        <v>1.9361999999999999</v>
      </c>
      <c r="T2" s="1602">
        <f ca="1">ROUND($C$5*$C$18*$C$19*$C$20*S2*$C$24,0)</f>
        <v>56008</v>
      </c>
      <c r="U2" s="1603"/>
      <c r="V2" s="1602">
        <f ca="1">ROUND(T2*U2/10000,0)</f>
        <v>0</v>
      </c>
      <c r="W2" s="1606"/>
      <c r="X2" s="1606"/>
      <c r="Y2" s="1606"/>
      <c r="Z2" s="1606"/>
      <c r="AA2" s="1606"/>
      <c r="AB2" s="1606"/>
      <c r="AC2" s="1607"/>
      <c r="AD2" s="1608"/>
      <c r="AE2" s="1608"/>
      <c r="AF2" s="1608"/>
      <c r="AG2" s="1608"/>
      <c r="AH2" s="1608"/>
      <c r="AI2" s="1608"/>
      <c r="AJ2" s="1609"/>
    </row>
    <row r="3" spans="1:36" ht="25.5">
      <c r="A3" s="247" t="s">
        <v>2809</v>
      </c>
      <c r="B3" s="248">
        <f ca="1">ROUND(B2*10000/D1,0)</f>
        <v>24371</v>
      </c>
      <c r="C3" s="2719" t="s">
        <v>2810</v>
      </c>
      <c r="D3" s="2720" t="s">
        <v>2811</v>
      </c>
      <c r="E3" s="2725" t="s">
        <v>3067</v>
      </c>
      <c r="F3" s="2726" t="s">
        <v>2812</v>
      </c>
      <c r="G3" s="916">
        <f>IF(F3="宗地容积率",'数据-汇总表'!I4,IF(F3="估价对象容积率",'数据-汇总表'!I6,'数据-汇总表'!I7))</f>
        <v>8.92</v>
      </c>
      <c r="H3" s="198" t="s">
        <v>2813</v>
      </c>
      <c r="I3" s="944"/>
      <c r="J3" s="2723" t="s">
        <v>2814</v>
      </c>
      <c r="K3" s="1370"/>
      <c r="L3" s="2724" t="s">
        <v>2815</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1.4198</v>
      </c>
      <c r="T3" s="1602">
        <f t="shared" ref="T3:T16" ca="1" si="0">ROUND($C$5*$C$18*$C$19*$C$20*S3*$C$24,0)</f>
        <v>41071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72"/>
      <c r="B4" s="3173"/>
      <c r="C4" s="3173"/>
      <c r="D4" s="3174"/>
      <c r="E4" s="3174"/>
      <c r="F4" s="3174"/>
      <c r="G4" s="3174"/>
      <c r="H4" s="3174"/>
      <c r="I4" s="3174"/>
      <c r="J4" s="3175"/>
      <c r="K4" s="1370"/>
      <c r="L4" s="2724" t="s">
        <v>2816</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1.1594</v>
      </c>
      <c r="T4" s="1602">
        <f t="shared" ca="1" si="0"/>
        <v>33538</v>
      </c>
      <c r="U4" s="1603"/>
      <c r="V4" s="1602">
        <f t="shared" ca="1" si="1"/>
        <v>0</v>
      </c>
      <c r="W4" s="1606"/>
      <c r="X4" s="1606"/>
      <c r="Y4" s="1606"/>
      <c r="Z4" s="1606"/>
      <c r="AA4" s="1606"/>
      <c r="AB4" s="1606"/>
      <c r="AC4" s="1607"/>
      <c r="AD4" s="1608"/>
      <c r="AE4" s="1608"/>
      <c r="AF4" s="1608"/>
      <c r="AG4" s="1608"/>
      <c r="AH4" s="1608"/>
      <c r="AI4" s="1608"/>
      <c r="AJ4" s="1609"/>
    </row>
    <row r="5" spans="1:36" s="2736" customFormat="1" ht="15.75" thickBot="1">
      <c r="A5" s="2727" t="s">
        <v>807</v>
      </c>
      <c r="B5" s="2728" t="s">
        <v>2817</v>
      </c>
      <c r="C5" s="917">
        <f>ROUND(IF(E2="商业",C6*C7+C16,(IF(E2="住宅",C6*C12+C16,C6+C16))),0)</f>
        <v>23149</v>
      </c>
      <c r="D5" s="1787">
        <f>ROUND(C6+C16,0)</f>
        <v>23149</v>
      </c>
      <c r="E5" s="1787"/>
      <c r="F5" s="2729"/>
      <c r="G5" s="2730"/>
      <c r="H5" s="2730"/>
      <c r="I5" s="2730"/>
      <c r="J5" s="2731"/>
      <c r="K5" s="2732"/>
      <c r="L5" s="2724" t="s">
        <v>2818</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0.96220000000000006</v>
      </c>
      <c r="T5" s="1602">
        <f t="shared" ca="1" si="0"/>
        <v>27834</v>
      </c>
      <c r="U5" s="1603"/>
      <c r="V5" s="1602">
        <f t="shared" ca="1" si="1"/>
        <v>0</v>
      </c>
      <c r="W5" s="1606"/>
      <c r="X5" s="1606"/>
      <c r="Y5" s="1606"/>
      <c r="Z5" s="1606"/>
      <c r="AA5" s="1606"/>
      <c r="AB5" s="1606"/>
      <c r="AC5" s="2733"/>
      <c r="AD5" s="2734"/>
      <c r="AE5" s="2734"/>
      <c r="AF5" s="2734"/>
      <c r="AG5" s="2734"/>
      <c r="AH5" s="2734"/>
      <c r="AI5" s="2734"/>
      <c r="AJ5" s="2735"/>
    </row>
    <row r="6" spans="1:36" ht="15.75" thickBot="1">
      <c r="A6" s="2737" t="s">
        <v>2819</v>
      </c>
      <c r="B6" s="2738" t="s">
        <v>2820</v>
      </c>
      <c r="C6" s="918">
        <f>SUMIF(L1:L12,G2,M1:M12)</f>
        <v>23180</v>
      </c>
      <c r="D6" s="2739" t="s">
        <v>2821</v>
      </c>
      <c r="E6" s="2740"/>
      <c r="F6" s="2740"/>
      <c r="G6" s="2741"/>
      <c r="H6" s="2741"/>
      <c r="I6" s="2741"/>
      <c r="J6" s="2742"/>
      <c r="K6" s="1842"/>
      <c r="L6" s="2724" t="s">
        <v>2822</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0.8417</v>
      </c>
      <c r="T6" s="1602">
        <f t="shared" ca="1" si="0"/>
        <v>24348</v>
      </c>
      <c r="U6" s="1603"/>
      <c r="V6" s="1602">
        <f t="shared" ca="1" si="1"/>
        <v>0</v>
      </c>
      <c r="W6" s="1606"/>
      <c r="X6" s="1606"/>
      <c r="Y6" s="1606"/>
      <c r="Z6" s="1606"/>
      <c r="AA6" s="1606"/>
      <c r="AB6" s="1606"/>
      <c r="AC6" s="2733"/>
      <c r="AD6" s="2734"/>
      <c r="AE6" s="2734"/>
      <c r="AF6" s="2734"/>
      <c r="AG6" s="2734"/>
      <c r="AH6" s="2734"/>
      <c r="AI6" s="2734"/>
      <c r="AJ6" s="2735"/>
    </row>
    <row r="7" spans="1:36" ht="24">
      <c r="A7" s="3156" t="str">
        <f>IF(E2="商业",IF(C8="不临58条商业街","",2),"")</f>
        <v/>
      </c>
      <c r="B7" s="2743" t="s">
        <v>2823</v>
      </c>
      <c r="C7" s="919">
        <f>IF(C8="不临58条商业街",1,ROUND(1+(1.6*E8+1.2*E9+0.8*E10+0.4*E11)*C9,4))</f>
        <v>1</v>
      </c>
      <c r="D7" s="2744" t="s">
        <v>2824</v>
      </c>
      <c r="E7" s="945"/>
      <c r="F7" s="2745"/>
      <c r="G7" s="2746"/>
      <c r="H7" s="2746"/>
      <c r="I7" s="2746"/>
      <c r="J7" s="2747"/>
      <c r="K7" s="1842"/>
      <c r="L7" s="2724" t="s">
        <v>2825</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0.76080000000000003</v>
      </c>
      <c r="T7" s="1602">
        <f t="shared" ca="1" si="0"/>
        <v>22008</v>
      </c>
      <c r="U7" s="1603"/>
      <c r="V7" s="1602">
        <f t="shared" ca="1" si="1"/>
        <v>0</v>
      </c>
      <c r="W7" s="1816" t="s">
        <v>2826</v>
      </c>
      <c r="X7" s="1604" t="str">
        <f>G2</f>
        <v>二级</v>
      </c>
      <c r="Y7" s="1604" t="s">
        <v>2827</v>
      </c>
      <c r="Z7" s="1605">
        <f>G3</f>
        <v>8.92</v>
      </c>
      <c r="AA7" s="1606"/>
      <c r="AB7" s="1606"/>
      <c r="AC7" s="1607"/>
      <c r="AD7" s="1608"/>
      <c r="AE7" s="1608"/>
      <c r="AF7" s="1608"/>
      <c r="AG7" s="1608"/>
      <c r="AH7" s="1608"/>
      <c r="AI7" s="1608"/>
      <c r="AJ7" s="1609"/>
    </row>
    <row r="8" spans="1:36" ht="25.5">
      <c r="A8" s="3176"/>
      <c r="B8" s="198" t="s">
        <v>2828</v>
      </c>
      <c r="C8" s="2748" t="s">
        <v>3068</v>
      </c>
      <c r="D8" s="920" t="s">
        <v>139</v>
      </c>
      <c r="E8" s="921" t="e">
        <f>ROUND(C11/E7,4)</f>
        <v>#DIV/0!</v>
      </c>
      <c r="F8" s="2749" t="s">
        <v>2829</v>
      </c>
      <c r="G8" s="2750"/>
      <c r="H8" s="2750"/>
      <c r="I8" s="2750"/>
      <c r="J8" s="2751"/>
      <c r="K8" s="1370"/>
      <c r="L8" s="2724" t="s">
        <v>2830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9" t="s">
        <v>2831</v>
      </c>
      <c r="X8" s="3170"/>
      <c r="Y8" s="1610" t="s">
        <v>2832</v>
      </c>
      <c r="Z8" s="1610" t="s">
        <v>2833</v>
      </c>
      <c r="AA8" s="1610" t="s">
        <v>2834</v>
      </c>
      <c r="AB8" s="1610" t="s">
        <v>2835</v>
      </c>
      <c r="AC8" s="1610" t="s">
        <v>2836</v>
      </c>
      <c r="AD8" s="1610" t="s">
        <v>2837</v>
      </c>
      <c r="AE8" s="1610" t="s">
        <v>2838</v>
      </c>
      <c r="AF8" s="1610" t="s">
        <v>2839</v>
      </c>
      <c r="AG8" s="1610" t="s">
        <v>2840</v>
      </c>
      <c r="AH8" s="1610" t="s">
        <v>2841</v>
      </c>
      <c r="AI8" s="1610" t="s">
        <v>2842</v>
      </c>
      <c r="AJ8" s="1610" t="s">
        <v>2843</v>
      </c>
    </row>
    <row r="9" spans="1:36" ht="15">
      <c r="A9" s="3176"/>
      <c r="B9" s="198" t="s">
        <v>2844</v>
      </c>
      <c r="C9" s="922">
        <f>SUMIF(修正!C59:C119,C8,修正!E59:E119)</f>
        <v>0</v>
      </c>
      <c r="D9" s="200" t="s">
        <v>140</v>
      </c>
      <c r="E9" s="200" t="e">
        <f>ROUND(C11/E7,4)</f>
        <v>#DIV/0!</v>
      </c>
      <c r="F9" s="2749" t="s">
        <v>2845</v>
      </c>
      <c r="G9" s="2750"/>
      <c r="H9" s="2750"/>
      <c r="I9" s="2750"/>
      <c r="J9" s="2751"/>
      <c r="K9" s="1370"/>
      <c r="L9" s="2724" t="s">
        <v>2846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71" t="s">
        <v>2847</v>
      </c>
      <c r="X9" s="1611" t="s">
        <v>2848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76"/>
      <c r="B10" s="198" t="s">
        <v>2849</v>
      </c>
      <c r="C10" s="200">
        <f>SUMIF(修正!C59:C119,C8,修正!F59:F119)</f>
        <v>0</v>
      </c>
      <c r="D10" s="200" t="s">
        <v>141</v>
      </c>
      <c r="E10" s="200" t="e">
        <f>ROUND(C11/E7,4)</f>
        <v>#DIV/0!</v>
      </c>
      <c r="F10" s="2749" t="s">
        <v>2850</v>
      </c>
      <c r="G10" s="2750"/>
      <c r="H10" s="2750"/>
      <c r="I10" s="2750"/>
      <c r="J10" s="2751"/>
      <c r="K10" s="1370"/>
      <c r="L10" s="2724" t="s">
        <v>2851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71"/>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76"/>
      <c r="B11" s="2752" t="s">
        <v>2852</v>
      </c>
      <c r="C11" s="923">
        <f>C10/4</f>
        <v>0</v>
      </c>
      <c r="D11" s="923" t="s">
        <v>142</v>
      </c>
      <c r="E11" s="923" t="e">
        <f>ROUND(C11/E7,4)</f>
        <v>#DIV/0!</v>
      </c>
      <c r="F11" s="2753" t="s">
        <v>2853</v>
      </c>
      <c r="G11" s="2754"/>
      <c r="H11" s="2754"/>
      <c r="I11" s="2754"/>
      <c r="J11" s="2755"/>
      <c r="K11" s="1370"/>
      <c r="L11" s="2724" t="s">
        <v>2854</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71" t="s">
        <v>2855</v>
      </c>
      <c r="X11" s="1614" t="s">
        <v>2856</v>
      </c>
      <c r="Y11" s="1615">
        <f>$G$3</f>
        <v>8.92</v>
      </c>
      <c r="Z11" s="1615">
        <f t="shared" ref="Z11:AJ11" si="3">$G$3</f>
        <v>8.92</v>
      </c>
      <c r="AA11" s="1615">
        <f t="shared" si="3"/>
        <v>8.92</v>
      </c>
      <c r="AB11" s="1615">
        <f t="shared" si="3"/>
        <v>8.92</v>
      </c>
      <c r="AC11" s="1615">
        <f t="shared" si="3"/>
        <v>8.92</v>
      </c>
      <c r="AD11" s="1615">
        <f t="shared" si="3"/>
        <v>8.92</v>
      </c>
      <c r="AE11" s="1615">
        <f t="shared" si="3"/>
        <v>8.92</v>
      </c>
      <c r="AF11" s="1615">
        <f t="shared" si="3"/>
        <v>8.92</v>
      </c>
      <c r="AG11" s="1615">
        <f t="shared" si="3"/>
        <v>8.92</v>
      </c>
      <c r="AH11" s="1615">
        <f t="shared" si="3"/>
        <v>8.92</v>
      </c>
      <c r="AI11" s="1615">
        <f t="shared" si="3"/>
        <v>8.92</v>
      </c>
      <c r="AJ11" s="1615">
        <f t="shared" si="3"/>
        <v>8.92</v>
      </c>
    </row>
    <row r="12" spans="1:36" ht="25.5" thickBot="1">
      <c r="A12" s="3156" t="s">
        <v>2857</v>
      </c>
      <c r="B12" s="2756" t="s">
        <v>2858</v>
      </c>
      <c r="C12" s="919">
        <f>ROUND(C15*D15*E15*F15*G15*H15*I15*J15,4)</f>
        <v>1</v>
      </c>
      <c r="D12" s="2757" t="s">
        <v>2859</v>
      </c>
      <c r="E12" s="2758"/>
      <c r="F12" s="2758"/>
      <c r="G12" s="2759"/>
      <c r="H12" s="2759"/>
      <c r="I12" s="2759"/>
      <c r="J12" s="2760"/>
      <c r="K12" s="1370"/>
      <c r="L12" s="2761" t="s">
        <v>2860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71"/>
      <c r="X12" s="1616" t="s">
        <v>2861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7"/>
      <c r="B13" s="2762" t="s">
        <v>2862</v>
      </c>
      <c r="C13" s="2763" t="s">
        <v>2863</v>
      </c>
      <c r="D13" s="1808" t="s">
        <v>2864</v>
      </c>
      <c r="E13" s="1808" t="s">
        <v>2865</v>
      </c>
      <c r="F13" s="30" t="s">
        <v>2866</v>
      </c>
      <c r="G13" s="2764" t="s">
        <v>2867</v>
      </c>
      <c r="H13" s="2764" t="s">
        <v>2867</v>
      </c>
      <c r="I13" s="2764" t="s">
        <v>2867</v>
      </c>
      <c r="J13" s="2765" t="s">
        <v>2867</v>
      </c>
      <c r="K13" s="1370"/>
      <c r="L13" s="1370"/>
      <c r="M13" s="1370"/>
      <c r="N13" s="1370"/>
      <c r="O13" s="1370"/>
      <c r="P13" s="1370"/>
      <c r="Q13" s="1370"/>
      <c r="R13" s="1602">
        <v>12</v>
      </c>
      <c r="S13" s="1603"/>
      <c r="T13" s="1602">
        <f t="shared" ca="1" si="0"/>
        <v>0</v>
      </c>
      <c r="U13" s="1603"/>
      <c r="V13" s="1602">
        <f t="shared" ca="1" si="1"/>
        <v>0</v>
      </c>
      <c r="W13" s="3171"/>
      <c r="X13" s="1616"/>
      <c r="Y13" s="1613">
        <f>(-0.163*(Y12^2)-0.59*Y12+7617)*(10^(-4))/Y11</f>
        <v>8.5392376681614354E-2</v>
      </c>
      <c r="Z13" s="1613">
        <f t="shared" ref="Z13:AJ13" si="5">(-0.163*(Z12^2)-0.59*Z12+7617)*(10^(-4))/Z11</f>
        <v>8.5392376681614354E-2</v>
      </c>
      <c r="AA13" s="1613">
        <f t="shared" si="5"/>
        <v>8.5392376681614354E-2</v>
      </c>
      <c r="AB13" s="1613">
        <f t="shared" si="5"/>
        <v>8.5392376681614354E-2</v>
      </c>
      <c r="AC13" s="1613">
        <f t="shared" si="5"/>
        <v>8.5392376681614354E-2</v>
      </c>
      <c r="AD13" s="1613">
        <f t="shared" si="5"/>
        <v>8.5392376681614354E-2</v>
      </c>
      <c r="AE13" s="1613">
        <f t="shared" si="5"/>
        <v>8.5392376681614354E-2</v>
      </c>
      <c r="AF13" s="1613">
        <f t="shared" si="5"/>
        <v>8.5392376681614354E-2</v>
      </c>
      <c r="AG13" s="1613">
        <f t="shared" si="5"/>
        <v>8.5392376681614354E-2</v>
      </c>
      <c r="AH13" s="1613">
        <f t="shared" si="5"/>
        <v>8.5392376681614354E-2</v>
      </c>
      <c r="AI13" s="1613">
        <f t="shared" si="5"/>
        <v>8.5392376681614354E-2</v>
      </c>
      <c r="AJ13" s="1613">
        <f t="shared" si="5"/>
        <v>8.5392376681614354E-2</v>
      </c>
    </row>
    <row r="14" spans="1:36" ht="15">
      <c r="A14" s="3177"/>
      <c r="B14" s="2766"/>
      <c r="C14" s="2767"/>
      <c r="D14" s="2768"/>
      <c r="E14" s="2768"/>
      <c r="F14" s="2769"/>
      <c r="G14" s="2770" t="s">
        <v>2868</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8"/>
      <c r="B15" s="2774" t="s">
        <v>2869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thickBot="1">
      <c r="A16" s="3156" t="s">
        <v>2874</v>
      </c>
      <c r="B16" s="2743" t="s">
        <v>2875</v>
      </c>
      <c r="C16" s="2941">
        <f>ROUND(IF(F17="与级别开发程度一致",0,(G17-E17)/C17),0)</f>
        <v>-31</v>
      </c>
      <c r="D16" s="3167" t="s">
        <v>2879</v>
      </c>
      <c r="E16" s="3168"/>
      <c r="F16" s="3167" t="s">
        <v>2876</v>
      </c>
      <c r="G16" s="3168"/>
      <c r="H16" s="2777" t="s">
        <v>3069</v>
      </c>
      <c r="I16" s="2777" t="s">
        <v>3070</v>
      </c>
      <c r="J16" s="2933" t="s">
        <v>3071</v>
      </c>
      <c r="K16" s="2777" t="s">
        <v>3072</v>
      </c>
      <c r="L16" s="2777" t="s">
        <v>3073</v>
      </c>
      <c r="M16" s="2777" t="s">
        <v>3130</v>
      </c>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7"/>
      <c r="B17" s="2940" t="s">
        <v>2878</v>
      </c>
      <c r="C17" s="2941">
        <f>SUMPRODUCT((修正!A2:A5=E2)*(修正!B1:M1=G2)*(修正!B2:M5))</f>
        <v>3.5</v>
      </c>
      <c r="D17" s="229" t="str">
        <f>IF(OR(G2="八级",G2="九级",G2="十级",G2="十一级",G2="十二级"),"五通一平","七通一平")</f>
        <v>七通一平</v>
      </c>
      <c r="E17" s="2930">
        <f>SUMPRODUCT((修正!B1:M1=G2)*(修正!B15:M15))</f>
        <v>375</v>
      </c>
      <c r="F17" s="2931" t="s">
        <v>3074</v>
      </c>
      <c r="G17" s="2932">
        <f>SUM(H17:O17)</f>
        <v>265</v>
      </c>
      <c r="H17" s="2941">
        <f>SUMPRODUCT((七通一平=H16)*(修正!B1:M1=G2)*(修正!B6:M14))</f>
        <v>80</v>
      </c>
      <c r="I17" s="2941">
        <f>SUMPRODUCT((七通一平=I16)*(修正!B1:M1=G2)*(修正!B6:M14))</f>
        <v>70</v>
      </c>
      <c r="J17" s="2942">
        <f>SUMPRODUCT((七通一平=J16)*(修正!B1:M1=G2)*(修正!B6:M14))</f>
        <v>20</v>
      </c>
      <c r="K17" s="2941">
        <f>SUMPRODUCT((七通一平=K16)*(修正!B1:M1=G2)*(修正!B6:M14))</f>
        <v>30</v>
      </c>
      <c r="L17" s="2941">
        <f>SUMPRODUCT((七通一平=L16)*(修正!B1:M1=G2)*(修正!B6:M14))</f>
        <v>45</v>
      </c>
      <c r="M17" s="2941">
        <f>SUMPRODUCT((七通一平=M16)*(修正!B1:M1=G2)*(修正!B6:M14))</f>
        <v>20</v>
      </c>
      <c r="N17" s="2941">
        <f>SUMPRODUCT((七通一平=N16)*(修正!B1:M1=G2)*(修正!B6:M14))</f>
        <v>0</v>
      </c>
      <c r="O17" s="2943">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4" t="s">
        <v>808</v>
      </c>
      <c r="B18" s="2935" t="s">
        <v>2881</v>
      </c>
      <c r="C18" s="2936">
        <f>SUMIF(修正!C18:C39,E3,修正!E18:E39)</f>
        <v>1</v>
      </c>
      <c r="D18" s="2937"/>
      <c r="E18" s="2938"/>
      <c r="F18" s="2938"/>
      <c r="G18" s="2938"/>
      <c r="H18" s="2938"/>
      <c r="I18" s="2938"/>
      <c r="J18" s="2939"/>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809</v>
      </c>
      <c r="B19" s="2783" t="s">
        <v>2882</v>
      </c>
      <c r="C19" s="924">
        <f>ROUND(IF(H19="按公示增长率计算",SUMPRODUCT((地价!A3:A28=YEAR(G19)&amp;"-"&amp;ROUNDUP(MONTH(G19)/3,0))*(地价!X2:AB2=E2)*(地价!X3:AB28)),IF(H19="地价指数",M20/M19,(1+I19)^O19)),4)</f>
        <v>1.3649</v>
      </c>
      <c r="D19" s="2787" t="s">
        <v>2883</v>
      </c>
      <c r="E19" s="925">
        <v>41640</v>
      </c>
      <c r="F19" s="2787" t="s">
        <v>2884</v>
      </c>
      <c r="G19" s="926">
        <f>'数据-取费表'!B2</f>
        <v>43822</v>
      </c>
      <c r="H19" s="2788" t="s">
        <v>3075</v>
      </c>
      <c r="I19" s="927" t="str">
        <f>IF(H19="季度增幅（自定义）",SUMIF(N21:N24,E2,O21:O24),"")</f>
        <v/>
      </c>
      <c r="J19" s="2785"/>
      <c r="K19" s="1377"/>
      <c r="L19" s="2789" t="s">
        <v>2885</v>
      </c>
      <c r="M19" s="1734">
        <f>ROUND(SUMIF(地价!B2:F2,E2,地价!B28:F28),0)</f>
        <v>258</v>
      </c>
      <c r="N19" s="2790" t="s">
        <v>2886</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810</v>
      </c>
      <c r="B20" s="2795" t="s">
        <v>2887</v>
      </c>
      <c r="C20" s="929">
        <f ca="1">ROUND(POWER(1+G20,J20-I20)*(POWER(1+G20,I20)-1)/(POWER(1+G20,J20)-1),4)</f>
        <v>0.86639999999999995</v>
      </c>
      <c r="D20" s="2796" t="s">
        <v>2888</v>
      </c>
      <c r="E20" s="1768">
        <f ca="1">存贷款利率!D4/100</f>
        <v>4.3499999999999997E-2</v>
      </c>
      <c r="F20" s="2796" t="s">
        <v>2880</v>
      </c>
      <c r="G20" s="934">
        <f ca="1">SUMIF(M26:P26,E2,M28:P28)</f>
        <v>5.1999999999999998E-2</v>
      </c>
      <c r="H20" s="2796" t="s">
        <v>2889</v>
      </c>
      <c r="I20" s="935">
        <f>SUMIF('数据-取费表'!C6:C15,E2,'数据-取费表'!F6:F15)/COUNTIF('数据-取费表'!C6:C15,E2)</f>
        <v>31.52</v>
      </c>
      <c r="J20" s="936">
        <f>IF(E2="住宅",70,IF(E2="商业",40,50))</f>
        <v>50</v>
      </c>
      <c r="K20" s="1377"/>
      <c r="L20" s="2797" t="s">
        <v>2890</v>
      </c>
      <c r="M20" s="1735">
        <f>ROUND(SUMPRODUCT((地价!A4:A28=YEAR(G19)&amp;"-"&amp;ROUNDUP(MONTH(G19)/3,0))*(地价!B2:F2=E2)*(地价!B4:F28)),0)</f>
        <v>352</v>
      </c>
      <c r="N20" s="2798" t="s">
        <v>2891</v>
      </c>
      <c r="O20" s="2799" t="s">
        <v>2892</v>
      </c>
      <c r="P20" s="2800" t="s">
        <v>2893</v>
      </c>
      <c r="R20" s="1376"/>
      <c r="S20" s="1376"/>
      <c r="T20" s="1371"/>
      <c r="U20" s="1371"/>
      <c r="V20" s="1371"/>
      <c r="W20" s="1370"/>
      <c r="X20" s="1370"/>
      <c r="Y20" s="1370"/>
      <c r="Z20" s="1377"/>
      <c r="AA20" s="1378"/>
      <c r="AB20" s="1378"/>
      <c r="AC20" s="1378"/>
      <c r="AD20" s="1378"/>
      <c r="AE20" s="1378"/>
      <c r="AF20" s="1378"/>
    </row>
    <row r="21" spans="1:37" s="2736" customFormat="1" ht="15">
      <c r="A21" s="2801" t="s">
        <v>811</v>
      </c>
      <c r="B21" s="2802" t="s">
        <v>3076</v>
      </c>
      <c r="C21" s="937">
        <f>IF(B21="容积率修正",IF(G3&lt;=10,D22,J22),C23)</f>
        <v>0.84250000000000003</v>
      </c>
      <c r="D21" s="2803"/>
      <c r="E21" s="2803"/>
      <c r="F21" s="2803"/>
      <c r="G21" s="2803"/>
      <c r="H21" s="2803"/>
      <c r="I21" s="2803"/>
      <c r="J21" s="2804"/>
      <c r="K21" s="1377"/>
      <c r="N21" s="2805" t="s">
        <v>2894</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25">
      <c r="A22" s="2662" t="s">
        <v>2895</v>
      </c>
      <c r="B22" s="2806" t="s">
        <v>2896</v>
      </c>
      <c r="C22" s="1810" t="s">
        <v>2897</v>
      </c>
      <c r="D22" s="1810">
        <f>IF(E22=G22,F22,IF(G3&lt;=10,ROUND(F22+(H22-F22)*(G3-E22)/(G22-E22),4),"——"))</f>
        <v>0.84250000000000003</v>
      </c>
      <c r="E22" s="916">
        <f>ROUNDDOWN(G3,1)</f>
        <v>8.9</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0.84279999999999999</v>
      </c>
      <c r="G22" s="916">
        <f>ROUNDUP(G3,1)</f>
        <v>9</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0.84150000000000003</v>
      </c>
      <c r="I22" s="1810" t="s">
        <v>155</v>
      </c>
      <c r="J22" s="938" t="str">
        <f>IF(G3&gt;10,D113,"——")</f>
        <v>——</v>
      </c>
      <c r="K22" s="1377"/>
      <c r="N22" s="2805" t="s">
        <v>2898</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27.75" thickBot="1">
      <c r="A23" s="2662" t="s">
        <v>2899</v>
      </c>
      <c r="B23" s="2807" t="s">
        <v>2900</v>
      </c>
      <c r="C23" s="1013">
        <f>ROUND(IF(G3&gt;1,IF(I3&lt;7,SUMPRODUCT((B93:B98=I3)*(C92:N92=G2)*(C93:N98)),SUMIF(C92:N92,G2,C100:N100)),IF(I3&lt;7,SUMPRODUCT((B102:B107=I3)*(C92:N92=G2)*(C102:N107)),SUMIF(C92:N92,G2,C109:N109))),4)</f>
        <v>0</v>
      </c>
      <c r="D23" s="2771"/>
      <c r="E23" s="2771"/>
      <c r="F23" s="2808"/>
      <c r="G23" s="2809"/>
      <c r="H23" s="2810"/>
      <c r="I23" s="2811"/>
      <c r="J23" s="2812"/>
      <c r="K23" s="1370"/>
      <c r="N23" s="2805" t="s">
        <v>2901</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812</v>
      </c>
      <c r="B24" s="2783" t="s">
        <v>2902</v>
      </c>
      <c r="C24" s="924">
        <f>SUMIF(A45:A88,E2,B45:B88)</f>
        <v>1.0567</v>
      </c>
      <c r="D24" s="2784"/>
      <c r="E24" s="2813"/>
      <c r="F24" s="2813"/>
      <c r="G24" s="2813"/>
      <c r="H24" s="2813"/>
      <c r="I24" s="2813"/>
      <c r="J24" s="2814"/>
      <c r="K24" s="1377"/>
      <c r="N24" s="2815" t="s">
        <v>2903</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4" t="s">
        <v>813</v>
      </c>
      <c r="B25" s="2816" t="s">
        <v>2904</v>
      </c>
      <c r="C25" s="930"/>
      <c r="D25" s="2746"/>
      <c r="E25" s="2746"/>
      <c r="F25" s="2817"/>
      <c r="G25" s="2746"/>
      <c r="H25" s="2746"/>
      <c r="I25" s="2746"/>
      <c r="J25" s="2747"/>
      <c r="K25" s="1370"/>
      <c r="N25" s="2818" t="s">
        <v>2905</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9"/>
      <c r="B26" s="2806" t="s">
        <v>2906</v>
      </c>
      <c r="C26" s="206">
        <f ca="1">E29+SUM(E33:E39)</f>
        <v>20171</v>
      </c>
      <c r="D26" s="2820"/>
      <c r="E26" s="2771"/>
      <c r="F26" s="2821"/>
      <c r="G26" s="2771"/>
      <c r="H26" s="2771"/>
      <c r="I26" s="2771"/>
      <c r="J26" s="2822"/>
      <c r="K26" s="1370"/>
      <c r="L26" s="2775" t="s">
        <v>2805</v>
      </c>
      <c r="M26" s="920" t="s">
        <v>2870</v>
      </c>
      <c r="N26" s="920" t="s">
        <v>2871</v>
      </c>
      <c r="O26" s="920" t="s">
        <v>2872</v>
      </c>
      <c r="P26" s="2776" t="s">
        <v>2873</v>
      </c>
      <c r="R26" s="1376"/>
      <c r="S26" s="1376"/>
      <c r="T26" s="1371"/>
      <c r="U26" s="1371"/>
      <c r="V26" s="1371"/>
      <c r="W26" s="1370"/>
      <c r="X26" s="1370"/>
      <c r="Y26" s="1370"/>
      <c r="Z26" s="1377"/>
      <c r="AA26" s="1378"/>
      <c r="AB26" s="1378"/>
      <c r="AC26" s="1378"/>
      <c r="AD26" s="1378"/>
    </row>
    <row r="27" spans="1:37" ht="15.75" thickBot="1">
      <c r="A27" s="2819"/>
      <c r="B27" s="2823" t="s">
        <v>2907</v>
      </c>
      <c r="C27" s="931">
        <f ca="1">E30+SUM(I33:I39)</f>
        <v>0</v>
      </c>
      <c r="D27" s="2824"/>
      <c r="E27" s="2825"/>
      <c r="F27" s="2826"/>
      <c r="G27" s="2825"/>
      <c r="H27" s="2825"/>
      <c r="I27" s="2825"/>
      <c r="J27" s="2827"/>
      <c r="K27" s="1370"/>
      <c r="L27" s="2779" t="s">
        <v>2877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2908</v>
      </c>
      <c r="C28" s="2830" t="s">
        <v>2909</v>
      </c>
      <c r="D28" s="2830" t="s">
        <v>2910</v>
      </c>
      <c r="E28" s="2831" t="s">
        <v>2911</v>
      </c>
      <c r="F28" s="2832"/>
      <c r="G28" s="2759"/>
      <c r="H28" s="2759"/>
      <c r="I28" s="2759"/>
      <c r="J28" s="2760"/>
      <c r="K28" s="1370"/>
      <c r="L28" s="2780" t="s">
        <v>2880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2912</v>
      </c>
      <c r="C29" s="206">
        <f ca="1">ROUND(C5*C18*C19*C20*C21*C24,0)</f>
        <v>24371</v>
      </c>
      <c r="D29" s="2835">
        <f>'数据-汇总表'!E3</f>
        <v>8276.64</v>
      </c>
      <c r="E29" s="942">
        <f ca="1">ROUND(C29*D29/10000,0)</f>
        <v>20171</v>
      </c>
      <c r="F29" s="2836" t="s">
        <v>2913</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2914</v>
      </c>
      <c r="C30" s="229">
        <f ca="1">ROUND(IF(E2="工业",C29*M39,C29*M38),0)</f>
        <v>6093</v>
      </c>
      <c r="D30" s="2841"/>
      <c r="E30" s="942">
        <f ca="1">ROUND(C30*D30/10000,0)</f>
        <v>0</v>
      </c>
      <c r="F30" s="2842" t="s">
        <v>2915</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2916</v>
      </c>
      <c r="C31" s="2847" t="s">
        <v>2917</v>
      </c>
      <c r="D31" s="2759"/>
      <c r="E31" s="2847"/>
      <c r="F31" s="2847"/>
      <c r="G31" s="2757" t="s">
        <v>2918</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2909</v>
      </c>
      <c r="D32" s="498" t="s">
        <v>2910</v>
      </c>
      <c r="E32" s="498" t="s">
        <v>2911</v>
      </c>
      <c r="F32" s="388" t="s">
        <v>2919</v>
      </c>
      <c r="G32" s="2850" t="s">
        <v>2909</v>
      </c>
      <c r="H32" s="2850" t="s">
        <v>2910</v>
      </c>
      <c r="I32" s="2850" t="s">
        <v>2911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164" t="s">
        <v>2920</v>
      </c>
      <c r="B33" s="2851" t="s">
        <v>2921</v>
      </c>
      <c r="C33" s="206">
        <f ca="1">ROUND(D5*C19*C20*C24*F33,0)</f>
        <v>23142</v>
      </c>
      <c r="D33" s="2835"/>
      <c r="E33" s="200">
        <f ca="1">ROUND(C33*D33/10000,0)</f>
        <v>0</v>
      </c>
      <c r="F33" s="200">
        <f>SUMIF(修正!A45:A56,G2,修正!B45:B56)</f>
        <v>0.8</v>
      </c>
      <c r="G33" s="200">
        <f t="shared" ref="G33" ca="1" si="6">ROUND(IF(E2="工业",C33*$M$39,C33*$M$38),0)</f>
        <v>5786</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65"/>
      <c r="B34" s="2763" t="s">
        <v>2922</v>
      </c>
      <c r="C34" s="206">
        <f ca="1">ROUND(D5*C19*C20*C24*F34,0)</f>
        <v>14463</v>
      </c>
      <c r="D34" s="2835"/>
      <c r="E34" s="200">
        <f t="shared" ref="E34:E39" ca="1" si="7">ROUND(C34*D34/10000,0)</f>
        <v>0</v>
      </c>
      <c r="F34" s="200">
        <f>SUMIF(修正!A45:A56,G2,修正!C45:C56)</f>
        <v>0.5</v>
      </c>
      <c r="G34" s="200">
        <f ca="1">ROUND(IF(E2="工业",C34*$M$39,C34*$M$38),0)</f>
        <v>3616</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65"/>
      <c r="B35" s="2763" t="s">
        <v>2923</v>
      </c>
      <c r="C35" s="206">
        <f ca="1">ROUND(D5*C19*C20*C24*F35,0)</f>
        <v>10414</v>
      </c>
      <c r="D35" s="2835"/>
      <c r="E35" s="200">
        <f t="shared" ca="1" si="7"/>
        <v>0</v>
      </c>
      <c r="F35" s="200">
        <f>SUMIF(修正!A45:A56,G2,修正!D45:D56)</f>
        <v>0.36</v>
      </c>
      <c r="G35" s="200">
        <f ca="1">ROUND(IF(E2="工业",C35*$M$39,C35*$M$38),0)</f>
        <v>2604</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166"/>
      <c r="B36" s="2763" t="s">
        <v>2924</v>
      </c>
      <c r="C36" s="206">
        <f ca="1">ROUND(D5*C19*C20*C24*F36,0)</f>
        <v>8678</v>
      </c>
      <c r="D36" s="2835"/>
      <c r="E36" s="200">
        <f t="shared" ca="1" si="7"/>
        <v>0</v>
      </c>
      <c r="F36" s="200">
        <f>SUMIF(修正!A45:A56,G2,修正!E45:E56)</f>
        <v>0.3</v>
      </c>
      <c r="G36" s="200">
        <f ca="1">ROUND(IF(E2="工业",C36*$M$39,C36*$M$38),0)</f>
        <v>2170</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2925</v>
      </c>
      <c r="C37" s="200">
        <f ca="1">ROUND(D5*C19*C20*C24*F37,0)</f>
        <v>8678</v>
      </c>
      <c r="D37" s="2835"/>
      <c r="E37" s="200">
        <f t="shared" ca="1" si="7"/>
        <v>0</v>
      </c>
      <c r="F37" s="206">
        <f>SUMIF(修正!A45:A56,G2,修正!F45:F56)</f>
        <v>0.3</v>
      </c>
      <c r="G37" s="200">
        <f ca="1">ROUND(IF(E2="工业",C37*$M$39,C37*$M$38),0)</f>
        <v>2170</v>
      </c>
      <c r="H37" s="200">
        <f t="shared" si="8"/>
        <v>0</v>
      </c>
      <c r="I37" s="200">
        <f t="shared" ca="1" si="9"/>
        <v>0</v>
      </c>
      <c r="J37" s="2852"/>
      <c r="K37" s="1370"/>
      <c r="L37" s="2854" t="s">
        <v>2926</v>
      </c>
      <c r="M37" s="2855"/>
      <c r="N37" s="1370"/>
      <c r="O37" s="1370"/>
      <c r="P37" s="1370"/>
      <c r="Q37" s="1370"/>
      <c r="R37" s="1370"/>
      <c r="S37" s="1370"/>
      <c r="T37" s="1370"/>
      <c r="U37" s="1370"/>
      <c r="V37" s="1370"/>
      <c r="W37" s="1370"/>
      <c r="X37" s="1370"/>
      <c r="Y37" s="1370"/>
      <c r="Z37" s="1371"/>
    </row>
    <row r="38" spans="1:37">
      <c r="A38" s="2853"/>
      <c r="B38" s="2763" t="s">
        <v>2927</v>
      </c>
      <c r="C38" s="200">
        <f ca="1">ROUND(D5*C19*C41*C24*F38,0)</f>
        <v>8678</v>
      </c>
      <c r="D38" s="2835"/>
      <c r="E38" s="200">
        <f t="shared" ca="1" si="7"/>
        <v>0</v>
      </c>
      <c r="F38" s="206">
        <f>SUMIF(修正!A45:A56,G2,修正!G45:G56)</f>
        <v>0.3</v>
      </c>
      <c r="G38" s="200">
        <f ca="1">ROUND(IF(E2="工业",C38*$M$39,C38*$M$38),0)</f>
        <v>2170</v>
      </c>
      <c r="H38" s="200">
        <f t="shared" si="8"/>
        <v>0</v>
      </c>
      <c r="I38" s="200">
        <f t="shared" ca="1" si="9"/>
        <v>0</v>
      </c>
      <c r="J38" s="2852"/>
      <c r="K38" s="1370"/>
      <c r="L38" s="1887" t="s">
        <v>2928</v>
      </c>
      <c r="M38" s="2856">
        <v>0.25</v>
      </c>
      <c r="N38" s="1370"/>
      <c r="O38" s="1370"/>
      <c r="P38" s="1370"/>
      <c r="Q38" s="1370"/>
      <c r="R38" s="1370"/>
      <c r="S38" s="1370"/>
      <c r="T38" s="1370"/>
      <c r="U38" s="1370"/>
      <c r="V38" s="1370"/>
      <c r="W38" s="1370"/>
      <c r="X38" s="1370"/>
      <c r="Y38" s="1370"/>
      <c r="Z38" s="1371"/>
    </row>
    <row r="39" spans="1:37" ht="13.5" thickBot="1">
      <c r="A39" s="2839"/>
      <c r="B39" s="2857" t="s">
        <v>2929</v>
      </c>
      <c r="C39" s="229">
        <f ca="1">ROUND(D5*C19*C41*C24*F39,0)</f>
        <v>7232</v>
      </c>
      <c r="D39" s="2841"/>
      <c r="E39" s="229">
        <f t="shared" ca="1" si="7"/>
        <v>0</v>
      </c>
      <c r="F39" s="932">
        <f>SUMIF(修正!A45:A56,G2,修正!H45:H56)</f>
        <v>0.25</v>
      </c>
      <c r="G39" s="229">
        <f ca="1">ROUND(IF(E2="工业",C39*$M$39,C39*$M$38),0)</f>
        <v>1808</v>
      </c>
      <c r="H39" s="229">
        <f t="shared" si="8"/>
        <v>0</v>
      </c>
      <c r="I39" s="229">
        <f t="shared" ca="1" si="9"/>
        <v>0</v>
      </c>
      <c r="J39" s="2858"/>
      <c r="K39" s="1370"/>
      <c r="L39" s="2859" t="s">
        <v>2873</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3040</v>
      </c>
      <c r="C41" s="388">
        <f ca="1">ROUND(POWER(1+E41,H41-G41)*(POWER(1+E41,G41)-1)/(POWER(1+E41,H41)-1),4)</f>
        <v>0.86639999999999995</v>
      </c>
      <c r="D41" s="200" t="s">
        <v>2880</v>
      </c>
      <c r="E41" s="2927">
        <f ca="1">G20</f>
        <v>5.1999999999999998E-2</v>
      </c>
      <c r="F41" s="200" t="s">
        <v>2889</v>
      </c>
      <c r="G41" s="218">
        <f>'数据-取费表'!F6</f>
        <v>31.52</v>
      </c>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2930</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hidden="1">
      <c r="A46" s="2864" t="s">
        <v>2931</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hidden="1">
      <c r="A47" s="2868" t="s">
        <v>2932</v>
      </c>
      <c r="B47" s="1809" t="s">
        <v>2933</v>
      </c>
      <c r="C47" s="1809" t="s">
        <v>2934</v>
      </c>
      <c r="D47" s="1809" t="s">
        <v>2935</v>
      </c>
      <c r="E47" s="819" t="s">
        <v>2936</v>
      </c>
      <c r="F47" s="2869" t="s">
        <v>2937</v>
      </c>
      <c r="G47" s="1809" t="s">
        <v>754</v>
      </c>
      <c r="H47" s="2870" t="s">
        <v>2938</v>
      </c>
      <c r="I47" s="1809" t="s">
        <v>2939</v>
      </c>
      <c r="J47" s="603" t="s">
        <v>2588</v>
      </c>
      <c r="K47" s="603" t="s">
        <v>2589</v>
      </c>
      <c r="L47" s="603" t="s">
        <v>2590</v>
      </c>
      <c r="M47" s="603" t="s">
        <v>2591</v>
      </c>
      <c r="N47" s="603" t="s">
        <v>2592</v>
      </c>
      <c r="AA47" s="1371"/>
      <c r="AB47" s="1371"/>
      <c r="AC47" s="1371"/>
      <c r="AD47" s="1371"/>
      <c r="AE47" s="1371"/>
      <c r="AF47" s="1371"/>
      <c r="AG47" s="1371"/>
      <c r="AH47" s="1371"/>
      <c r="AI47" s="1371"/>
      <c r="AJ47" s="1371"/>
      <c r="AK47" s="1371"/>
    </row>
    <row r="48" spans="1:37" s="1370" customFormat="1" ht="38.25" hidden="1">
      <c r="A48" s="2868" t="s">
        <v>2940</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hidden="1">
      <c r="A49" s="2868" t="s">
        <v>2941</v>
      </c>
      <c r="B49" s="2872" t="str">
        <f>估价对象房地状况!C18</f>
        <v>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68" t="s">
        <v>2942</v>
      </c>
      <c r="B50" s="2872">
        <f>估价对象房地状况!C19</f>
        <v>0</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68" t="s">
        <v>2943</v>
      </c>
      <c r="B51" s="2873" t="s">
        <v>2944</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68" t="s">
        <v>2945</v>
      </c>
      <c r="B52" s="2872" t="str">
        <f>估价对象房地状况!C24</f>
        <v>城市次干道-中关村大街</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68" t="s">
        <v>2946</v>
      </c>
      <c r="B53" s="2874" t="s">
        <v>2947</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4" hidden="1">
      <c r="A54" s="2875" t="s">
        <v>2948</v>
      </c>
      <c r="B54" s="1725" t="str">
        <f>估价对象房地状况!C21</f>
        <v>较好</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4" hidden="1">
      <c r="A55" s="2875" t="s">
        <v>2949</v>
      </c>
      <c r="B55" s="2872" t="str">
        <f>估价对象房地状况!C22</f>
        <v>七通</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24.75" hidden="1" thickBot="1">
      <c r="A56" s="2876" t="s">
        <v>2950</v>
      </c>
      <c r="B56" s="2877" t="str">
        <f>估价对象房地状况!C20</f>
        <v>较好</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2951</v>
      </c>
      <c r="B57" s="2865">
        <f>1+E59</f>
        <v>1.0567</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2932</v>
      </c>
      <c r="B58" s="1809"/>
      <c r="C58" s="1809" t="s">
        <v>2934</v>
      </c>
      <c r="D58" s="1809" t="s">
        <v>2935</v>
      </c>
      <c r="E58" s="819" t="s">
        <v>2936</v>
      </c>
      <c r="F58" s="2869" t="s">
        <v>2952</v>
      </c>
      <c r="G58" s="1809" t="s">
        <v>754</v>
      </c>
      <c r="H58" s="2870" t="s">
        <v>2938</v>
      </c>
      <c r="I58" s="1809" t="s">
        <v>2939</v>
      </c>
      <c r="J58" s="603" t="s">
        <v>2588</v>
      </c>
      <c r="K58" s="603" t="s">
        <v>2589</v>
      </c>
      <c r="L58" s="603" t="s">
        <v>2590</v>
      </c>
      <c r="M58" s="603" t="s">
        <v>2591</v>
      </c>
      <c r="N58" s="603" t="s">
        <v>2592</v>
      </c>
      <c r="AA58" s="1371"/>
      <c r="AB58" s="1371"/>
      <c r="AC58" s="1371"/>
      <c r="AD58" s="1371"/>
      <c r="AE58" s="1371"/>
      <c r="AF58" s="1371"/>
      <c r="AG58" s="1371"/>
      <c r="AH58" s="1371"/>
      <c r="AI58" s="1371"/>
      <c r="AJ58" s="1371"/>
      <c r="AK58" s="1371"/>
    </row>
    <row r="59" spans="1:37" s="1370" customFormat="1" ht="24">
      <c r="A59" s="2868" t="s">
        <v>2953</v>
      </c>
      <c r="B59" s="2871" t="str">
        <f>估价对象房地状况!C17</f>
        <v>较好</v>
      </c>
      <c r="C59" s="2768" t="s">
        <v>3078</v>
      </c>
      <c r="D59" s="1286">
        <f t="shared" ref="D59:D67" si="15">SUMIF($J$58:$N$58,C59,J59:N59)</f>
        <v>1.7000000000000001E-2</v>
      </c>
      <c r="E59" s="821">
        <f>ROUND(SUM(D59:D67),4)</f>
        <v>5.67E-2</v>
      </c>
      <c r="F59" s="2499">
        <f>IF(E2="办公",SUMIF(L1:L12,G2,N1:N12),"——")</f>
        <v>7.0999999999999994E-2</v>
      </c>
      <c r="G59" s="2959">
        <v>8.5000000000000006E-3</v>
      </c>
      <c r="H59" s="1288">
        <f t="shared" ref="H59:H67" si="16">IFERROR(ROUNDDOWN($F$59*I59/2,4),"——")</f>
        <v>8.5000000000000006E-3</v>
      </c>
      <c r="I59" s="820">
        <v>0.24</v>
      </c>
      <c r="J59" s="1285">
        <f t="shared" ref="J59:J67" si="17">K59+$G59</f>
        <v>1.7000000000000001E-2</v>
      </c>
      <c r="K59" s="1285">
        <f t="shared" ref="K59:K67" si="18">$L59+$G59</f>
        <v>8.5000000000000006E-3</v>
      </c>
      <c r="L59" s="1285">
        <v>0</v>
      </c>
      <c r="M59" s="1285">
        <f t="shared" ref="M59:N67" si="19">L59-$G59</f>
        <v>-8.5000000000000006E-3</v>
      </c>
      <c r="N59" s="1285">
        <f t="shared" si="19"/>
        <v>-1.7000000000000001E-2</v>
      </c>
      <c r="AA59" s="1371"/>
      <c r="AB59" s="1371"/>
      <c r="AC59" s="1371"/>
      <c r="AD59" s="1371"/>
      <c r="AE59" s="1371"/>
      <c r="AF59" s="1371"/>
      <c r="AG59" s="1371"/>
      <c r="AH59" s="1371"/>
      <c r="AI59" s="1371"/>
      <c r="AJ59" s="1371"/>
      <c r="AK59" s="1371"/>
    </row>
    <row r="60" spans="1:37" s="1370" customFormat="1" ht="14.25">
      <c r="A60" s="2868" t="s">
        <v>2941</v>
      </c>
      <c r="B60" s="2872" t="str">
        <f>估价对象房地状况!C18</f>
        <v>较好</v>
      </c>
      <c r="C60" s="2768" t="s">
        <v>3078</v>
      </c>
      <c r="D60" s="1286">
        <f t="shared" si="15"/>
        <v>2.12E-2</v>
      </c>
      <c r="E60" s="822"/>
      <c r="F60" s="2499"/>
      <c r="G60" s="2959">
        <v>1.06E-2</v>
      </c>
      <c r="H60" s="1288">
        <f t="shared" si="16"/>
        <v>1.06E-2</v>
      </c>
      <c r="I60" s="820">
        <v>0.3</v>
      </c>
      <c r="J60" s="1285">
        <f t="shared" si="17"/>
        <v>2.12E-2</v>
      </c>
      <c r="K60" s="1285">
        <f t="shared" si="18"/>
        <v>1.06E-2</v>
      </c>
      <c r="L60" s="1285">
        <v>0</v>
      </c>
      <c r="M60" s="1285">
        <f t="shared" si="19"/>
        <v>-1.06E-2</v>
      </c>
      <c r="N60" s="1285">
        <f t="shared" si="19"/>
        <v>-2.12E-2</v>
      </c>
      <c r="AA60" s="1371"/>
      <c r="AB60" s="1371"/>
      <c r="AC60" s="1371"/>
      <c r="AD60" s="1371"/>
      <c r="AE60" s="1371"/>
      <c r="AF60" s="1371"/>
      <c r="AG60" s="1371"/>
      <c r="AH60" s="1371"/>
      <c r="AI60" s="1371"/>
      <c r="AJ60" s="1371"/>
      <c r="AK60" s="1371"/>
    </row>
    <row r="61" spans="1:37" s="1370" customFormat="1" ht="24">
      <c r="A61" s="2868" t="s">
        <v>2942</v>
      </c>
      <c r="B61" s="2872">
        <f>估价对象房地状况!C19</f>
        <v>0</v>
      </c>
      <c r="C61" s="2768" t="s">
        <v>3077</v>
      </c>
      <c r="D61" s="1286">
        <f t="shared" si="15"/>
        <v>2.8E-3</v>
      </c>
      <c r="E61" s="822"/>
      <c r="F61" s="2499"/>
      <c r="G61" s="2959">
        <v>2.8E-3</v>
      </c>
      <c r="H61" s="1288">
        <f t="shared" si="16"/>
        <v>2.8E-3</v>
      </c>
      <c r="I61" s="820">
        <v>0.08</v>
      </c>
      <c r="J61" s="1285">
        <f t="shared" si="17"/>
        <v>5.5999999999999999E-3</v>
      </c>
      <c r="K61" s="1285">
        <f t="shared" si="18"/>
        <v>2.8E-3</v>
      </c>
      <c r="L61" s="1285">
        <v>0</v>
      </c>
      <c r="M61" s="1285">
        <f t="shared" si="19"/>
        <v>-2.8E-3</v>
      </c>
      <c r="N61" s="1285">
        <f t="shared" si="19"/>
        <v>-5.5999999999999999E-3</v>
      </c>
      <c r="AA61" s="1371"/>
      <c r="AB61" s="1371"/>
      <c r="AC61" s="1371"/>
      <c r="AD61" s="1371"/>
      <c r="AE61" s="1371"/>
      <c r="AF61" s="1371"/>
      <c r="AG61" s="1371"/>
      <c r="AH61" s="1371"/>
      <c r="AI61" s="1371"/>
      <c r="AJ61" s="1371"/>
      <c r="AK61" s="1371"/>
    </row>
    <row r="62" spans="1:37" s="1370" customFormat="1" ht="36.75">
      <c r="A62" s="2868" t="s">
        <v>2943</v>
      </c>
      <c r="B62" s="2873" t="s">
        <v>2944</v>
      </c>
      <c r="C62" s="2768" t="s">
        <v>3077</v>
      </c>
      <c r="D62" s="1286">
        <f t="shared" si="15"/>
        <v>1.4E-3</v>
      </c>
      <c r="E62" s="822"/>
      <c r="F62" s="2499"/>
      <c r="G62" s="2959">
        <v>1.4E-3</v>
      </c>
      <c r="H62" s="1288">
        <f t="shared" si="16"/>
        <v>1.4E-3</v>
      </c>
      <c r="I62" s="820">
        <v>0.04</v>
      </c>
      <c r="J62" s="1285">
        <f t="shared" si="17"/>
        <v>2.8E-3</v>
      </c>
      <c r="K62" s="1285">
        <f t="shared" si="18"/>
        <v>1.4E-3</v>
      </c>
      <c r="L62" s="1285">
        <v>0</v>
      </c>
      <c r="M62" s="1285">
        <f t="shared" si="19"/>
        <v>-1.4E-3</v>
      </c>
      <c r="N62" s="1285">
        <f t="shared" si="19"/>
        <v>-2.8E-3</v>
      </c>
      <c r="AA62" s="1371"/>
      <c r="AB62" s="1371"/>
      <c r="AC62" s="1371"/>
      <c r="AD62" s="1371"/>
      <c r="AE62" s="1371"/>
      <c r="AF62" s="1371"/>
      <c r="AG62" s="1371"/>
      <c r="AH62" s="1371"/>
      <c r="AI62" s="1371"/>
      <c r="AJ62" s="1371"/>
      <c r="AK62" s="1371"/>
    </row>
    <row r="63" spans="1:37" s="1370" customFormat="1" ht="24">
      <c r="A63" s="2868" t="s">
        <v>2945</v>
      </c>
      <c r="B63" s="2872" t="str">
        <f>估价对象房地状况!C24</f>
        <v>城市次干道-中关村大街</v>
      </c>
      <c r="C63" s="2768" t="s">
        <v>3138</v>
      </c>
      <c r="D63" s="1286">
        <f t="shared" si="15"/>
        <v>0</v>
      </c>
      <c r="E63" s="822"/>
      <c r="F63" s="2499"/>
      <c r="G63" s="2959">
        <v>1.6999999999999999E-3</v>
      </c>
      <c r="H63" s="1288">
        <f t="shared" si="16"/>
        <v>1.6999999999999999E-3</v>
      </c>
      <c r="I63" s="820">
        <v>0.05</v>
      </c>
      <c r="J63" s="1285">
        <f t="shared" si="17"/>
        <v>3.3999999999999998E-3</v>
      </c>
      <c r="K63" s="1285">
        <f t="shared" si="18"/>
        <v>1.6999999999999999E-3</v>
      </c>
      <c r="L63" s="1285">
        <v>0</v>
      </c>
      <c r="M63" s="1285">
        <f t="shared" si="19"/>
        <v>-1.6999999999999999E-3</v>
      </c>
      <c r="N63" s="1285">
        <f t="shared" si="19"/>
        <v>-3.3999999999999998E-3</v>
      </c>
      <c r="AA63" s="1371"/>
      <c r="AB63" s="1371"/>
      <c r="AC63" s="1371"/>
      <c r="AD63" s="1371"/>
      <c r="AE63" s="1371"/>
      <c r="AF63" s="1371"/>
      <c r="AG63" s="1371"/>
      <c r="AH63" s="1371"/>
      <c r="AI63" s="1371"/>
      <c r="AJ63" s="1371"/>
      <c r="AK63" s="1371"/>
    </row>
    <row r="64" spans="1:37" s="1370" customFormat="1" ht="24">
      <c r="A64" s="2868" t="s">
        <v>2946</v>
      </c>
      <c r="B64" s="2874" t="s">
        <v>2947</v>
      </c>
      <c r="C64" s="2768" t="s">
        <v>3077</v>
      </c>
      <c r="D64" s="1286">
        <f t="shared" si="15"/>
        <v>1.6999999999999999E-3</v>
      </c>
      <c r="E64" s="822"/>
      <c r="F64" s="2499"/>
      <c r="G64" s="2959">
        <v>1.6999999999999999E-3</v>
      </c>
      <c r="H64" s="1288">
        <f t="shared" si="16"/>
        <v>1.6999999999999999E-3</v>
      </c>
      <c r="I64" s="820">
        <v>0.05</v>
      </c>
      <c r="J64" s="1285">
        <f t="shared" si="17"/>
        <v>3.3999999999999998E-3</v>
      </c>
      <c r="K64" s="1285">
        <f t="shared" si="18"/>
        <v>1.6999999999999999E-3</v>
      </c>
      <c r="L64" s="1285">
        <v>0</v>
      </c>
      <c r="M64" s="1285">
        <f t="shared" si="19"/>
        <v>-1.6999999999999999E-3</v>
      </c>
      <c r="N64" s="1285">
        <f t="shared" si="19"/>
        <v>-3.3999999999999998E-3</v>
      </c>
      <c r="AA64" s="1371"/>
      <c r="AB64" s="1371"/>
      <c r="AC64" s="1371"/>
      <c r="AD64" s="1371"/>
      <c r="AE64" s="1371"/>
      <c r="AF64" s="1371"/>
      <c r="AG64" s="1371"/>
      <c r="AH64" s="1371"/>
      <c r="AI64" s="1371"/>
      <c r="AJ64" s="1371"/>
      <c r="AK64" s="1371"/>
    </row>
    <row r="65" spans="1:37" s="1370" customFormat="1" ht="24">
      <c r="A65" s="2868" t="s">
        <v>2948</v>
      </c>
      <c r="B65" s="1725" t="str">
        <f>估价对象房地状况!C21</f>
        <v>较好</v>
      </c>
      <c r="C65" s="2768" t="s">
        <v>3077</v>
      </c>
      <c r="D65" s="1286">
        <f t="shared" si="15"/>
        <v>2.0999999999999999E-3</v>
      </c>
      <c r="E65" s="822"/>
      <c r="F65" s="2499"/>
      <c r="G65" s="2959">
        <v>2.0999999999999999E-3</v>
      </c>
      <c r="H65" s="1288">
        <f t="shared" si="16"/>
        <v>2.0999999999999999E-3</v>
      </c>
      <c r="I65" s="820">
        <v>0.06</v>
      </c>
      <c r="J65" s="1285">
        <f t="shared" si="17"/>
        <v>4.1999999999999997E-3</v>
      </c>
      <c r="K65" s="1285">
        <f t="shared" si="18"/>
        <v>2.0999999999999999E-3</v>
      </c>
      <c r="L65" s="1285">
        <v>0</v>
      </c>
      <c r="M65" s="1285">
        <f t="shared" si="19"/>
        <v>-2.0999999999999999E-3</v>
      </c>
      <c r="N65" s="1285">
        <f t="shared" si="19"/>
        <v>-4.1999999999999997E-3</v>
      </c>
      <c r="AA65" s="1371"/>
      <c r="AB65" s="1371"/>
      <c r="AC65" s="1371"/>
      <c r="AD65" s="1371"/>
      <c r="AE65" s="1371"/>
      <c r="AF65" s="1371"/>
      <c r="AG65" s="1371"/>
      <c r="AH65" s="1371"/>
      <c r="AI65" s="1371"/>
      <c r="AJ65" s="1371"/>
      <c r="AK65" s="1371"/>
    </row>
    <row r="66" spans="1:37" s="1370" customFormat="1" ht="24">
      <c r="A66" s="2868" t="s">
        <v>2949</v>
      </c>
      <c r="B66" s="1725" t="str">
        <f>估价对象房地状况!C22</f>
        <v>七通</v>
      </c>
      <c r="C66" s="2768" t="s">
        <v>3078</v>
      </c>
      <c r="D66" s="1286">
        <f t="shared" si="15"/>
        <v>8.3999999999999995E-3</v>
      </c>
      <c r="E66" s="822"/>
      <c r="F66" s="2499"/>
      <c r="G66" s="2959">
        <v>4.1999999999999997E-3</v>
      </c>
      <c r="H66" s="1288">
        <f t="shared" si="16"/>
        <v>4.1999999999999997E-3</v>
      </c>
      <c r="I66" s="820">
        <v>0.12</v>
      </c>
      <c r="J66" s="1285">
        <f t="shared" si="17"/>
        <v>8.3999999999999995E-3</v>
      </c>
      <c r="K66" s="1285">
        <f t="shared" si="18"/>
        <v>4.1999999999999997E-3</v>
      </c>
      <c r="L66" s="1285">
        <v>0</v>
      </c>
      <c r="M66" s="1285">
        <f t="shared" si="19"/>
        <v>-4.1999999999999997E-3</v>
      </c>
      <c r="N66" s="1285">
        <f t="shared" si="19"/>
        <v>-8.3999999999999995E-3</v>
      </c>
      <c r="AA66" s="1371"/>
      <c r="AB66" s="1371"/>
      <c r="AC66" s="1371"/>
      <c r="AD66" s="1371"/>
      <c r="AE66" s="1371"/>
      <c r="AF66" s="1371"/>
      <c r="AG66" s="1371"/>
      <c r="AH66" s="1371"/>
      <c r="AI66" s="1371"/>
      <c r="AJ66" s="1371"/>
      <c r="AK66" s="1371"/>
    </row>
    <row r="67" spans="1:37" s="1370" customFormat="1" ht="24.75" thickBot="1">
      <c r="A67" s="2876" t="s">
        <v>2950</v>
      </c>
      <c r="B67" s="2878" t="str">
        <f>估价对象房地状况!C20</f>
        <v>较好</v>
      </c>
      <c r="C67" s="2768" t="s">
        <v>3077</v>
      </c>
      <c r="D67" s="1286">
        <f t="shared" si="15"/>
        <v>2.0999999999999999E-3</v>
      </c>
      <c r="E67" s="825"/>
      <c r="F67" s="2499"/>
      <c r="G67" s="2959">
        <v>2.0999999999999999E-3</v>
      </c>
      <c r="H67" s="1288">
        <f t="shared" si="16"/>
        <v>2.0999999999999999E-3</v>
      </c>
      <c r="I67" s="824">
        <v>0.06</v>
      </c>
      <c r="J67" s="1285">
        <f t="shared" si="17"/>
        <v>4.1999999999999997E-3</v>
      </c>
      <c r="K67" s="1285">
        <f t="shared" si="18"/>
        <v>2.0999999999999999E-3</v>
      </c>
      <c r="L67" s="1285">
        <v>0</v>
      </c>
      <c r="M67" s="1285">
        <f t="shared" si="19"/>
        <v>-2.0999999999999999E-3</v>
      </c>
      <c r="N67" s="1285">
        <f t="shared" si="19"/>
        <v>-4.1999999999999997E-3</v>
      </c>
      <c r="AA67" s="1371"/>
      <c r="AB67" s="1371"/>
      <c r="AC67" s="1371"/>
      <c r="AD67" s="1371"/>
      <c r="AE67" s="1371"/>
      <c r="AF67" s="1371"/>
      <c r="AG67" s="1371"/>
      <c r="AH67" s="1371"/>
      <c r="AI67" s="1371"/>
      <c r="AJ67" s="1371"/>
      <c r="AK67" s="1371"/>
    </row>
    <row r="68" spans="1:37" s="1370" customFormat="1" ht="15">
      <c r="A68" s="2864" t="s">
        <v>2954</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2932</v>
      </c>
      <c r="B69" s="1809"/>
      <c r="C69" s="1809" t="s">
        <v>2934</v>
      </c>
      <c r="D69" s="1809" t="s">
        <v>2935</v>
      </c>
      <c r="E69" s="819" t="s">
        <v>2936</v>
      </c>
      <c r="F69" s="2869" t="s">
        <v>2952</v>
      </c>
      <c r="G69" s="1809" t="s">
        <v>754</v>
      </c>
      <c r="H69" s="2870" t="s">
        <v>2938</v>
      </c>
      <c r="I69" s="1809" t="s">
        <v>2939</v>
      </c>
      <c r="J69" s="603" t="s">
        <v>2588</v>
      </c>
      <c r="K69" s="603" t="s">
        <v>2589</v>
      </c>
      <c r="L69" s="603" t="s">
        <v>2590</v>
      </c>
      <c r="M69" s="603" t="s">
        <v>2591</v>
      </c>
      <c r="N69" s="603" t="s">
        <v>2592</v>
      </c>
      <c r="AA69" s="1371"/>
      <c r="AB69" s="1371"/>
      <c r="AC69" s="1371"/>
      <c r="AD69" s="1371"/>
      <c r="AE69" s="1371"/>
      <c r="AF69" s="1371"/>
      <c r="AG69" s="1371"/>
      <c r="AH69" s="1371"/>
      <c r="AI69" s="1371"/>
      <c r="AJ69" s="1371"/>
      <c r="AK69" s="1371"/>
    </row>
    <row r="70" spans="1:37" s="1370" customFormat="1" ht="51">
      <c r="A70" s="2868" t="s">
        <v>2955</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68" t="s">
        <v>2941</v>
      </c>
      <c r="B71" s="2872" t="str">
        <f>估价对象房地状况!C18</f>
        <v>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2942</v>
      </c>
      <c r="B72" s="2872">
        <f>估价对象房地状况!C19</f>
        <v>0</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2956</v>
      </c>
      <c r="B73" s="2872" t="str">
        <f>估价对象房地状况!C24</f>
        <v>城市次干道-中关村大街</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4">
      <c r="A74" s="2868" t="s">
        <v>2948</v>
      </c>
      <c r="B74" s="1725" t="str">
        <f>估价对象房地状况!C21</f>
        <v>较好</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4">
      <c r="A75" s="2868" t="s">
        <v>2949</v>
      </c>
      <c r="B75" s="1725" t="str">
        <f>估价对象房地状况!C22</f>
        <v>七通</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2946</v>
      </c>
      <c r="B76" s="2874" t="s">
        <v>2947</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24">
      <c r="A77" s="2868" t="s">
        <v>2950</v>
      </c>
      <c r="B77" s="2871" t="str">
        <f>估价对象房地状况!C20</f>
        <v>较好</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2957</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2958</v>
      </c>
      <c r="B79" s="2865">
        <f>1+E81</f>
        <v>1</v>
      </c>
      <c r="C79" s="814"/>
      <c r="D79" s="814"/>
      <c r="E79" s="815"/>
      <c r="F79" s="2867"/>
      <c r="G79" s="6"/>
      <c r="H79" s="6"/>
      <c r="I79" s="6"/>
      <c r="J79" s="7"/>
      <c r="K79" s="7"/>
      <c r="L79" s="7"/>
      <c r="M79" s="7"/>
      <c r="N79" s="7"/>
      <c r="Z79" s="2718"/>
      <c r="AA79" s="2786"/>
      <c r="AG79" s="1372"/>
      <c r="AK79" s="2786"/>
    </row>
    <row r="80" spans="1:37" ht="24.75">
      <c r="A80" s="2868" t="s">
        <v>2932</v>
      </c>
      <c r="B80" s="1809"/>
      <c r="C80" s="1809" t="s">
        <v>2934</v>
      </c>
      <c r="D80" s="1809" t="s">
        <v>2935</v>
      </c>
      <c r="E80" s="819" t="s">
        <v>2936</v>
      </c>
      <c r="F80" s="2869" t="s">
        <v>2952</v>
      </c>
      <c r="G80" s="1809" t="s">
        <v>754</v>
      </c>
      <c r="H80" s="2870" t="s">
        <v>2938</v>
      </c>
      <c r="I80" s="1809" t="s">
        <v>2939</v>
      </c>
      <c r="J80" s="603" t="s">
        <v>2588</v>
      </c>
      <c r="K80" s="603" t="s">
        <v>2589</v>
      </c>
      <c r="L80" s="603" t="s">
        <v>2590</v>
      </c>
      <c r="M80" s="603" t="s">
        <v>2591</v>
      </c>
      <c r="N80" s="603" t="s">
        <v>2592</v>
      </c>
      <c r="Z80" s="2718"/>
      <c r="AA80" s="2786"/>
      <c r="AG80" s="1372"/>
      <c r="AK80" s="2786"/>
    </row>
    <row r="81" spans="1:37" ht="38.25">
      <c r="A81" s="2868" t="s">
        <v>2959</v>
      </c>
      <c r="B81" s="2872" t="str">
        <f>估价对象房地状况!G15</f>
        <v>估价对象位于XX开发区，园区建设成熟度XX，产业集聚程度XX</v>
      </c>
      <c r="C81" s="2768"/>
      <c r="D81" s="1286">
        <f t="shared" ref="D81:D88" si="25">SUMIF($J$80:$N$80,C81,J81:N81)</f>
        <v>0</v>
      </c>
      <c r="E81" s="821">
        <f>ROUND(SUM(D81:D88),4)</f>
        <v>0</v>
      </c>
      <c r="F81" s="2499"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18"/>
      <c r="AA81" s="2786"/>
      <c r="AG81" s="1372"/>
      <c r="AK81" s="2786"/>
    </row>
    <row r="82" spans="1:37" ht="51">
      <c r="A82" s="2868" t="s">
        <v>2941</v>
      </c>
      <c r="B82" s="2872" t="str">
        <f>估价对象房地状况!G16</f>
        <v>估价对象周边道路状况、公共交通通达情况、停车便捷程度，综合评价交通便捷度较好</v>
      </c>
      <c r="C82" s="2768"/>
      <c r="D82" s="1286">
        <f t="shared" si="25"/>
        <v>0</v>
      </c>
      <c r="E82" s="826"/>
      <c r="F82" s="2499"/>
      <c r="G82" s="1284"/>
      <c r="H82" s="1288" t="str">
        <f t="shared" si="26"/>
        <v>——</v>
      </c>
      <c r="I82" s="820">
        <v>0.33</v>
      </c>
      <c r="J82" s="1285">
        <f t="shared" si="27"/>
        <v>0</v>
      </c>
      <c r="K82" s="1285">
        <f t="shared" si="28"/>
        <v>0</v>
      </c>
      <c r="L82" s="1285">
        <v>0</v>
      </c>
      <c r="M82" s="1285">
        <f t="shared" si="29"/>
        <v>0</v>
      </c>
      <c r="N82" s="1285">
        <f t="shared" si="29"/>
        <v>0</v>
      </c>
      <c r="Z82" s="2718"/>
      <c r="AA82" s="2786"/>
      <c r="AG82" s="1372"/>
      <c r="AK82" s="2786"/>
    </row>
    <row r="83" spans="1:37" ht="24">
      <c r="A83" s="2868" t="s">
        <v>2942</v>
      </c>
      <c r="B83" s="2872">
        <f>估价对象房地状况!G17</f>
        <v>0</v>
      </c>
      <c r="C83" s="2768"/>
      <c r="D83" s="1286">
        <f t="shared" si="25"/>
        <v>0</v>
      </c>
      <c r="E83" s="826"/>
      <c r="F83" s="2499"/>
      <c r="G83" s="1284"/>
      <c r="H83" s="1288" t="str">
        <f t="shared" si="26"/>
        <v>——</v>
      </c>
      <c r="I83" s="820">
        <v>0.05</v>
      </c>
      <c r="J83" s="1285">
        <f t="shared" si="27"/>
        <v>0</v>
      </c>
      <c r="K83" s="1285">
        <f t="shared" si="28"/>
        <v>0</v>
      </c>
      <c r="L83" s="1285">
        <v>0</v>
      </c>
      <c r="M83" s="1285">
        <f t="shared" si="29"/>
        <v>0</v>
      </c>
      <c r="N83" s="1285">
        <f t="shared" si="29"/>
        <v>0</v>
      </c>
      <c r="Z83" s="2718"/>
      <c r="AA83" s="2786"/>
      <c r="AG83" s="1372"/>
      <c r="AK83" s="2786"/>
    </row>
    <row r="84" spans="1:37" ht="14.25">
      <c r="A84" s="2868" t="s">
        <v>2956</v>
      </c>
      <c r="B84" s="2872">
        <f>估价对象房地状况!G22</f>
        <v>0</v>
      </c>
      <c r="C84" s="2768"/>
      <c r="D84" s="1286">
        <f t="shared" si="25"/>
        <v>0</v>
      </c>
      <c r="E84" s="826"/>
      <c r="F84" s="2499"/>
      <c r="G84" s="1284"/>
      <c r="H84" s="1288" t="str">
        <f t="shared" si="26"/>
        <v>——</v>
      </c>
      <c r="I84" s="820">
        <v>0.04</v>
      </c>
      <c r="J84" s="1285">
        <f t="shared" si="27"/>
        <v>0</v>
      </c>
      <c r="K84" s="1285">
        <f t="shared" si="28"/>
        <v>0</v>
      </c>
      <c r="L84" s="1285">
        <v>0</v>
      </c>
      <c r="M84" s="1285">
        <f t="shared" si="29"/>
        <v>0</v>
      </c>
      <c r="N84" s="1285">
        <f t="shared" si="29"/>
        <v>0</v>
      </c>
      <c r="Z84" s="2718"/>
      <c r="AA84" s="2786"/>
      <c r="AG84" s="1372"/>
      <c r="AK84" s="2786"/>
    </row>
    <row r="85" spans="1:37" ht="25.5">
      <c r="A85" s="2868" t="s">
        <v>2948</v>
      </c>
      <c r="B85" s="1725" t="str">
        <f>估价对象房地状况!G19</f>
        <v>估价对象所在区域公共配套设施齐备情况</v>
      </c>
      <c r="C85" s="2768"/>
      <c r="D85" s="1286">
        <f t="shared" si="25"/>
        <v>0</v>
      </c>
      <c r="E85" s="826"/>
      <c r="F85" s="2499"/>
      <c r="G85" s="1284"/>
      <c r="H85" s="1288" t="str">
        <f t="shared" si="26"/>
        <v>——</v>
      </c>
      <c r="I85" s="820">
        <v>0.06</v>
      </c>
      <c r="J85" s="1285">
        <f t="shared" si="27"/>
        <v>0</v>
      </c>
      <c r="K85" s="1285">
        <f t="shared" si="28"/>
        <v>0</v>
      </c>
      <c r="L85" s="1285">
        <v>0</v>
      </c>
      <c r="M85" s="1285">
        <f t="shared" si="29"/>
        <v>0</v>
      </c>
      <c r="N85" s="1285">
        <f t="shared" si="29"/>
        <v>0</v>
      </c>
      <c r="Z85" s="2718"/>
      <c r="AA85" s="2786"/>
      <c r="AG85" s="1372"/>
      <c r="AK85" s="2786"/>
    </row>
    <row r="86" spans="1:37" ht="25.5">
      <c r="A86" s="2868" t="s">
        <v>2949</v>
      </c>
      <c r="B86" s="1725" t="str">
        <f>估价对象房地状况!G20</f>
        <v>估价对象所在区域基础设施水平</v>
      </c>
      <c r="C86" s="2768"/>
      <c r="D86" s="1286">
        <f t="shared" si="25"/>
        <v>0</v>
      </c>
      <c r="E86" s="826"/>
      <c r="F86" s="2499"/>
      <c r="G86" s="1284"/>
      <c r="H86" s="1288" t="str">
        <f t="shared" si="26"/>
        <v>——</v>
      </c>
      <c r="I86" s="820">
        <v>0.15</v>
      </c>
      <c r="J86" s="1285">
        <f t="shared" si="27"/>
        <v>0</v>
      </c>
      <c r="K86" s="1285">
        <f t="shared" si="28"/>
        <v>0</v>
      </c>
      <c r="L86" s="1285">
        <v>0</v>
      </c>
      <c r="M86" s="1285">
        <f t="shared" si="29"/>
        <v>0</v>
      </c>
      <c r="N86" s="1285">
        <f t="shared" si="29"/>
        <v>0</v>
      </c>
      <c r="Z86" s="2718"/>
      <c r="AA86" s="2786"/>
      <c r="AG86" s="1372"/>
      <c r="AK86" s="2786"/>
    </row>
    <row r="87" spans="1:37" ht="24">
      <c r="A87" s="2868" t="s">
        <v>2946</v>
      </c>
      <c r="B87" s="2874" t="s">
        <v>2960</v>
      </c>
      <c r="C87" s="2768"/>
      <c r="D87" s="1286">
        <f t="shared" si="25"/>
        <v>0</v>
      </c>
      <c r="E87" s="826"/>
      <c r="F87" s="2499"/>
      <c r="G87" s="1284"/>
      <c r="H87" s="1288" t="str">
        <f t="shared" si="26"/>
        <v>——</v>
      </c>
      <c r="I87" s="820">
        <v>0.05</v>
      </c>
      <c r="J87" s="1285">
        <f t="shared" si="27"/>
        <v>0</v>
      </c>
      <c r="K87" s="1285">
        <f t="shared" si="28"/>
        <v>0</v>
      </c>
      <c r="L87" s="1285">
        <v>0</v>
      </c>
      <c r="M87" s="1285">
        <f t="shared" si="29"/>
        <v>0</v>
      </c>
      <c r="N87" s="1285">
        <f t="shared" si="29"/>
        <v>0</v>
      </c>
      <c r="Z87" s="2718"/>
      <c r="AA87" s="2786"/>
      <c r="AG87" s="1372"/>
      <c r="AK87" s="2786"/>
    </row>
    <row r="88" spans="1:37" ht="39" thickBot="1">
      <c r="A88" s="2876" t="s">
        <v>2961</v>
      </c>
      <c r="B88" s="2881" t="str">
        <f>估价对象房地状况!G18</f>
        <v>该园区内是否有污染型企业，绿化情况，卫生条件，整体环境状况判断</v>
      </c>
      <c r="C88" s="2768"/>
      <c r="D88" s="1286">
        <f t="shared" si="25"/>
        <v>0</v>
      </c>
      <c r="E88" s="827"/>
      <c r="F88" s="2499"/>
      <c r="G88" s="1284"/>
      <c r="H88" s="1288" t="str">
        <f t="shared" si="26"/>
        <v>——</v>
      </c>
      <c r="I88" s="824">
        <v>0.06</v>
      </c>
      <c r="J88" s="1285">
        <f t="shared" si="27"/>
        <v>0</v>
      </c>
      <c r="K88" s="1285">
        <f t="shared" si="28"/>
        <v>0</v>
      </c>
      <c r="L88" s="1285">
        <v>0</v>
      </c>
      <c r="M88" s="1285">
        <f t="shared" si="29"/>
        <v>0</v>
      </c>
      <c r="N88" s="1285">
        <f t="shared" si="29"/>
        <v>0</v>
      </c>
      <c r="Z88" s="2718"/>
      <c r="AA88" s="2786"/>
      <c r="AG88" s="1372"/>
      <c r="AK88" s="2786"/>
    </row>
    <row r="90" spans="1:37">
      <c r="A90" s="3158" t="s">
        <v>2962</v>
      </c>
      <c r="B90" s="3158"/>
      <c r="C90" s="3158"/>
      <c r="D90" s="3158"/>
      <c r="E90" s="3158"/>
      <c r="F90" s="3158"/>
      <c r="G90" s="3158"/>
      <c r="H90" s="3158"/>
      <c r="I90" s="3158"/>
      <c r="J90" s="3158"/>
      <c r="K90" s="2882"/>
      <c r="L90" s="2882"/>
      <c r="M90" s="2882"/>
      <c r="N90" s="2882"/>
    </row>
    <row r="91" spans="1:37">
      <c r="A91" s="3160" t="s">
        <v>2963</v>
      </c>
      <c r="B91" s="3160" t="s">
        <v>2964</v>
      </c>
      <c r="C91" s="2836" t="s">
        <v>2965</v>
      </c>
      <c r="D91" s="2837"/>
      <c r="E91" s="2837"/>
      <c r="F91" s="2837"/>
      <c r="G91" s="2837"/>
      <c r="H91" s="2837"/>
      <c r="I91" s="2837"/>
      <c r="J91" s="2883"/>
      <c r="K91" s="2884"/>
      <c r="L91" s="2884"/>
      <c r="M91" s="2884"/>
      <c r="N91" s="2884"/>
    </row>
    <row r="92" spans="1:37">
      <c r="A92" s="3160"/>
      <c r="B92" s="3160"/>
      <c r="C92" s="942" t="s">
        <v>2832</v>
      </c>
      <c r="D92" s="942" t="s">
        <v>2833</v>
      </c>
      <c r="E92" s="942" t="s">
        <v>2834</v>
      </c>
      <c r="F92" s="942" t="s">
        <v>2835</v>
      </c>
      <c r="G92" s="942" t="s">
        <v>2836</v>
      </c>
      <c r="H92" s="942" t="s">
        <v>2837</v>
      </c>
      <c r="I92" s="942" t="s">
        <v>2838</v>
      </c>
      <c r="J92" s="942" t="s">
        <v>2839</v>
      </c>
      <c r="K92" s="942" t="s">
        <v>2840</v>
      </c>
      <c r="L92" s="942" t="s">
        <v>2841</v>
      </c>
      <c r="M92" s="942" t="s">
        <v>2842</v>
      </c>
      <c r="N92" s="942" t="s">
        <v>2843</v>
      </c>
    </row>
    <row r="93" spans="1:37">
      <c r="A93" s="3161" t="s">
        <v>2966</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62"/>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62"/>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62"/>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62"/>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62"/>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62"/>
      <c r="B99" s="2885" t="s">
        <v>2848</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63"/>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61" t="s">
        <v>2967</v>
      </c>
      <c r="B101" s="2889" t="s">
        <v>2968</v>
      </c>
      <c r="C101" s="2890">
        <f>$G$3</f>
        <v>8.92</v>
      </c>
      <c r="D101" s="2890">
        <f t="shared" ref="D101:N101" si="31">$G$3</f>
        <v>8.92</v>
      </c>
      <c r="E101" s="2890">
        <f t="shared" si="31"/>
        <v>8.92</v>
      </c>
      <c r="F101" s="2890">
        <f t="shared" si="31"/>
        <v>8.92</v>
      </c>
      <c r="G101" s="2890">
        <f t="shared" si="31"/>
        <v>8.92</v>
      </c>
      <c r="H101" s="2890">
        <f t="shared" si="31"/>
        <v>8.92</v>
      </c>
      <c r="I101" s="2890">
        <f t="shared" si="31"/>
        <v>8.92</v>
      </c>
      <c r="J101" s="2890">
        <f t="shared" si="31"/>
        <v>8.92</v>
      </c>
      <c r="K101" s="2890">
        <f t="shared" si="31"/>
        <v>8.92</v>
      </c>
      <c r="L101" s="2890">
        <f t="shared" si="31"/>
        <v>8.92</v>
      </c>
      <c r="M101" s="2890">
        <f t="shared" si="31"/>
        <v>8.92</v>
      </c>
      <c r="N101" s="2890">
        <f t="shared" si="31"/>
        <v>8.92</v>
      </c>
    </row>
    <row r="102" spans="1:14">
      <c r="A102" s="3162"/>
      <c r="B102" s="2885">
        <v>1</v>
      </c>
      <c r="C102" s="2886">
        <f>1.9362/C101</f>
        <v>0.21706278026905829</v>
      </c>
      <c r="D102" s="2886">
        <f>1.9362/D101</f>
        <v>0.21706278026905829</v>
      </c>
      <c r="E102" s="2886">
        <f>1.8629/E101</f>
        <v>0.20884529147982062</v>
      </c>
      <c r="F102" s="2886">
        <f>1.8629/F101</f>
        <v>0.20884529147982062</v>
      </c>
      <c r="G102" s="2886">
        <f>1.8629/G101</f>
        <v>0.20884529147982062</v>
      </c>
      <c r="H102" s="2886">
        <f>1.8629/H101</f>
        <v>0.20884529147982062</v>
      </c>
      <c r="I102" s="2886">
        <f>1.8629/I101</f>
        <v>0.20884529147982062</v>
      </c>
      <c r="J102" s="2886">
        <f>1.942/J101</f>
        <v>0.21771300448430492</v>
      </c>
      <c r="K102" s="2886">
        <f>1.942/K101</f>
        <v>0.21771300448430492</v>
      </c>
      <c r="L102" s="2886">
        <f>1.942/L101</f>
        <v>0.21771300448430492</v>
      </c>
      <c r="M102" s="2886">
        <f>1.942/M101</f>
        <v>0.21771300448430492</v>
      </c>
      <c r="N102" s="2886">
        <f>1.942/N101</f>
        <v>0.21771300448430492</v>
      </c>
    </row>
    <row r="103" spans="1:14">
      <c r="A103" s="3162"/>
      <c r="B103" s="2885">
        <v>2</v>
      </c>
      <c r="C103" s="2886">
        <f>1.4198/C101</f>
        <v>0.15917040358744394</v>
      </c>
      <c r="D103" s="2886">
        <f>1.4198/D101</f>
        <v>0.15917040358744394</v>
      </c>
      <c r="E103" s="2886">
        <f>1.3372/E101</f>
        <v>0.14991031390134529</v>
      </c>
      <c r="F103" s="2886">
        <f>1.3372/F101</f>
        <v>0.14991031390134529</v>
      </c>
      <c r="G103" s="2886">
        <f>1.3372/G101</f>
        <v>0.14991031390134529</v>
      </c>
      <c r="H103" s="2886">
        <f>1.3372/H101</f>
        <v>0.14991031390134529</v>
      </c>
      <c r="I103" s="2886">
        <f>1.3372/I101</f>
        <v>0.14991031390134529</v>
      </c>
      <c r="J103" s="2886">
        <f>1.2799/J101</f>
        <v>0.14348654708520181</v>
      </c>
      <c r="K103" s="2886">
        <f>1.2799/K101</f>
        <v>0.14348654708520181</v>
      </c>
      <c r="L103" s="2886">
        <f>1.2799/L101</f>
        <v>0.14348654708520181</v>
      </c>
      <c r="M103" s="2886">
        <f>1.2799/M101</f>
        <v>0.14348654708520181</v>
      </c>
      <c r="N103" s="2886">
        <f>1.2799/N101</f>
        <v>0.14348654708520181</v>
      </c>
    </row>
    <row r="104" spans="1:14">
      <c r="A104" s="3162"/>
      <c r="B104" s="2885">
        <v>3</v>
      </c>
      <c r="C104" s="2886">
        <f>1.1594/C101</f>
        <v>0.12997757847533634</v>
      </c>
      <c r="D104" s="2886">
        <f>1.1594/D101</f>
        <v>0.12997757847533634</v>
      </c>
      <c r="E104" s="2886">
        <f>1.0788/E101</f>
        <v>0.12094170403587444</v>
      </c>
      <c r="F104" s="2886">
        <f>1.0788/F101</f>
        <v>0.12094170403587444</v>
      </c>
      <c r="G104" s="2886">
        <f>1.0788/G101</f>
        <v>0.12094170403587444</v>
      </c>
      <c r="H104" s="2886">
        <f>1.0788/H101</f>
        <v>0.12094170403587444</v>
      </c>
      <c r="I104" s="2886">
        <f>1.0788/I101</f>
        <v>0.12094170403587444</v>
      </c>
      <c r="J104" s="2886">
        <f>1.0072/J101</f>
        <v>0.11291479820627803</v>
      </c>
      <c r="K104" s="2886">
        <f>1.0072/K101</f>
        <v>0.11291479820627803</v>
      </c>
      <c r="L104" s="2886">
        <f>1.0072/L101</f>
        <v>0.11291479820627803</v>
      </c>
      <c r="M104" s="2886">
        <f>1.0072/M101</f>
        <v>0.11291479820627803</v>
      </c>
      <c r="N104" s="2886">
        <f>1.0072/N101</f>
        <v>0.11291479820627803</v>
      </c>
    </row>
    <row r="105" spans="1:14">
      <c r="A105" s="3162"/>
      <c r="B105" s="2885">
        <v>4</v>
      </c>
      <c r="C105" s="2886">
        <f>0.9622/C101</f>
        <v>0.10786995515695068</v>
      </c>
      <c r="D105" s="2886">
        <f>0.9622/D101</f>
        <v>0.10786995515695068</v>
      </c>
      <c r="E105" s="2886">
        <f>0.8656/E101</f>
        <v>9.7040358744394623E-2</v>
      </c>
      <c r="F105" s="2886">
        <f>0.8656/F101</f>
        <v>9.7040358744394623E-2</v>
      </c>
      <c r="G105" s="2886">
        <f>0.8656/G101</f>
        <v>9.7040358744394623E-2</v>
      </c>
      <c r="H105" s="2886">
        <f>0.8656/H101</f>
        <v>9.7040358744394623E-2</v>
      </c>
      <c r="I105" s="2886">
        <f>0.8656/I101</f>
        <v>9.7040358744394623E-2</v>
      </c>
      <c r="J105" s="2886">
        <f>0.7525/J101</f>
        <v>8.4360986547085196E-2</v>
      </c>
      <c r="K105" s="2886">
        <f>0.7525/K101</f>
        <v>8.4360986547085196E-2</v>
      </c>
      <c r="L105" s="2886">
        <f>0.7525/L101</f>
        <v>8.4360986547085196E-2</v>
      </c>
      <c r="M105" s="2886">
        <f>0.7525/M101</f>
        <v>8.4360986547085196E-2</v>
      </c>
      <c r="N105" s="2886">
        <f>0.7525/N101</f>
        <v>8.4360986547085196E-2</v>
      </c>
    </row>
    <row r="106" spans="1:14">
      <c r="A106" s="3162"/>
      <c r="B106" s="2885">
        <v>5</v>
      </c>
      <c r="C106" s="2886">
        <f>0.8417/C101</f>
        <v>9.4360986547085204E-2</v>
      </c>
      <c r="D106" s="2886">
        <f>0.8417/D101</f>
        <v>9.4360986547085204E-2</v>
      </c>
      <c r="E106" s="2886">
        <f>0.7371/E101</f>
        <v>8.2634529147982055E-2</v>
      </c>
      <c r="F106" s="2886">
        <f>0.7371/F101</f>
        <v>8.2634529147982055E-2</v>
      </c>
      <c r="G106" s="2886">
        <f>0.7371/G101</f>
        <v>8.2634529147982055E-2</v>
      </c>
      <c r="H106" s="2886">
        <f>0.7371/H101</f>
        <v>8.2634529147982055E-2</v>
      </c>
      <c r="I106" s="2886">
        <f>0.7371/I101</f>
        <v>8.2634529147982055E-2</v>
      </c>
      <c r="J106" s="2886">
        <f>0.5659/J101</f>
        <v>6.344170403587443E-2</v>
      </c>
      <c r="K106" s="2886">
        <f>0.5659/K101</f>
        <v>6.344170403587443E-2</v>
      </c>
      <c r="L106" s="2886">
        <f>0.5659/L101</f>
        <v>6.344170403587443E-2</v>
      </c>
      <c r="M106" s="2886">
        <f>0.5659/M101</f>
        <v>6.344170403587443E-2</v>
      </c>
      <c r="N106" s="2886">
        <f>0.5659/N101</f>
        <v>6.344170403587443E-2</v>
      </c>
    </row>
    <row r="107" spans="1:14">
      <c r="A107" s="3162"/>
      <c r="B107" s="2885">
        <v>6</v>
      </c>
      <c r="C107" s="2886">
        <f>0.7608/C101</f>
        <v>8.5291479820627805E-2</v>
      </c>
      <c r="D107" s="2886">
        <f>0.7608/D101</f>
        <v>8.5291479820627805E-2</v>
      </c>
      <c r="E107" s="2886">
        <f>0.6482/E101</f>
        <v>7.2668161434977577E-2</v>
      </c>
      <c r="F107" s="2886">
        <f>0.6482/F101</f>
        <v>7.2668161434977577E-2</v>
      </c>
      <c r="G107" s="2886">
        <f>0.6482/G101</f>
        <v>7.2668161434977577E-2</v>
      </c>
      <c r="H107" s="2886">
        <f>0.6482/H101</f>
        <v>7.2668161434977577E-2</v>
      </c>
      <c r="I107" s="2886">
        <f>0.6482/I101</f>
        <v>7.2668161434977577E-2</v>
      </c>
      <c r="J107" s="2886">
        <f>0.4525/J101</f>
        <v>5.0728699551569507E-2</v>
      </c>
      <c r="K107" s="2886">
        <f>0.4525/K101</f>
        <v>5.0728699551569507E-2</v>
      </c>
      <c r="L107" s="2886">
        <f>0.4525/L101</f>
        <v>5.0728699551569507E-2</v>
      </c>
      <c r="M107" s="2886">
        <f>0.4525/M101</f>
        <v>5.0728699551569507E-2</v>
      </c>
      <c r="N107" s="2886">
        <f>0.4525/N101</f>
        <v>5.0728699551569507E-2</v>
      </c>
    </row>
    <row r="108" spans="1:14">
      <c r="A108" s="3162"/>
      <c r="B108" s="3087" t="s">
        <v>2969</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63"/>
      <c r="B109" s="3088"/>
      <c r="C109" s="2888">
        <f>(-0.163*(C108^2)-0.59*C108+7617)*(10^(-4))/C101</f>
        <v>8.5392376681614354E-2</v>
      </c>
      <c r="D109" s="2888">
        <f>(-0.163*(D108^2)-0.59*D108+7617)*(10^(-4))/D101</f>
        <v>8.5392376681614354E-2</v>
      </c>
      <c r="E109" s="2888">
        <f>(-0.161*(E108^2)-7.509*E108+6533)*(10^(-4))/E101</f>
        <v>7.3239910313901341E-2</v>
      </c>
      <c r="F109" s="2888">
        <f>(-0.161*(F108^2)-7.509*F108+6533)*(10^(-4))/F101</f>
        <v>7.3239910313901341E-2</v>
      </c>
      <c r="G109" s="2888">
        <f>(-0.161*(G108^2)-7.509*G108+6533)*(10^(-4))/G101</f>
        <v>7.3239910313901341E-2</v>
      </c>
      <c r="H109" s="2888">
        <f>(-0.161*(H108^2)-7.509*H108+6533)*(10^(-4))/H101</f>
        <v>7.3239910313901341E-2</v>
      </c>
      <c r="I109" s="2888">
        <f>(-0.161*(I108^2)-7.509*I108+6533)*(10^(-4))/I101</f>
        <v>7.3239910313901341E-2</v>
      </c>
      <c r="J109" s="2888">
        <f>(-0.214*(J108^2)-21.991*J108+4665)*(10^(-4))/J101</f>
        <v>5.2298206278026907E-2</v>
      </c>
      <c r="K109" s="2888">
        <f>(-0.214*(K108^2)-21.991*K108+4665)*(10^(-4))/K101</f>
        <v>5.2298206278026907E-2</v>
      </c>
      <c r="L109" s="2888">
        <f>(-0.214*(L108^2)-21.991*L108+4665)*(10^(-4))/L101</f>
        <v>5.2298206278026907E-2</v>
      </c>
      <c r="M109" s="2888">
        <f>(-0.214*(M108^2)-21.991*M108+4665)*(10^(-4))/M101</f>
        <v>5.2298206278026907E-2</v>
      </c>
      <c r="N109" s="2888">
        <f>(-0.214*(N108^2)-21.991*N108+4665)*(10^(-4))/N101</f>
        <v>5.2298206278026907E-2</v>
      </c>
    </row>
    <row r="110" spans="1:14">
      <c r="A110" s="3159" t="s">
        <v>2970</v>
      </c>
      <c r="B110" s="3159"/>
      <c r="C110" s="3159"/>
      <c r="D110" s="3159"/>
      <c r="E110" s="3159"/>
      <c r="F110" s="3159"/>
      <c r="G110" s="3159"/>
      <c r="H110" s="3159"/>
      <c r="I110" s="3159"/>
      <c r="J110" s="3159"/>
      <c r="K110" s="2891"/>
      <c r="L110" s="2891"/>
      <c r="M110" s="2891"/>
      <c r="N110" s="2891"/>
    </row>
    <row r="112" spans="1:14" ht="13.5" thickBot="1"/>
    <row r="113" spans="1:13" ht="25.5" thickBot="1">
      <c r="A113" s="903" t="s">
        <v>2971</v>
      </c>
      <c r="B113" s="1287">
        <f>G3</f>
        <v>8.92</v>
      </c>
      <c r="C113" s="904" t="s">
        <v>2972</v>
      </c>
      <c r="D113" s="905">
        <f>SUMPRODUCT((A115:A118=F113)*(B114:M114=H113)*B115:M118)</f>
        <v>0.84199999999999997</v>
      </c>
      <c r="E113" s="2722" t="s">
        <v>2805</v>
      </c>
      <c r="F113" s="2893" t="str">
        <f>E2</f>
        <v>办公</v>
      </c>
      <c r="G113" s="2722" t="s">
        <v>2806</v>
      </c>
      <c r="H113" s="2893" t="str">
        <f>G2</f>
        <v>二级</v>
      </c>
      <c r="I113" s="2722"/>
      <c r="J113" s="2894"/>
      <c r="K113" s="2894"/>
      <c r="L113" s="2894"/>
      <c r="M113" s="2894"/>
    </row>
    <row r="114" spans="1:13">
      <c r="A114" s="908"/>
      <c r="B114" s="2895" t="s">
        <v>2973</v>
      </c>
      <c r="C114" s="2895" t="s">
        <v>2974</v>
      </c>
      <c r="D114" s="2895" t="s">
        <v>2975</v>
      </c>
      <c r="E114" s="2896" t="s">
        <v>2976</v>
      </c>
      <c r="F114" s="2896" t="s">
        <v>2977</v>
      </c>
      <c r="G114" s="2896" t="s">
        <v>2978</v>
      </c>
      <c r="H114" s="2897" t="s">
        <v>2979</v>
      </c>
      <c r="I114" s="2897" t="s">
        <v>2980</v>
      </c>
      <c r="J114" s="2898" t="s">
        <v>2981</v>
      </c>
      <c r="K114" s="2898" t="s">
        <v>2982</v>
      </c>
      <c r="L114" s="2898" t="s">
        <v>2983</v>
      </c>
      <c r="M114" s="2899" t="s">
        <v>2984</v>
      </c>
    </row>
    <row r="115" spans="1:13">
      <c r="A115" s="909" t="s">
        <v>2870</v>
      </c>
      <c r="B115" s="910">
        <f>ROUND(0.9335-0.0094*B113,4)</f>
        <v>0.84970000000000001</v>
      </c>
      <c r="C115" s="910">
        <f>B115</f>
        <v>0.84970000000000001</v>
      </c>
      <c r="D115" s="910">
        <f>ROUND(0.8331-0.0109*B113,4)</f>
        <v>0.7359</v>
      </c>
      <c r="E115" s="910">
        <f>D115</f>
        <v>0.7359</v>
      </c>
      <c r="F115" s="910">
        <f>E115</f>
        <v>0.7359</v>
      </c>
      <c r="G115" s="910">
        <f>F115</f>
        <v>0.7359</v>
      </c>
      <c r="H115" s="910">
        <f>G115</f>
        <v>0.7359</v>
      </c>
      <c r="I115" s="910">
        <f>ROUND(0.689-0.0155*B113,4)</f>
        <v>0.55069999999999997</v>
      </c>
      <c r="J115" s="910">
        <f t="shared" ref="J115:M118" si="33">I115</f>
        <v>0.55069999999999997</v>
      </c>
      <c r="K115" s="910">
        <f t="shared" si="33"/>
        <v>0.55069999999999997</v>
      </c>
      <c r="L115" s="910">
        <f t="shared" si="33"/>
        <v>0.55069999999999997</v>
      </c>
      <c r="M115" s="911">
        <f t="shared" si="33"/>
        <v>0.55069999999999997</v>
      </c>
    </row>
    <row r="116" spans="1:13">
      <c r="A116" s="909" t="s">
        <v>2871</v>
      </c>
      <c r="B116" s="910">
        <f>ROUND(0.949-0.012*B113,4)</f>
        <v>0.84199999999999997</v>
      </c>
      <c r="C116" s="910">
        <f>B116</f>
        <v>0.84199999999999997</v>
      </c>
      <c r="D116" s="910">
        <f>ROUND(0.8567-0.013*B113,4)</f>
        <v>0.74070000000000003</v>
      </c>
      <c r="E116" s="910">
        <f t="shared" ref="E116:H117" si="34">D116</f>
        <v>0.74070000000000003</v>
      </c>
      <c r="F116" s="910">
        <f t="shared" si="34"/>
        <v>0.74070000000000003</v>
      </c>
      <c r="G116" s="910">
        <f t="shared" si="34"/>
        <v>0.74070000000000003</v>
      </c>
      <c r="H116" s="910">
        <f t="shared" si="34"/>
        <v>0.74070000000000003</v>
      </c>
      <c r="I116" s="910">
        <f>ROUND(0.7694-0.014*B113,4)</f>
        <v>0.64449999999999996</v>
      </c>
      <c r="J116" s="910">
        <f t="shared" si="33"/>
        <v>0.64449999999999996</v>
      </c>
      <c r="K116" s="910">
        <f t="shared" si="33"/>
        <v>0.64449999999999996</v>
      </c>
      <c r="L116" s="910">
        <f t="shared" si="33"/>
        <v>0.64449999999999996</v>
      </c>
      <c r="M116" s="911">
        <f t="shared" si="33"/>
        <v>0.64449999999999996</v>
      </c>
    </row>
    <row r="117" spans="1:13">
      <c r="A117" s="909" t="s">
        <v>2872</v>
      </c>
      <c r="B117" s="910">
        <f>ROUND(0.8808-0.006*B113,4)</f>
        <v>0.82730000000000004</v>
      </c>
      <c r="C117" s="910">
        <f>B117</f>
        <v>0.82730000000000004</v>
      </c>
      <c r="D117" s="910">
        <f>ROUND(0.8748-0.008*B113,4)</f>
        <v>0.8034</v>
      </c>
      <c r="E117" s="910">
        <f t="shared" si="34"/>
        <v>0.8034</v>
      </c>
      <c r="F117" s="910">
        <f t="shared" si="34"/>
        <v>0.8034</v>
      </c>
      <c r="G117" s="910">
        <f t="shared" si="34"/>
        <v>0.8034</v>
      </c>
      <c r="H117" s="910">
        <f t="shared" si="34"/>
        <v>0.8034</v>
      </c>
      <c r="I117" s="910">
        <f>ROUND(0.7412-0.0095*B113,4)</f>
        <v>0.65649999999999997</v>
      </c>
      <c r="J117" s="910">
        <f t="shared" si="33"/>
        <v>0.65649999999999997</v>
      </c>
      <c r="K117" s="910">
        <f t="shared" si="33"/>
        <v>0.65649999999999997</v>
      </c>
      <c r="L117" s="910">
        <f t="shared" si="33"/>
        <v>0.65649999999999997</v>
      </c>
      <c r="M117" s="911">
        <f t="shared" si="33"/>
        <v>0.65649999999999997</v>
      </c>
    </row>
    <row r="118" spans="1:13" ht="13.5" thickBot="1">
      <c r="A118" s="714" t="s">
        <v>2873</v>
      </c>
      <c r="B118" s="912">
        <f>ROUND(0.7275-0.01*B113,4)</f>
        <v>0.63829999999999998</v>
      </c>
      <c r="C118" s="912">
        <f>B118</f>
        <v>0.63829999999999998</v>
      </c>
      <c r="D118" s="912">
        <f>ROUND(0.7043-0.012*B113,4)</f>
        <v>0.59730000000000005</v>
      </c>
      <c r="E118" s="912">
        <f>D118</f>
        <v>0.59730000000000005</v>
      </c>
      <c r="F118" s="912">
        <f>E118</f>
        <v>0.59730000000000005</v>
      </c>
      <c r="G118" s="912">
        <f>ROUND(0.6299-0.0122*B113,4)</f>
        <v>0.52110000000000001</v>
      </c>
      <c r="H118" s="912">
        <f>G118</f>
        <v>0.52110000000000001</v>
      </c>
      <c r="I118" s="912">
        <f>ROUND(0.5667-0.0136*B113,4)</f>
        <v>0.44540000000000002</v>
      </c>
      <c r="J118" s="912">
        <f t="shared" si="33"/>
        <v>0.44540000000000002</v>
      </c>
      <c r="K118" s="912">
        <f t="shared" si="33"/>
        <v>0.44540000000000002</v>
      </c>
      <c r="L118" s="912">
        <f t="shared" si="33"/>
        <v>0.44540000000000002</v>
      </c>
      <c r="M118" s="913">
        <f t="shared" si="33"/>
        <v>0.44540000000000002</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6"/>
      <c r="C1" s="2551" t="s">
        <v>2419</v>
      </c>
      <c r="D1" s="242"/>
      <c r="E1" s="242"/>
      <c r="F1" s="242"/>
      <c r="G1" s="1379">
        <f>MATCH(B1,'数据-取费表'!A6:A16,0)+5</f>
        <v>7</v>
      </c>
      <c r="H1" s="1282" t="str">
        <f>IF(ISERROR(FIND("住宅",B1)),"非住宅","住宅")</f>
        <v>非住宅</v>
      </c>
    </row>
    <row r="2" spans="1:8" s="244" customFormat="1" ht="18" customHeight="1">
      <c r="A2" s="245" t="s">
        <v>2318</v>
      </c>
      <c r="B2" s="246">
        <f ca="1">ROUND(IF(D2="——",C52/10000,C52/10000-E2),0)</f>
        <v>3182</v>
      </c>
      <c r="C2" s="243" t="s">
        <v>2319</v>
      </c>
      <c r="D2" s="2545" t="s">
        <v>70</v>
      </c>
      <c r="E2" s="1440" t="e">
        <f ca="1">SUMIF(INDIRECT("'"&amp;G2&amp;"'"&amp;"!A:A"),"承租人权益价值",INDIRECT("'"&amp;G2&amp;"'"&amp;"!c:c"))</f>
        <v>#REF!</v>
      </c>
      <c r="F2" s="2546" t="s">
        <v>2319</v>
      </c>
      <c r="G2" s="2547"/>
    </row>
    <row r="3" spans="1:8" s="244" customFormat="1" ht="18" customHeight="1" thickBot="1">
      <c r="A3" s="247" t="s">
        <v>2320</v>
      </c>
      <c r="B3" s="248">
        <f ca="1">ROUND(B2*10000/(IF(B1="",'数据-汇总表'!E3,INDIRECT("'数据-取费表'!k"&amp;$G$1))),0)</f>
        <v>3845</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1655328</v>
      </c>
      <c r="D5" s="255" t="s">
        <v>2325</v>
      </c>
      <c r="E5" s="256" t="s">
        <v>2326</v>
      </c>
      <c r="F5" s="256" t="s">
        <v>2327</v>
      </c>
      <c r="G5" s="257"/>
    </row>
    <row r="6" spans="1:8" s="258" customFormat="1" ht="13.5" customHeight="1">
      <c r="A6" s="949" t="s">
        <v>2328</v>
      </c>
      <c r="B6" s="259" t="s">
        <v>2329</v>
      </c>
      <c r="C6" s="260"/>
      <c r="D6" s="261"/>
      <c r="E6" s="262"/>
      <c r="F6" s="262"/>
      <c r="G6" s="263"/>
    </row>
    <row r="7" spans="1:8" s="258" customFormat="1" ht="13.5" customHeight="1">
      <c r="A7" s="949" t="s">
        <v>2330</v>
      </c>
      <c r="B7" s="259" t="s">
        <v>2331</v>
      </c>
      <c r="C7" s="264">
        <f>ROUND(C6*F7,0)</f>
        <v>0</v>
      </c>
      <c r="D7" s="264"/>
      <c r="E7" s="262"/>
      <c r="F7" s="265">
        <f>IF(项目基本情况!B8="出让",0,'数据-取费表'!B48+'数据-取费表'!B49)</f>
        <v>3.0499999999999999E-2</v>
      </c>
      <c r="G7" s="263"/>
    </row>
    <row r="8" spans="1:8" s="267" customFormat="1">
      <c r="A8" s="949" t="s">
        <v>2332</v>
      </c>
      <c r="B8" s="259" t="s">
        <v>2333</v>
      </c>
      <c r="C8" s="264">
        <f ca="1">IF(G8="已包含在土地购买价格中",0,C9+C10)</f>
        <v>1655328</v>
      </c>
      <c r="D8" s="266"/>
      <c r="E8" s="264"/>
      <c r="F8" s="265"/>
      <c r="G8" s="2548"/>
    </row>
    <row r="9" spans="1:8" s="258" customFormat="1" ht="13.5" customHeight="1">
      <c r="A9" s="950" t="s">
        <v>800</v>
      </c>
      <c r="B9" s="268" t="s">
        <v>2334</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2336</v>
      </c>
      <c r="C10" s="269">
        <f ca="1">ROUND(D10*E10,0)</f>
        <v>1655328</v>
      </c>
      <c r="D10" s="1032">
        <f ca="1">IF(B1="",'数据-汇总表'!E6,IF(INDIRECT("'数据-取费表'!c"&amp;$G$1)="住宅",INDIRECT("'数据-取费表'!s"&amp;$G$1),INDIRECT("'数据-取费表'!k"&amp;$G$1)+INDIRECT("'数据-取费表'!s"&amp;$G$1)))</f>
        <v>8276.64</v>
      </c>
      <c r="E10" s="269">
        <f>'数据-取费表'!B28</f>
        <v>200</v>
      </c>
      <c r="F10" s="265"/>
      <c r="G10" s="270"/>
    </row>
    <row r="11" spans="1:8" s="258" customFormat="1" ht="13.5" hidden="1" customHeight="1">
      <c r="A11" s="271" t="s">
        <v>7</v>
      </c>
      <c r="B11" s="259" t="s">
        <v>2337</v>
      </c>
      <c r="C11" s="255"/>
      <c r="D11" s="1034"/>
      <c r="E11" s="262"/>
      <c r="F11" s="262"/>
      <c r="G11" s="263"/>
    </row>
    <row r="12" spans="1:8" s="258" customFormat="1" ht="13.5" hidden="1" customHeight="1">
      <c r="A12" s="271" t="s">
        <v>8</v>
      </c>
      <c r="B12" s="259" t="s">
        <v>2420</v>
      </c>
      <c r="C12" s="255">
        <v>0</v>
      </c>
      <c r="D12" s="1034"/>
      <c r="E12" s="272"/>
      <c r="F12" s="265">
        <v>3.0499999999999999E-2</v>
      </c>
      <c r="G12" s="263"/>
    </row>
    <row r="13" spans="1:8" s="258" customFormat="1" ht="13.5" hidden="1" customHeight="1">
      <c r="A13" s="271" t="s">
        <v>9</v>
      </c>
      <c r="B13" s="259" t="s">
        <v>2421</v>
      </c>
      <c r="C13" s="255"/>
      <c r="D13" s="1034"/>
      <c r="E13" s="262"/>
      <c r="F13" s="262"/>
      <c r="G13" s="263"/>
    </row>
    <row r="14" spans="1:8" s="258" customFormat="1" ht="13.5" hidden="1" customHeight="1">
      <c r="A14" s="271" t="s">
        <v>10</v>
      </c>
      <c r="B14" s="259" t="s">
        <v>2333</v>
      </c>
      <c r="C14" s="255"/>
      <c r="D14" s="1034"/>
      <c r="E14" s="262"/>
      <c r="F14" s="262"/>
      <c r="G14" s="263" t="s">
        <v>2422</v>
      </c>
    </row>
    <row r="15" spans="1:8" s="258" customFormat="1" ht="13.5" hidden="1" customHeight="1">
      <c r="A15" s="271" t="s">
        <v>11</v>
      </c>
      <c r="B15" s="259" t="s">
        <v>2423</v>
      </c>
      <c r="C15" s="264"/>
      <c r="D15" s="1034"/>
      <c r="E15" s="262"/>
      <c r="F15" s="262"/>
      <c r="G15" s="263" t="s">
        <v>2424</v>
      </c>
    </row>
    <row r="16" spans="1:8" s="258" customFormat="1" ht="13.5" hidden="1" customHeight="1">
      <c r="A16" s="271" t="s">
        <v>12</v>
      </c>
      <c r="B16" s="259" t="s">
        <v>2333</v>
      </c>
      <c r="C16" s="264"/>
      <c r="D16" s="1034"/>
      <c r="E16" s="262"/>
      <c r="F16" s="262"/>
      <c r="G16" s="263"/>
    </row>
    <row r="17" spans="1:7" s="258" customFormat="1" ht="13.5" hidden="1" customHeight="1">
      <c r="A17" s="271" t="s">
        <v>13</v>
      </c>
      <c r="B17" s="259" t="s">
        <v>2425</v>
      </c>
      <c r="C17" s="273"/>
      <c r="D17" s="1035"/>
      <c r="E17" s="273"/>
      <c r="F17" s="273"/>
      <c r="G17" s="263" t="s">
        <v>2424</v>
      </c>
    </row>
    <row r="18" spans="1:7" s="258" customFormat="1" ht="13.5" hidden="1" customHeight="1">
      <c r="A18" s="271" t="s">
        <v>14</v>
      </c>
      <c r="B18" s="259" t="s">
        <v>2426</v>
      </c>
      <c r="C18" s="264">
        <v>0</v>
      </c>
      <c r="D18" s="1034"/>
      <c r="E18" s="262"/>
      <c r="F18" s="265">
        <v>3.0499999999999999E-2</v>
      </c>
      <c r="G18" s="263" t="s">
        <v>2427</v>
      </c>
    </row>
    <row r="19" spans="1:7" s="267" customFormat="1" ht="13.5" customHeight="1">
      <c r="A19" s="299" t="s">
        <v>2428</v>
      </c>
      <c r="B19" s="254" t="s">
        <v>2429</v>
      </c>
      <c r="C19" s="255">
        <f ca="1">IF(G19="已包含在土地取得成本中","0",ROUND(D19*E19,0))</f>
        <v>1655328</v>
      </c>
      <c r="D19" s="1036">
        <f ca="1">D9+D10</f>
        <v>8276.64</v>
      </c>
      <c r="E19" s="255">
        <f>'数据-取费表'!B31</f>
        <v>200</v>
      </c>
      <c r="F19" s="275"/>
      <c r="G19" s="2548"/>
    </row>
    <row r="20" spans="1:7" s="258" customFormat="1" ht="13.5" customHeight="1">
      <c r="A20" s="299" t="s">
        <v>2430</v>
      </c>
      <c r="B20" s="254" t="s">
        <v>2431</v>
      </c>
      <c r="C20" s="276">
        <f ca="1">ROUND((C5+C19)*F20,0)</f>
        <v>33107</v>
      </c>
      <c r="D20" s="276"/>
      <c r="E20" s="276"/>
      <c r="F20" s="277">
        <f>'数据-取费表'!B37</f>
        <v>0.01</v>
      </c>
      <c r="G20" s="278" t="s">
        <v>2432</v>
      </c>
    </row>
    <row r="21" spans="1:7" s="258" customFormat="1" ht="13.5" customHeight="1">
      <c r="A21" s="299" t="s">
        <v>2433</v>
      </c>
      <c r="B21" s="254" t="s">
        <v>2434</v>
      </c>
      <c r="C21" s="279">
        <f>F21</f>
        <v>0.01</v>
      </c>
      <c r="D21" s="280" t="s">
        <v>2435</v>
      </c>
      <c r="E21" s="276"/>
      <c r="F21" s="277">
        <f>'数据-取费表'!B38</f>
        <v>0.01</v>
      </c>
      <c r="G21" s="278" t="s">
        <v>2436</v>
      </c>
    </row>
    <row r="22" spans="1:7" s="258" customFormat="1" ht="13.5" customHeight="1">
      <c r="A22" s="299" t="s">
        <v>2437</v>
      </c>
      <c r="B22" s="254" t="s">
        <v>2438</v>
      </c>
      <c r="C22" s="1380">
        <f ca="1">ROUND(SUM(C23:C25),0)</f>
        <v>323555</v>
      </c>
      <c r="D22" s="279">
        <f ca="1">C26</f>
        <v>5.0000000000000001E-4</v>
      </c>
      <c r="E22" s="280" t="s">
        <v>2435</v>
      </c>
      <c r="F22" s="281">
        <f ca="1">'数据-取费表'!B40</f>
        <v>4.7500000000000001E-2</v>
      </c>
      <c r="G22" s="278" t="str">
        <f>IF('数据-取费表'!B22&lt;=1,"单利计息","复利计息")</f>
        <v>复利计息</v>
      </c>
    </row>
    <row r="23" spans="1:7" s="258" customFormat="1" ht="13.5" customHeight="1">
      <c r="A23" s="951" t="s">
        <v>2328</v>
      </c>
      <c r="B23" s="259" t="s">
        <v>2439</v>
      </c>
      <c r="C23" s="1381">
        <f ca="1">ROUND(IF('数据-取费表'!B22&lt;=1,C5*F22*'数据-取费表'!B22,C5*(POWER((1+F22),'数据-取费表'!B22)-1)),0)</f>
        <v>160991</v>
      </c>
      <c r="D23" s="282"/>
      <c r="E23" s="282"/>
      <c r="F23" s="283"/>
      <c r="G23" s="284" t="s">
        <v>2440</v>
      </c>
    </row>
    <row r="24" spans="1:7" s="258" customFormat="1" ht="13.5" customHeight="1">
      <c r="A24" s="951" t="s">
        <v>2330</v>
      </c>
      <c r="B24" s="259" t="s">
        <v>2441</v>
      </c>
      <c r="C24" s="1381">
        <f ca="1">ROUND(IF('数据-取费表'!B22&lt;=1,C19*F22*('数据-取费表'!B19/2+'数据-取费表'!B20),C19*(POWER((1+F22),('数据-取费表'!B19/2+'数据-取费表'!B20))-1)),0)</f>
        <v>160991</v>
      </c>
      <c r="D24" s="282"/>
      <c r="E24" s="282"/>
      <c r="F24" s="283"/>
      <c r="G24" s="284" t="s">
        <v>2442</v>
      </c>
    </row>
    <row r="25" spans="1:7" s="258" customFormat="1" ht="24">
      <c r="A25" s="951" t="s">
        <v>2332</v>
      </c>
      <c r="B25" s="259" t="s">
        <v>2443</v>
      </c>
      <c r="C25" s="1381">
        <f ca="1">ROUND(IF('数据-取费表'!B22&lt;=1,C20*F22*'数据-取费表'!B22/2,C20*(POWER((1+F22),'数据-取费表'!B22/2)-1)),0)</f>
        <v>1573</v>
      </c>
      <c r="D25" s="282"/>
      <c r="E25" s="285"/>
      <c r="F25" s="283"/>
      <c r="G25" s="286" t="s">
        <v>2444</v>
      </c>
    </row>
    <row r="26" spans="1:7" s="258" customFormat="1">
      <c r="A26" s="951" t="s">
        <v>795</v>
      </c>
      <c r="B26" s="259" t="s">
        <v>2367</v>
      </c>
      <c r="C26" s="282">
        <f ca="1">ROUND(IF('数据-取费表'!B22&lt;=1,F21*F22*'数据-取费表'!B22/2,F21*(POWER((1+F22),'数据-取费表'!B22/2)-1)),4)</f>
        <v>5.0000000000000001E-4</v>
      </c>
      <c r="D26" s="282"/>
      <c r="E26" s="285"/>
      <c r="F26" s="283"/>
      <c r="G26" s="287"/>
    </row>
    <row r="27" spans="1:7" s="258" customFormat="1" ht="24.75">
      <c r="A27" s="299" t="s">
        <v>2368</v>
      </c>
      <c r="B27" s="288" t="s">
        <v>2369</v>
      </c>
      <c r="C27" s="289">
        <f ca="1">C28</f>
        <v>668753</v>
      </c>
      <c r="D27" s="279">
        <f ca="1">C29</f>
        <v>2E-3</v>
      </c>
      <c r="E27" s="280" t="s">
        <v>2370</v>
      </c>
      <c r="F27" s="290">
        <f ca="1">IF(B1="",'数据-取费表'!Q16,INDIRECT("'数据-取费表'!q"&amp;$G$1))</f>
        <v>0.2</v>
      </c>
      <c r="G27" s="291" t="s">
        <v>2371</v>
      </c>
    </row>
    <row r="28" spans="1:7" s="258" customFormat="1" ht="13.5" customHeight="1">
      <c r="A28" s="951" t="s">
        <v>791</v>
      </c>
      <c r="B28" s="292" t="s">
        <v>2372</v>
      </c>
      <c r="C28" s="293">
        <f ca="1">ROUND((C5+C19+C20)*F27,0)</f>
        <v>668753</v>
      </c>
      <c r="D28" s="279"/>
      <c r="E28" s="280"/>
      <c r="F28" s="290"/>
      <c r="G28" s="291"/>
    </row>
    <row r="29" spans="1:7" s="258" customFormat="1" ht="13.5" customHeight="1">
      <c r="A29" s="951" t="s">
        <v>792</v>
      </c>
      <c r="B29" s="292" t="s">
        <v>2373</v>
      </c>
      <c r="C29" s="282">
        <f ca="1">ROUND(C21*F27,4)</f>
        <v>2E-3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4641480</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27602595</v>
      </c>
      <c r="D33" s="276"/>
      <c r="E33" s="256"/>
      <c r="F33" s="285"/>
      <c r="G33" s="278"/>
    </row>
    <row r="34" spans="1:7" s="302" customFormat="1" ht="13.5" customHeight="1">
      <c r="A34" s="951" t="s">
        <v>791</v>
      </c>
      <c r="B34" s="259" t="s">
        <v>2381</v>
      </c>
      <c r="C34" s="264">
        <f ca="1">ROUND(IF(B1="",SUMPRODUCT('数据-取费表'!K6:K14,'数据-取费表'!L6:L14),INDIRECT("'数据-取费表'!l"&amp;$G$1)*INDIRECT("'数据-取费表'!k"&amp;$G$1)+'数据-取费表'!L14*INDIRECT("'数据-取费表'!S"&amp;$G$1)),0)</f>
        <v>24829920</v>
      </c>
      <c r="D34" s="261"/>
      <c r="E34" s="264"/>
      <c r="F34" s="301"/>
      <c r="G34" s="263"/>
    </row>
    <row r="35" spans="1:7" ht="13.5" customHeight="1">
      <c r="A35" s="951" t="s">
        <v>796</v>
      </c>
      <c r="B35" s="259" t="s">
        <v>2383</v>
      </c>
      <c r="C35" s="264">
        <f ca="1">ROUND(C34*F35,0)</f>
        <v>744898</v>
      </c>
      <c r="D35" s="264"/>
      <c r="E35" s="264"/>
      <c r="F35" s="303">
        <f>'数据-取费表'!B33</f>
        <v>0.03</v>
      </c>
      <c r="G35" s="263" t="s">
        <v>2384</v>
      </c>
    </row>
    <row r="36" spans="1:7" ht="24">
      <c r="A36" s="951"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1" t="s">
        <v>798</v>
      </c>
      <c r="B37" s="259" t="s">
        <v>2387</v>
      </c>
      <c r="C37" s="293">
        <f ca="1">ROUND(E37*D37,0)</f>
        <v>1655328</v>
      </c>
      <c r="D37" s="261">
        <f ca="1">D19</f>
        <v>8276.64</v>
      </c>
      <c r="E37" s="293">
        <f>'数据-取费表'!B35</f>
        <v>200</v>
      </c>
      <c r="F37" s="303"/>
      <c r="G37" s="305"/>
    </row>
    <row r="38" spans="1:7" ht="13.5" customHeight="1">
      <c r="A38" s="951" t="s">
        <v>799</v>
      </c>
      <c r="B38" s="259" t="s">
        <v>2389</v>
      </c>
      <c r="C38" s="264">
        <f ca="1">ROUND(C34*F38,0)</f>
        <v>372449</v>
      </c>
      <c r="D38" s="264"/>
      <c r="E38" s="264"/>
      <c r="F38" s="303">
        <f>'数据-取费表'!B36</f>
        <v>1.4999999999999999E-2</v>
      </c>
      <c r="G38" s="263" t="s">
        <v>2384</v>
      </c>
    </row>
    <row r="39" spans="1:7" s="258" customFormat="1" ht="13.5" customHeight="1">
      <c r="A39" s="299" t="s">
        <v>2390</v>
      </c>
      <c r="B39" s="254" t="s">
        <v>2391</v>
      </c>
      <c r="C39" s="276">
        <f ca="1">ROUND(C33*F20,0)</f>
        <v>276026</v>
      </c>
      <c r="D39" s="276"/>
      <c r="E39" s="276"/>
      <c r="F39" s="277"/>
      <c r="G39" s="278" t="s">
        <v>2392</v>
      </c>
    </row>
    <row r="40" spans="1:7" s="258" customFormat="1" ht="13.5" customHeight="1">
      <c r="A40" s="299" t="s">
        <v>2393</v>
      </c>
      <c r="B40" s="254" t="s">
        <v>2394</v>
      </c>
      <c r="C40" s="1728">
        <f>F21</f>
        <v>0.01</v>
      </c>
      <c r="D40" s="280" t="s">
        <v>2395</v>
      </c>
      <c r="E40" s="276"/>
      <c r="F40" s="277"/>
      <c r="G40" s="278" t="s">
        <v>2396</v>
      </c>
    </row>
    <row r="41" spans="1:7" s="258" customFormat="1" ht="13.5" customHeight="1">
      <c r="A41" s="299" t="s">
        <v>2397</v>
      </c>
      <c r="B41" s="254" t="s">
        <v>2398</v>
      </c>
      <c r="C41" s="276">
        <f ca="1">ROUND(SUM(C42:C43),0)</f>
        <v>1324234</v>
      </c>
      <c r="D41" s="279">
        <f ca="1">C44</f>
        <v>5.0000000000000001E-4</v>
      </c>
      <c r="E41" s="280" t="s">
        <v>2395</v>
      </c>
      <c r="F41" s="281"/>
      <c r="G41" s="278" t="str">
        <f>IF('数据-取费表'!B22&lt;=1,"单利计息","复利计息")</f>
        <v>复利计息</v>
      </c>
    </row>
    <row r="42" spans="1:7" ht="13.5" customHeight="1">
      <c r="A42" s="951" t="s">
        <v>791</v>
      </c>
      <c r="B42" s="259" t="s">
        <v>2399</v>
      </c>
      <c r="C42" s="282">
        <f ca="1">ROUND(IF('数据-取费表'!B22&lt;=1,C33*F22*'数据-取费表'!B20/2,C33*(POWER((1+F22),'数据-取费表'!B20/2)-1)),0)</f>
        <v>1311123</v>
      </c>
      <c r="D42" s="282"/>
      <c r="E42" s="282"/>
      <c r="F42" s="283"/>
      <c r="G42" s="3153" t="s">
        <v>2447</v>
      </c>
    </row>
    <row r="43" spans="1:7" ht="13.5" customHeight="1">
      <c r="A43" s="951" t="s">
        <v>792</v>
      </c>
      <c r="B43" s="259" t="s">
        <v>2401</v>
      </c>
      <c r="C43" s="282">
        <f ca="1">ROUND(IF('数据-取费表'!B22&lt;=1,C39*F22*'数据-取费表'!B20/2,C39*(POWER((1+F22),'数据-取费表'!B20/2)-1)),0)</f>
        <v>13111</v>
      </c>
      <c r="D43" s="282"/>
      <c r="E43" s="282"/>
      <c r="F43" s="283"/>
      <c r="G43" s="3154"/>
    </row>
    <row r="44" spans="1:7" ht="13.5" customHeight="1">
      <c r="A44" s="951" t="s">
        <v>793</v>
      </c>
      <c r="B44" s="259" t="s">
        <v>2402</v>
      </c>
      <c r="C44" s="282">
        <f ca="1">ROUND(IF('数据-取费表'!B22&lt;=1,C40*F22*'数据-取费表'!B20/2,C40*(POWER((1+F22),'数据-取费表'!B20/2)-1)),4)</f>
        <v>5.0000000000000001E-4</v>
      </c>
      <c r="D44" s="282"/>
      <c r="E44" s="282"/>
      <c r="F44" s="283"/>
      <c r="G44" s="3155"/>
    </row>
    <row r="45" spans="1:7" s="258" customFormat="1" ht="13.5" customHeight="1">
      <c r="A45" s="299" t="s">
        <v>2403</v>
      </c>
      <c r="B45" s="288" t="s">
        <v>2369</v>
      </c>
      <c r="C45" s="289">
        <f ca="1">C46</f>
        <v>5575724</v>
      </c>
      <c r="D45" s="279">
        <f ca="1">C47</f>
        <v>2E-3</v>
      </c>
      <c r="E45" s="280" t="s">
        <v>2395</v>
      </c>
      <c r="F45" s="290"/>
      <c r="G45" s="291" t="s">
        <v>2404</v>
      </c>
    </row>
    <row r="46" spans="1:7" s="258" customFormat="1" ht="13.5" customHeight="1">
      <c r="A46" s="951" t="s">
        <v>791</v>
      </c>
      <c r="B46" s="292" t="s">
        <v>2405</v>
      </c>
      <c r="C46" s="293">
        <f ca="1">ROUND((C33+C39)*F27,0)</f>
        <v>5575724</v>
      </c>
      <c r="D46" s="307"/>
      <c r="E46" s="280"/>
      <c r="F46" s="290"/>
      <c r="G46" s="291"/>
    </row>
    <row r="47" spans="1:7" s="258" customFormat="1" ht="13.5" customHeight="1">
      <c r="A47" s="951" t="s">
        <v>792</v>
      </c>
      <c r="B47" s="292" t="s">
        <v>2406</v>
      </c>
      <c r="C47" s="282">
        <f ca="1">ROUND(C40*F27,4)</f>
        <v>2E-3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37228194</v>
      </c>
      <c r="D49" s="276"/>
      <c r="E49" s="276"/>
      <c r="F49" s="308"/>
      <c r="G49" s="278" t="s">
        <v>2410</v>
      </c>
    </row>
    <row r="50" spans="1:7" s="302" customFormat="1">
      <c r="A50" s="299" t="s">
        <v>2411</v>
      </c>
      <c r="B50" s="254" t="s">
        <v>2412</v>
      </c>
      <c r="C50" s="276"/>
      <c r="D50" s="276"/>
      <c r="E50" s="276"/>
      <c r="F50" s="308">
        <f>IF('数据-取费表'!B24=0,'数据-取费表'!N16,1)</f>
        <v>0.73</v>
      </c>
      <c r="G50" s="291"/>
    </row>
    <row r="51" spans="1:7" ht="16.5" customHeight="1">
      <c r="A51" s="299" t="s">
        <v>2414</v>
      </c>
      <c r="B51" s="254" t="s">
        <v>2449</v>
      </c>
      <c r="C51" s="276">
        <f ca="1">ROUND(C49*F50,0)</f>
        <v>27176582</v>
      </c>
      <c r="D51" s="276"/>
      <c r="E51" s="276"/>
      <c r="F51" s="308"/>
      <c r="G51" s="278" t="s">
        <v>2416</v>
      </c>
    </row>
    <row r="52" spans="1:7" s="252" customFormat="1" ht="16.5" thickBot="1">
      <c r="A52" s="309" t="s">
        <v>2417</v>
      </c>
      <c r="B52" s="310"/>
      <c r="C52" s="311">
        <f ca="1">C31+C51</f>
        <v>31818062</v>
      </c>
      <c r="D52" s="310"/>
      <c r="E52" s="310"/>
      <c r="F52" s="310"/>
      <c r="G52" s="312"/>
    </row>
    <row r="55" spans="1:7" ht="15">
      <c r="B55" s="314" t="s">
        <v>2418</v>
      </c>
      <c r="C55" s="315"/>
    </row>
    <row r="56" spans="1:7">
      <c r="B56" s="317" t="s">
        <v>1507</v>
      </c>
      <c r="C56" s="319">
        <f ca="1">1-C57</f>
        <v>0.14600000000000002</v>
      </c>
    </row>
    <row r="57" spans="1:7">
      <c r="B57" s="317" t="s">
        <v>1508</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2450</v>
      </c>
      <c r="B1" s="1581"/>
      <c r="C1" s="1582"/>
      <c r="D1" s="1580"/>
      <c r="E1" s="320"/>
      <c r="F1" s="320"/>
      <c r="G1" s="1581"/>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6" customFormat="1" ht="16.5" customHeight="1">
      <c r="A4" s="953" t="s">
        <v>2453</v>
      </c>
      <c r="B4" s="954"/>
      <c r="C4" s="996">
        <f>SUM(C8:K8)</f>
        <v>0</v>
      </c>
      <c r="D4" s="954"/>
      <c r="E4" s="954"/>
      <c r="F4" s="954"/>
      <c r="G4" s="954"/>
      <c r="H4" s="954"/>
      <c r="I4" s="954"/>
      <c r="J4" s="954"/>
      <c r="K4" s="955"/>
    </row>
    <row r="5" spans="1:33" s="960" customFormat="1" ht="24.75">
      <c r="A5" s="957" t="s">
        <v>2454</v>
      </c>
      <c r="B5" s="958" t="s">
        <v>2455</v>
      </c>
      <c r="C5" s="2552" t="s">
        <v>2456</v>
      </c>
      <c r="D5" s="2552" t="s">
        <v>2457</v>
      </c>
      <c r="E5" s="2552" t="s">
        <v>2458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2459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2462</v>
      </c>
      <c r="B8" s="177" t="s">
        <v>2463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2464</v>
      </c>
      <c r="B9" s="954"/>
      <c r="C9" s="954"/>
      <c r="D9" s="954"/>
      <c r="E9" s="954"/>
      <c r="F9" s="954"/>
      <c r="G9" s="954"/>
      <c r="H9" s="954"/>
      <c r="I9" s="954"/>
      <c r="J9" s="954"/>
      <c r="K9" s="955"/>
    </row>
    <row r="10" spans="1:33" s="970" customFormat="1" ht="13.5" customHeight="1">
      <c r="A10" s="957" t="s">
        <v>2465</v>
      </c>
      <c r="B10" s="8" t="s">
        <v>2466</v>
      </c>
      <c r="C10" s="966" t="s">
        <v>2467</v>
      </c>
      <c r="D10" s="967" t="s">
        <v>2468</v>
      </c>
      <c r="E10" s="967" t="s">
        <v>2469</v>
      </c>
      <c r="F10" s="967" t="s">
        <v>2470</v>
      </c>
      <c r="G10" s="8"/>
      <c r="H10" s="968"/>
      <c r="I10" s="968"/>
      <c r="J10" s="968"/>
      <c r="K10" s="969"/>
    </row>
    <row r="11" spans="1:33" s="975" customFormat="1" ht="13.5" customHeight="1">
      <c r="A11" s="971" t="s">
        <v>1330</v>
      </c>
      <c r="B11" s="972" t="s">
        <v>2471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2472</v>
      </c>
      <c r="C12" s="24">
        <f ca="1">ROUND(C11*F12,0)</f>
        <v>0</v>
      </c>
      <c r="D12" s="973"/>
      <c r="E12" s="375"/>
      <c r="F12" s="976">
        <f>'数据-取费表'!B33</f>
        <v>0.03</v>
      </c>
      <c r="G12" s="8" t="s">
        <v>2473</v>
      </c>
      <c r="H12" s="968"/>
      <c r="I12" s="968"/>
      <c r="J12" s="968"/>
      <c r="K12" s="969"/>
    </row>
    <row r="13" spans="1:33" s="975" customFormat="1" ht="13.5" customHeight="1">
      <c r="A13" s="971" t="s">
        <v>1332</v>
      </c>
      <c r="B13" s="972" t="s">
        <v>2474</v>
      </c>
      <c r="C13" s="24">
        <f ca="1">ROUND(IF(C1="",SUMIF('数据-取费表'!C:C,"住宅",'数据-取费表'!P:P)*F13,IF(INDIRECT("'数据-取费表'!c"&amp;$K$1)="住宅",INDIRECT("'数据-取费表'!P"&amp;$K$1)*F13,0)),0)</f>
        <v>0</v>
      </c>
      <c r="D13" s="1033"/>
      <c r="E13" s="375"/>
      <c r="F13" s="976">
        <f>'数据-取费表'!B34</f>
        <v>0</v>
      </c>
      <c r="G13" s="8" t="s">
        <v>2475</v>
      </c>
      <c r="H13" s="968"/>
      <c r="I13" s="968"/>
      <c r="J13" s="968"/>
      <c r="K13" s="969"/>
    </row>
    <row r="14" spans="1:33" s="977" customFormat="1" ht="13.5" customHeight="1">
      <c r="A14" s="971" t="s">
        <v>1333</v>
      </c>
      <c r="B14" s="972" t="s">
        <v>2476</v>
      </c>
      <c r="C14" s="24">
        <f ca="1">ROUND(D14*E14*F11/10000,0)</f>
        <v>0</v>
      </c>
      <c r="D14" s="1033">
        <f ca="1">IF(C1="",'数据-汇总表'!E3,INDIRECT("'数据-取费表'!K"&amp;$K$1)+INDIRECT("'数据-取费表'!S"&amp;$K$1))</f>
        <v>8276.64</v>
      </c>
      <c r="E14" s="24">
        <f>'数据-取费表'!B35</f>
        <v>200</v>
      </c>
      <c r="F14" s="976"/>
      <c r="G14" s="8" t="s">
        <v>2477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2478</v>
      </c>
      <c r="C15" s="983">
        <f ca="1">ROUND(C11*F15,0)</f>
        <v>0</v>
      </c>
      <c r="D15" s="978"/>
      <c r="E15" s="983"/>
      <c r="F15" s="984">
        <f>'数据-取费表'!B36</f>
        <v>1.4999999999999999E-2</v>
      </c>
      <c r="G15" s="140" t="s">
        <v>2479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2481</v>
      </c>
      <c r="C17" s="24">
        <f ca="1">ROUND(D17*E17/10000,0)</f>
        <v>0</v>
      </c>
      <c r="D17" s="1033">
        <f ca="1">D14</f>
        <v>8276.64</v>
      </c>
      <c r="E17" s="24">
        <f>'数据-取费表'!B32</f>
        <v>0</v>
      </c>
      <c r="F17" s="978"/>
      <c r="G17" s="140" t="s">
        <v>2482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2483</v>
      </c>
      <c r="C18" s="24">
        <f ca="1">C19+C20-IF(C1="",'数据-取费表'!B29,IF(G18="已全部缴纳",C19+C20,H18))</f>
        <v>0</v>
      </c>
      <c r="D18" s="1033"/>
      <c r="E18" s="24"/>
      <c r="F18" s="976"/>
      <c r="G18" s="2554"/>
      <c r="H18" s="1577"/>
      <c r="I18" s="2555" t="s">
        <v>2484</v>
      </c>
      <c r="J18" s="979"/>
      <c r="K18" s="980"/>
    </row>
    <row r="19" spans="1:33" s="975" customFormat="1" ht="13.5" customHeight="1">
      <c r="A19" s="971" t="s">
        <v>805</v>
      </c>
      <c r="B19" s="972" t="s">
        <v>2485</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2486</v>
      </c>
      <c r="C20" s="24">
        <f ca="1">ROUND(D20*E20/10000,0)</f>
        <v>166</v>
      </c>
      <c r="D20" s="1033">
        <f ca="1">IF(C1="",'数据-汇总表'!E6,IF(INDIRECT("'数据-取费表'!c"&amp;$K$1)="住宅",INDIRECT("'数据-取费表'!s"&amp;$K$1),INDIRECT("'数据-取费表'!k"&amp;$K$1)+INDIRECT("'数据-取费表'!s"&amp;$K$1)))</f>
        <v>8276.64</v>
      </c>
      <c r="E20" s="24">
        <f>'数据-取费表'!B28</f>
        <v>200</v>
      </c>
      <c r="F20" s="976"/>
      <c r="G20" s="15"/>
      <c r="H20" s="981"/>
      <c r="I20" s="981"/>
      <c r="J20" s="981"/>
      <c r="K20" s="982"/>
    </row>
    <row r="21" spans="1:33" s="975" customFormat="1" ht="13.5" customHeight="1">
      <c r="A21" s="961" t="s">
        <v>802</v>
      </c>
      <c r="B21" s="985" t="s">
        <v>2487</v>
      </c>
      <c r="C21" s="986">
        <f ca="1">C16+C17+C18</f>
        <v>0</v>
      </c>
      <c r="D21" s="987"/>
      <c r="E21" s="325"/>
      <c r="F21" s="325"/>
      <c r="G21" s="140" t="s">
        <v>2488</v>
      </c>
      <c r="H21" s="979"/>
      <c r="I21" s="979"/>
      <c r="J21" s="979"/>
      <c r="K21" s="980"/>
    </row>
    <row r="22" spans="1:33" s="975" customFormat="1" ht="13.5" customHeight="1">
      <c r="A22" s="961" t="s">
        <v>2460</v>
      </c>
      <c r="B22" s="985" t="s">
        <v>2489</v>
      </c>
      <c r="C22" s="986">
        <f ca="1">ROUND(C21*F22,0)</f>
        <v>0</v>
      </c>
      <c r="D22" s="325"/>
      <c r="E22" s="325"/>
      <c r="F22" s="988">
        <f>'数据-取费表'!B37</f>
        <v>0.01</v>
      </c>
      <c r="G22" s="8" t="s">
        <v>2490</v>
      </c>
      <c r="H22" s="968"/>
      <c r="I22" s="968"/>
      <c r="J22" s="968"/>
      <c r="K22" s="969"/>
    </row>
    <row r="23" spans="1:33" s="975" customFormat="1" ht="13.5" customHeight="1">
      <c r="A23" s="961" t="s">
        <v>2462</v>
      </c>
      <c r="B23" s="985" t="s">
        <v>2491</v>
      </c>
      <c r="C23" s="986">
        <f ca="1">ROUND(C4*F23*F11,0)</f>
        <v>0</v>
      </c>
      <c r="D23" s="325"/>
      <c r="E23" s="325"/>
      <c r="F23" s="988">
        <f>'数据-取费表'!B38</f>
        <v>0.01</v>
      </c>
      <c r="G23" s="8" t="s">
        <v>2492</v>
      </c>
      <c r="H23" s="968"/>
      <c r="I23" s="968"/>
      <c r="J23" s="968"/>
      <c r="K23" s="969"/>
    </row>
    <row r="24" spans="1:33" s="975" customFormat="1" ht="13.5" customHeight="1">
      <c r="A24" s="961" t="s">
        <v>2493</v>
      </c>
      <c r="B24" s="985" t="s">
        <v>2494</v>
      </c>
      <c r="C24" s="324">
        <f>ROUND(F24/(1+'数据-取费表'!C42),4)</f>
        <v>2.9000000000000001E-2</v>
      </c>
      <c r="D24" s="325" t="s">
        <v>15</v>
      </c>
      <c r="E24" s="325"/>
      <c r="F24" s="988">
        <f>IF(项目基本情况!B8="出让",0,'数据-取费表'!B48+'数据-取费表'!B49)</f>
        <v>3.0499999999999999E-2</v>
      </c>
      <c r="G24" s="8" t="s">
        <v>2495</v>
      </c>
      <c r="H24" s="990"/>
      <c r="I24" s="990"/>
      <c r="J24" s="990"/>
      <c r="K24" s="991"/>
    </row>
    <row r="25" spans="1:33" s="975" customFormat="1" ht="13.5" customHeight="1">
      <c r="A25" s="961" t="s">
        <v>2496</v>
      </c>
      <c r="B25" s="987" t="s">
        <v>2497</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2498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2499</v>
      </c>
      <c r="C27" s="1358">
        <f ca="1">ROUND(IF('数据-取费表'!B22&lt;=1,(C21+C22+C23)*F25*'数据-取费表'!B24/2,(C21+C22+C23)*(POWER((1+F25),'数据-取费表'!B24/2)-1)),0)</f>
        <v>0</v>
      </c>
      <c r="D27" s="328"/>
      <c r="E27" s="329"/>
      <c r="F27" s="330"/>
      <c r="G27" s="2556" t="str">
        <f>IF('数据-取费表'!B22&lt;=1,"（1）-（3）项×年利率×建设期÷2","（1）-（3）项×((1+年利率)^(建设期÷2)-1)")</f>
        <v>（1）-（3）项×((1+年利率)^(建设期÷2)-1)</v>
      </c>
      <c r="H27" s="979"/>
      <c r="I27" s="979"/>
      <c r="J27" s="979"/>
      <c r="K27" s="980"/>
    </row>
    <row r="28" spans="1:33" s="333" customFormat="1" ht="13.5" customHeight="1">
      <c r="A28" s="961" t="s">
        <v>2500</v>
      </c>
      <c r="B28" s="2557" t="s">
        <v>2501</v>
      </c>
      <c r="C28" s="331">
        <f ca="1">C30</f>
        <v>0</v>
      </c>
      <c r="D28" s="324">
        <f ca="1">C29</f>
        <v>0</v>
      </c>
      <c r="E28" s="326" t="s">
        <v>15</v>
      </c>
      <c r="F28" s="332">
        <f ca="1">IF(C1="",'数据-取费表'!Q16,INDIRECT("'数据-取费表'!q"&amp;$K$1))</f>
        <v>0.2</v>
      </c>
      <c r="G28" s="989"/>
      <c r="H28" s="990"/>
      <c r="I28" s="990"/>
      <c r="J28" s="990"/>
      <c r="K28" s="991"/>
    </row>
    <row r="29" spans="1:33" s="335" customFormat="1" ht="13.5" customHeight="1">
      <c r="A29" s="971" t="s">
        <v>803</v>
      </c>
      <c r="B29" s="994" t="s">
        <v>2502</v>
      </c>
      <c r="C29" s="328">
        <f ca="1">ROUND((1+C24)*F28*'数据-取费表'!B24/'数据-取费表'!B20,4)</f>
        <v>0</v>
      </c>
      <c r="D29" s="328"/>
      <c r="E29" s="329"/>
      <c r="F29" s="334"/>
      <c r="G29" s="140" t="s">
        <v>2503</v>
      </c>
      <c r="H29" s="979"/>
      <c r="I29" s="979"/>
      <c r="J29" s="979"/>
      <c r="K29" s="980"/>
    </row>
    <row r="30" spans="1:33" s="335" customFormat="1" ht="13.5" customHeight="1">
      <c r="A30" s="971" t="s">
        <v>804</v>
      </c>
      <c r="B30" s="994" t="s">
        <v>2504</v>
      </c>
      <c r="C30" s="336">
        <f ca="1">ROUND((C21+C22+C23)*F28,0)</f>
        <v>0</v>
      </c>
      <c r="D30" s="328"/>
      <c r="E30" s="329"/>
      <c r="F30" s="334"/>
      <c r="G30" s="140"/>
      <c r="H30" s="979"/>
      <c r="I30" s="979"/>
      <c r="J30" s="979"/>
      <c r="K30" s="980"/>
    </row>
    <row r="31" spans="1:33" s="975" customFormat="1" ht="13.5" customHeight="1" thickBot="1">
      <c r="A31" s="2558" t="s">
        <v>2505</v>
      </c>
      <c r="B31" s="1005" t="s">
        <v>2506</v>
      </c>
      <c r="C31" s="1006">
        <f>ROUND(C4*F31/(1+'数据-取费表'!C42),0)</f>
        <v>0</v>
      </c>
      <c r="D31" s="1007"/>
      <c r="E31" s="1008"/>
      <c r="F31" s="1009">
        <f>'数据-取费表'!B41</f>
        <v>5.6000000000000001E-2</v>
      </c>
      <c r="G31" s="1010" t="s">
        <v>2507</v>
      </c>
      <c r="H31" s="1011"/>
      <c r="I31" s="1011"/>
      <c r="J31" s="1011"/>
      <c r="K31" s="1012"/>
    </row>
    <row r="32" spans="1:33" s="970" customFormat="1" ht="13.5" customHeight="1" thickBot="1">
      <c r="A32" s="1000" t="s">
        <v>2508</v>
      </c>
      <c r="B32" s="1001"/>
      <c r="C32" s="1002">
        <f ca="1">ROUND((C4-C21-C22-C23-C25-C28-C31)/(1+C24+D25+D28),0)</f>
        <v>0</v>
      </c>
      <c r="D32" s="1001"/>
      <c r="E32" s="1001"/>
      <c r="F32" s="1001"/>
      <c r="G32" s="1003" t="s">
        <v>2509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39" sqref="C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3060</v>
      </c>
      <c r="D1" s="1820" t="s">
        <v>70</v>
      </c>
      <c r="E1" s="1821" t="s">
        <v>1382</v>
      </c>
      <c r="F1" s="1283">
        <f ca="1">J53</f>
        <v>31.52</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25375</v>
      </c>
      <c r="C2" s="1845" t="s">
        <v>1510</v>
      </c>
      <c r="D2" s="1845"/>
      <c r="E2" s="1846"/>
      <c r="F2" s="1847"/>
      <c r="G2" s="1848"/>
      <c r="H2" s="1840"/>
      <c r="I2" s="1840"/>
      <c r="J2" s="1840"/>
      <c r="K2" s="1841"/>
      <c r="L2" s="1840"/>
      <c r="M2" s="1840"/>
    </row>
    <row r="3" spans="1:37" ht="18" customHeight="1" thickBot="1">
      <c r="A3" s="1849" t="s">
        <v>1511</v>
      </c>
      <c r="B3" s="1850">
        <f ca="1">IF(ISERROR(B2*10000/F43),0,ROUND(B2*10000/F43,0))</f>
        <v>30659</v>
      </c>
      <c r="C3" s="1845" t="s">
        <v>1512</v>
      </c>
      <c r="D3" s="1845"/>
      <c r="E3" s="1846"/>
      <c r="F3" s="1847"/>
      <c r="G3" s="1848"/>
      <c r="H3" s="744" t="s">
        <v>1582</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1550</v>
      </c>
      <c r="D5" s="1822" t="s">
        <v>1397</v>
      </c>
      <c r="E5" s="1293"/>
      <c r="F5" s="1294"/>
      <c r="G5" s="1851"/>
      <c r="H5" s="344">
        <v>1</v>
      </c>
      <c r="I5" s="345" t="s">
        <v>1396</v>
      </c>
      <c r="J5" s="1292">
        <f ca="1">J6+J10+J12</f>
        <v>0</v>
      </c>
      <c r="K5" s="1822" t="s">
        <v>1397</v>
      </c>
      <c r="L5" s="1293"/>
      <c r="M5" s="1294"/>
    </row>
    <row r="6" spans="1:37" ht="18" customHeight="1">
      <c r="A6" s="1291" t="s">
        <v>1032</v>
      </c>
      <c r="B6" s="3181" t="s">
        <v>1398</v>
      </c>
      <c r="C6" s="1296">
        <f ca="1">ROUND(F6*F8*F7*(1-F9)/10000,0)</f>
        <v>1550</v>
      </c>
      <c r="D6" s="164" t="s">
        <v>3022</v>
      </c>
      <c r="E6" s="347" t="s">
        <v>1400</v>
      </c>
      <c r="F6" s="348">
        <f ca="1">INDIRECT("'数据-取费表'!u"&amp;$G$1)</f>
        <v>5.7</v>
      </c>
      <c r="G6" s="1851"/>
      <c r="H6" s="1291" t="s">
        <v>1032</v>
      </c>
      <c r="I6" s="3181" t="s">
        <v>1398</v>
      </c>
      <c r="J6" s="346">
        <f ca="1">ROUND(M6*M8*M7*(1-M9)/10000,0)</f>
        <v>0</v>
      </c>
      <c r="K6" s="164" t="s">
        <v>3021</v>
      </c>
      <c r="L6" s="347" t="s">
        <v>1400</v>
      </c>
      <c r="M6" s="348">
        <f ca="1">INDIRECT("'数据-取费表'!z"&amp;$G$1)</f>
        <v>0</v>
      </c>
    </row>
    <row r="7" spans="1:37" ht="18" customHeight="1">
      <c r="A7" s="1295"/>
      <c r="B7" s="3182"/>
      <c r="C7" s="1297"/>
      <c r="D7" s="352"/>
      <c r="E7" s="1298" t="s">
        <v>1401</v>
      </c>
      <c r="F7" s="348">
        <f ca="1">IF(INDIRECT("'数据-取费表'!ah"&amp;$G$1)="",INDIRECT("'数据-取费表'!k"&amp;$G$1),INDIRECT("'数据-取费表'!ah"&amp;$G$1))</f>
        <v>8276.64</v>
      </c>
      <c r="G7" s="1851"/>
      <c r="H7" s="349"/>
      <c r="I7" s="3182"/>
      <c r="J7" s="351"/>
      <c r="K7" s="352"/>
      <c r="L7" s="347" t="s">
        <v>1401</v>
      </c>
      <c r="M7" s="348">
        <f ca="1">F7</f>
        <v>8276.64</v>
      </c>
    </row>
    <row r="8" spans="1:37" ht="18" customHeight="1">
      <c r="A8" s="349"/>
      <c r="B8" s="3182"/>
      <c r="C8" s="351"/>
      <c r="D8" s="352"/>
      <c r="E8" s="347" t="s">
        <v>1402</v>
      </c>
      <c r="F8" s="348">
        <f ca="1">INDIRECT("'数据-取费表'!ai"&amp;$G$1)</f>
        <v>365</v>
      </c>
      <c r="G8" s="1851"/>
      <c r="H8" s="349"/>
      <c r="I8" s="3182"/>
      <c r="J8" s="351"/>
      <c r="K8" s="352"/>
      <c r="L8" s="347" t="s">
        <v>1402</v>
      </c>
      <c r="M8" s="348">
        <f ca="1">INDIRECT("'数据-取费表'!ai"&amp;$G$1)</f>
        <v>365</v>
      </c>
    </row>
    <row r="9" spans="1:37" ht="18" customHeight="1">
      <c r="A9" s="349"/>
      <c r="B9" s="3183"/>
      <c r="C9" s="351"/>
      <c r="D9" s="352"/>
      <c r="E9" s="347" t="s">
        <v>1403</v>
      </c>
      <c r="F9" s="357">
        <f ca="1">INDIRECT("'数据-取费表'!w"&amp;$G$1)</f>
        <v>0.1</v>
      </c>
      <c r="G9" s="1851"/>
      <c r="H9" s="349"/>
      <c r="I9" s="318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3031</v>
      </c>
      <c r="E10" s="358" t="s">
        <v>1405</v>
      </c>
      <c r="F10" s="1366" t="s">
        <v>3084</v>
      </c>
      <c r="G10" s="1851"/>
      <c r="H10" s="1291" t="s">
        <v>1036</v>
      </c>
      <c r="I10" s="1823" t="s">
        <v>1404</v>
      </c>
      <c r="J10" s="346">
        <f ca="1">ROUND(IF(M10="押一",J6/12*M11,IF(M10="押二",J6/12*2*M11,IF(M10="押三",J6/12*3*M11,J11*M11))),0)</f>
        <v>0</v>
      </c>
      <c r="K10" s="1824" t="s">
        <v>3030</v>
      </c>
      <c r="L10" s="358" t="s">
        <v>1405</v>
      </c>
      <c r="M10" s="1366" t="s">
        <v>3081</v>
      </c>
    </row>
    <row r="11" spans="1:37" ht="18" customHeight="1">
      <c r="A11" s="353"/>
      <c r="B11" s="1825" t="s">
        <v>1383</v>
      </c>
      <c r="C11" s="1178"/>
      <c r="D11" s="1826"/>
      <c r="E11" s="358" t="s">
        <v>1406</v>
      </c>
      <c r="F11" s="359">
        <f ca="1">'数据-取费表'!B39</f>
        <v>1.4999999999999999E-2</v>
      </c>
      <c r="G11" s="1851"/>
      <c r="H11" s="1299"/>
      <c r="I11" s="1825" t="s">
        <v>1383</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2718</v>
      </c>
      <c r="D13" s="1331" t="s">
        <v>1409</v>
      </c>
      <c r="E13" s="1331" t="s">
        <v>1410</v>
      </c>
      <c r="F13" s="1332">
        <f ca="1">INDIRECT("'数据-取费表'!y"&amp;$G$1)</f>
        <v>0.73</v>
      </c>
      <c r="G13" s="1851"/>
      <c r="H13" s="1329">
        <v>2</v>
      </c>
      <c r="I13" s="1330" t="s">
        <v>1408</v>
      </c>
      <c r="J13" s="1290">
        <f ca="1">ROUND(J14*J15,0)</f>
        <v>0</v>
      </c>
      <c r="K13" s="1337" t="s">
        <v>1409</v>
      </c>
      <c r="L13" s="1852"/>
      <c r="M13" s="1853"/>
    </row>
    <row r="14" spans="1:37" ht="18" customHeight="1">
      <c r="A14" s="1201" t="s">
        <v>1031</v>
      </c>
      <c r="B14" s="347" t="s">
        <v>1411</v>
      </c>
      <c r="C14" s="363">
        <f ca="1">INDIRECT("'数据-取费表'!m"&amp;$G$1)+INDIRECT("'数据-取费表'!t"&amp;$G$1)</f>
        <v>2483</v>
      </c>
      <c r="D14" s="1800" t="s">
        <v>1412</v>
      </c>
      <c r="E14" s="1794"/>
      <c r="F14" s="364"/>
      <c r="G14" s="1851"/>
      <c r="H14" s="1201" t="s">
        <v>1032</v>
      </c>
      <c r="I14" s="347" t="s">
        <v>1413</v>
      </c>
      <c r="J14" s="24">
        <f ca="1">C29</f>
        <v>3723</v>
      </c>
      <c r="K14" s="15"/>
      <c r="L14" s="979"/>
      <c r="M14" s="980"/>
    </row>
    <row r="15" spans="1:37" s="1858" customFormat="1" ht="18" customHeight="1" thickBot="1">
      <c r="A15" s="1201" t="s">
        <v>1033</v>
      </c>
      <c r="B15" s="347" t="s">
        <v>1414</v>
      </c>
      <c r="C15" s="24">
        <f ca="1">ROUND(C14*F15,0)</f>
        <v>74</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ROUND(INDIRECT("'数据-取费表'!m"&amp;$G$1)*F16,0)</f>
        <v>0</v>
      </c>
      <c r="D16" s="347" t="s">
        <v>1415</v>
      </c>
      <c r="E16" s="347" t="s">
        <v>1416</v>
      </c>
      <c r="F16" s="367">
        <f ca="1">IF(INDIRECT("'数据-取费表'!c"&amp;$G$1)="住宅",'数据-取费表'!B34,0)</f>
        <v>0</v>
      </c>
      <c r="G16" s="1851"/>
      <c r="H16" s="1329" t="s">
        <v>1027</v>
      </c>
      <c r="I16" s="1330" t="s">
        <v>1418</v>
      </c>
      <c r="J16" s="355">
        <f ca="1">ROUND(J17+J22+J23+J24,0)</f>
        <v>58</v>
      </c>
      <c r="K16" s="1337" t="s">
        <v>1419</v>
      </c>
      <c r="L16" s="1338"/>
      <c r="M16" s="1294"/>
    </row>
    <row r="17" spans="1:37" s="1858" customFormat="1" ht="18" customHeight="1">
      <c r="A17" s="1201" t="s">
        <v>1385</v>
      </c>
      <c r="B17" s="347" t="s">
        <v>1420</v>
      </c>
      <c r="C17" s="24">
        <f ca="1">ROUND(F17*(F43+INDIRECT("'数据-取费表'!S"&amp;$G$1))/10000,0)</f>
        <v>166</v>
      </c>
      <c r="D17" s="347" t="s">
        <v>1421</v>
      </c>
      <c r="E17" s="347" t="s">
        <v>1422</v>
      </c>
      <c r="F17" s="26">
        <f>'数据-取费表'!B35</f>
        <v>200</v>
      </c>
      <c r="G17" s="1854"/>
      <c r="H17" s="1201" t="s">
        <v>1032</v>
      </c>
      <c r="I17" s="347" t="s">
        <v>1423</v>
      </c>
      <c r="J17" s="24">
        <f ca="1">ROUND(IF(项目基本情况!B11="自然人",J6*M17/(1+'数据-取费表'!C42),J18+J19+J20),1)</f>
        <v>2.2000000000000002</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37</v>
      </c>
      <c r="D18" s="347" t="s">
        <v>1415</v>
      </c>
      <c r="E18" s="347" t="s">
        <v>1416</v>
      </c>
      <c r="F18" s="367">
        <f>'数据-取费表'!B36</f>
        <v>1.4999999999999999E-2</v>
      </c>
      <c r="G18" s="1854"/>
      <c r="H18" s="1201" t="s">
        <v>1031</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2760</v>
      </c>
      <c r="D19" s="140" t="s">
        <v>1430</v>
      </c>
      <c r="E19" s="1818"/>
      <c r="F19" s="26"/>
      <c r="G19" s="1851"/>
      <c r="H19" s="1201" t="s">
        <v>1033</v>
      </c>
      <c r="I19" s="347" t="s">
        <v>1431</v>
      </c>
      <c r="J19" s="24">
        <f ca="1">IF(K19="按租金收入计税",ROUND(J6*M19/(1+'数据-取费表'!C42),2),ROUND(C29*M19*0.7,2))</f>
        <v>0</v>
      </c>
      <c r="K19" s="1828" t="s">
        <v>3129</v>
      </c>
      <c r="L19" s="347" t="s">
        <v>1416</v>
      </c>
      <c r="M19" s="367">
        <f>IF(K19="按租金收入计税",'数据-取费表'!B51,'数据-取费表'!B50)</f>
        <v>0.12</v>
      </c>
    </row>
    <row r="20" spans="1:37" s="1858" customFormat="1" ht="18" customHeight="1">
      <c r="A20" s="1201" t="s">
        <v>1036</v>
      </c>
      <c r="B20" s="347" t="s">
        <v>1433</v>
      </c>
      <c r="C20" s="24">
        <f ca="1">ROUND(C19*F20,0)</f>
        <v>28</v>
      </c>
      <c r="D20" s="369" t="s">
        <v>1434</v>
      </c>
      <c r="E20" s="347" t="s">
        <v>1416</v>
      </c>
      <c r="F20" s="367">
        <f>'数据-取费表'!B37</f>
        <v>0.01</v>
      </c>
      <c r="G20" s="1854"/>
      <c r="H20" s="1201" t="s">
        <v>1384</v>
      </c>
      <c r="I20" s="164" t="s">
        <v>1435</v>
      </c>
      <c r="J20" s="25">
        <f ca="1">ROUND(M20*M21/10000,2)</f>
        <v>2.23</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18</v>
      </c>
      <c r="D21" s="369" t="s">
        <v>1439</v>
      </c>
      <c r="E21" s="347" t="s">
        <v>1440</v>
      </c>
      <c r="F21" s="367">
        <f>'数据-取费表'!B38</f>
        <v>0.01</v>
      </c>
      <c r="G21" s="1854"/>
      <c r="H21" s="372"/>
      <c r="I21" s="356"/>
      <c r="J21" s="29"/>
      <c r="K21" s="373"/>
      <c r="L21" s="347" t="s">
        <v>1441</v>
      </c>
      <c r="M21" s="348">
        <f ca="1">INDIRECT("'数据-取费表'!r"&amp;$G$1)</f>
        <v>927.85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ROUND(J14*M22,1)</f>
        <v>55.8</v>
      </c>
      <c r="K22" s="1798" t="s">
        <v>1444</v>
      </c>
      <c r="L22" s="347" t="s">
        <v>1416</v>
      </c>
      <c r="M22" s="374">
        <f ca="1">INDIRECT("'数据-取费表'!Ak"&amp;$G$1)</f>
        <v>1.4999999999999999E-2</v>
      </c>
    </row>
    <row r="23" spans="1:37" s="1858" customFormat="1" ht="18" customHeight="1">
      <c r="A23" s="1201" t="s">
        <v>1031</v>
      </c>
      <c r="B23" s="347" t="s">
        <v>1445</v>
      </c>
      <c r="C23" s="24">
        <f ca="1">IF('数据-取费表'!B22&lt;=1,ROUND(C19*F24*F23/2,0)+ROUND(C20*F24*F23/2,0),ROUND(C19*(POWER((1+F24),F23/2)-1),0)+ROUND(C20*(POWER((1+F24),F23/2)-1),0))</f>
        <v>132</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ROUND(J13*M23,1)</f>
        <v>0</v>
      </c>
      <c r="K23" s="1798" t="s">
        <v>1448</v>
      </c>
      <c r="L23" s="347" t="s">
        <v>1449</v>
      </c>
      <c r="M23" s="376">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ROUND(J5*M24,1)</f>
        <v>0</v>
      </c>
      <c r="K24" s="1342" t="s">
        <v>1453</v>
      </c>
      <c r="L24" s="1340" t="s">
        <v>1449</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1028</v>
      </c>
      <c r="I25" s="1344" t="s">
        <v>1457</v>
      </c>
      <c r="J25" s="355">
        <f ca="1">J5-J16</f>
        <v>-58</v>
      </c>
      <c r="K25" s="1345" t="s">
        <v>1458</v>
      </c>
      <c r="L25" s="1346"/>
      <c r="M25" s="1347"/>
    </row>
    <row r="26" spans="1:37">
      <c r="A26" s="1201" t="s">
        <v>1031</v>
      </c>
      <c r="B26" s="347" t="s">
        <v>1459</v>
      </c>
      <c r="C26" s="24">
        <f ca="1">ROUND((C19+C20)*F26,0)</f>
        <v>558</v>
      </c>
      <c r="D26" s="369" t="s">
        <v>1460</v>
      </c>
      <c r="E26" s="358" t="s">
        <v>1461</v>
      </c>
      <c r="F26" s="357">
        <f ca="1">INDIRECT("'数据-取费表'!q"&amp;$G$1)</f>
        <v>0.2</v>
      </c>
      <c r="G26" s="1851"/>
      <c r="H26" s="344" t="s">
        <v>1029</v>
      </c>
      <c r="I26" s="345" t="s">
        <v>1462</v>
      </c>
      <c r="J26" s="346">
        <f ca="1">IF(J5&lt;&gt;0,ROUND(J25*(1-((1+M28)/(1+M26))^M27)/(M26-M28),0),0)</f>
        <v>0</v>
      </c>
      <c r="K26" s="370" t="s">
        <v>1463</v>
      </c>
      <c r="L26" s="347" t="s">
        <v>1464</v>
      </c>
      <c r="M26" s="357">
        <f ca="1">INDIRECT("'数据-取费表'!I"&amp;$G$1)</f>
        <v>5.5E-2</v>
      </c>
    </row>
    <row r="27" spans="1:37" ht="18" customHeight="1">
      <c r="A27" s="1201" t="s">
        <v>1033</v>
      </c>
      <c r="B27" s="347" t="s">
        <v>1465</v>
      </c>
      <c r="C27" s="24">
        <f ca="1">ROUND(F21*F26,4)</f>
        <v>2E-3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3723</v>
      </c>
      <c r="D29" s="1342"/>
      <c r="E29" s="1340"/>
      <c r="F29" s="1343"/>
      <c r="G29" s="1854"/>
      <c r="H29" s="380" t="s">
        <v>1030</v>
      </c>
      <c r="I29" s="381" t="s">
        <v>1473</v>
      </c>
      <c r="J29" s="382">
        <f ca="1">ROUND(J26/(1+F40)^F41,0)</f>
        <v>0</v>
      </c>
      <c r="K29" s="383" t="s">
        <v>1474</v>
      </c>
      <c r="L29" s="384"/>
      <c r="M29" s="385">
        <f ca="1">INDIRECT("'数据-取费表'!k"&amp;$G$1)</f>
        <v>8276.64</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354</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ROUND(IF(项目基本情况!B11="自然人",C6*F31/(1+'数据-取费表'!C42),C32+C33+C34),1)</f>
        <v>262</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IF(项目基本情况!B11="自然人","——",ROUND(C6*F32/(1+'数据-取费表'!C42),2))</f>
        <v>82.67</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IF(项目基本情况!B11="自然人","——",IF(D33="按租金收入计税",ROUND(C6*F33/(1+'数据-取费表'!C42),2),IF(D33="按房产原值计税",ROUND(C29*F33*0.7,2),INDIRECT("'数据-取费表'!Aj"&amp;$G$1))))</f>
        <v>177.14</v>
      </c>
      <c r="D33" s="1828" t="s">
        <v>3129</v>
      </c>
      <c r="E33" s="347" t="s">
        <v>1416</v>
      </c>
      <c r="F33" s="367">
        <f>IF(D33="按票据","——",IF(D33="按租金收入计税",'数据-取费表'!B51,'数据-取费表'!B50))</f>
        <v>0.12</v>
      </c>
      <c r="G33" s="1851"/>
      <c r="H33" s="1859"/>
      <c r="I33" s="1860"/>
      <c r="J33" s="1861"/>
      <c r="K33" s="1862"/>
      <c r="L33" s="1859"/>
      <c r="M33" s="1859"/>
    </row>
    <row r="34" spans="1:18" ht="18" customHeight="1">
      <c r="A34" s="1291" t="s">
        <v>1384</v>
      </c>
      <c r="B34" s="164" t="s">
        <v>1435</v>
      </c>
      <c r="C34" s="25">
        <f ca="1">IF(项目基本情况!B11="自然人","——",ROUND(F34*F35/10000,2))</f>
        <v>2.23</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927.85</v>
      </c>
      <c r="G35" s="1851"/>
      <c r="H35" s="745"/>
      <c r="I35" s="1860"/>
      <c r="J35" s="1861"/>
      <c r="K35" s="1862"/>
      <c r="L35" s="1859"/>
      <c r="M35" s="1859"/>
    </row>
    <row r="36" spans="1:18" ht="18" customHeight="1">
      <c r="A36" s="1352" t="s">
        <v>1036</v>
      </c>
      <c r="B36" s="347" t="s">
        <v>1443</v>
      </c>
      <c r="C36" s="24">
        <f ca="1">ROUND(C29*F36,1)</f>
        <v>55.8</v>
      </c>
      <c r="D36" s="1798" t="s">
        <v>1476</v>
      </c>
      <c r="E36" s="347" t="s">
        <v>1416</v>
      </c>
      <c r="F36" s="374">
        <f ca="1">INDIRECT("'数据-取费表'!Ak"&amp;$G$1)</f>
        <v>1.4999999999999999E-2</v>
      </c>
      <c r="G36" s="1851"/>
      <c r="H36" s="1859"/>
      <c r="I36" s="1860"/>
      <c r="J36" s="1861"/>
      <c r="K36" s="751"/>
      <c r="L36" s="1859"/>
      <c r="M36" s="1859"/>
    </row>
    <row r="37" spans="1:18" ht="18" customHeight="1">
      <c r="A37" s="1201" t="s">
        <v>1072</v>
      </c>
      <c r="B37" s="347" t="s">
        <v>1447</v>
      </c>
      <c r="C37" s="24">
        <f ca="1">ROUND(C13*F37,1)</f>
        <v>5.4</v>
      </c>
      <c r="D37" s="1798" t="s">
        <v>1448</v>
      </c>
      <c r="E37" s="347" t="s">
        <v>1449</v>
      </c>
      <c r="F37" s="376">
        <f ca="1">INDIRECT("'数据-取费表'!Al"&amp;$G$1)</f>
        <v>2E-3</v>
      </c>
      <c r="G37" s="1851"/>
      <c r="H37" s="1859"/>
      <c r="I37" s="1860"/>
      <c r="J37" s="1861"/>
      <c r="K37" s="751"/>
      <c r="L37" s="1859"/>
      <c r="M37" s="1859"/>
    </row>
    <row r="38" spans="1:18" ht="18" customHeight="1" thickBot="1">
      <c r="A38" s="1339" t="s">
        <v>1388</v>
      </c>
      <c r="B38" s="1340" t="s">
        <v>1433</v>
      </c>
      <c r="C38" s="1341">
        <f ca="1">ROUND(C5*F38,1)</f>
        <v>31</v>
      </c>
      <c r="D38" s="1342" t="s">
        <v>1453</v>
      </c>
      <c r="E38" s="1340" t="s">
        <v>1449</v>
      </c>
      <c r="F38" s="1336">
        <f ca="1">INDIRECT("'数据-取费表'!Am"&amp;$G$1)</f>
        <v>0.02</v>
      </c>
      <c r="G38" s="1851"/>
      <c r="H38" s="1859"/>
      <c r="I38" s="1860"/>
      <c r="J38" s="1861"/>
      <c r="K38" s="1865"/>
      <c r="L38" s="1859"/>
      <c r="M38" s="1859"/>
    </row>
    <row r="39" spans="1:18" ht="24.6" customHeight="1" thickTop="1">
      <c r="A39" s="1329" t="s">
        <v>1028</v>
      </c>
      <c r="B39" s="1344" t="s">
        <v>1477</v>
      </c>
      <c r="C39" s="355">
        <f ca="1">C5-C30</f>
        <v>1196</v>
      </c>
      <c r="D39" s="1345" t="s">
        <v>1478</v>
      </c>
      <c r="E39" s="1346"/>
      <c r="F39" s="1347"/>
      <c r="G39" s="1851"/>
      <c r="H39" s="1859"/>
      <c r="I39" s="1860"/>
      <c r="J39" s="1861"/>
      <c r="K39" s="1865"/>
      <c r="L39" s="1859"/>
      <c r="M39" s="1859"/>
    </row>
    <row r="40" spans="1:18" ht="18" customHeight="1">
      <c r="A40" s="344" t="s">
        <v>1029</v>
      </c>
      <c r="B40" s="345" t="s">
        <v>1479</v>
      </c>
      <c r="C40" s="346">
        <f ca="1">ROUND(C39*(1-((1+F42)/(1+F40))^F41)/(F40-F42),0)</f>
        <v>25375</v>
      </c>
      <c r="D40" s="370" t="s">
        <v>1463</v>
      </c>
      <c r="E40" s="347" t="s">
        <v>1464</v>
      </c>
      <c r="F40" s="357">
        <f ca="1">INDIRECT("'数据-取费表'!I"&amp;$G$1)</f>
        <v>5.5E-2</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31.52</v>
      </c>
      <c r="G41" s="1851"/>
      <c r="H41" s="732"/>
      <c r="I41" s="1860"/>
      <c r="J41" s="1861"/>
      <c r="K41" s="751"/>
      <c r="L41" s="732"/>
      <c r="M41" s="732"/>
    </row>
    <row r="42" spans="1:18" ht="18" customHeight="1">
      <c r="A42" s="353"/>
      <c r="B42" s="354"/>
      <c r="C42" s="355"/>
      <c r="D42" s="373"/>
      <c r="E42" s="347" t="s">
        <v>1471</v>
      </c>
      <c r="F42" s="357">
        <f ca="1">INDIRECT("'数据-取费表'!v"&amp;$G$1)</f>
        <v>0.03</v>
      </c>
      <c r="G42" s="1851"/>
      <c r="H42" s="732"/>
      <c r="I42" s="1860"/>
      <c r="J42" s="1861"/>
      <c r="K42" s="751"/>
      <c r="L42" s="732"/>
      <c r="M42" s="732"/>
    </row>
    <row r="43" spans="1:18" ht="18" customHeight="1" thickBot="1">
      <c r="A43" s="380" t="s">
        <v>1030</v>
      </c>
      <c r="B43" s="381" t="s">
        <v>1481</v>
      </c>
      <c r="C43" s="382">
        <f ca="1">ROUND(C40*10000/F43,0)</f>
        <v>30659</v>
      </c>
      <c r="D43" s="383" t="s">
        <v>1482</v>
      </c>
      <c r="E43" s="384" t="s">
        <v>1483</v>
      </c>
      <c r="F43" s="385">
        <f ca="1">INDIRECT("'数据-取费表'!k"&amp;$G$1)</f>
        <v>8276.64</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-26712</v>
      </c>
      <c r="D46" s="1872" t="str">
        <f>C2</f>
        <v>万元</v>
      </c>
      <c r="E46" s="1866"/>
      <c r="F46" s="1866"/>
      <c r="I46" s="1873" t="s">
        <v>1515</v>
      </c>
      <c r="J46" s="1874"/>
      <c r="K46" s="1875"/>
      <c r="L46" s="1876" t="str">
        <f ca="1">IF(M47="住宅",0,IF(L48&gt;J51,L60,J60))</f>
        <v>0</v>
      </c>
      <c r="O46" s="1877" t="s">
        <v>1516</v>
      </c>
      <c r="P46" s="1878" t="s">
        <v>1517</v>
      </c>
      <c r="Q46" s="1879" t="s">
        <v>1518</v>
      </c>
      <c r="R46" s="1879" t="s">
        <v>1519</v>
      </c>
    </row>
    <row r="47" spans="1:18" s="1842" customFormat="1" ht="13.5" thickBot="1">
      <c r="A47" s="1165" t="s">
        <v>1391</v>
      </c>
      <c r="B47" s="1197" t="s">
        <v>1392</v>
      </c>
      <c r="C47" s="1367" t="s">
        <v>1393</v>
      </c>
      <c r="D47" s="1197" t="s">
        <v>1394</v>
      </c>
      <c r="E47" s="1279" t="s">
        <v>1395</v>
      </c>
      <c r="F47" s="1280"/>
      <c r="G47" s="792"/>
      <c r="I47" s="1880" t="s">
        <v>1520</v>
      </c>
      <c r="J47" s="1881" t="s">
        <v>3083</v>
      </c>
      <c r="K47" s="1882" t="s">
        <v>1521</v>
      </c>
      <c r="L47" s="1883">
        <f ca="1">INDIRECT("'数据-取费表'!d"&amp;$G$1)</f>
        <v>50</v>
      </c>
      <c r="M47" s="1838" t="str">
        <f>IF(ISNUMBER(FIND("住宅",C1)),"住宅","非住宅")</f>
        <v>非住宅</v>
      </c>
      <c r="O47" s="1884" t="s">
        <v>1037</v>
      </c>
      <c r="P47" s="1885" t="s">
        <v>1522</v>
      </c>
      <c r="Q47" s="1886">
        <f ca="1">C40+J29</f>
        <v>25375</v>
      </c>
      <c r="R47" s="1886" t="s">
        <v>1523</v>
      </c>
    </row>
    <row r="48" spans="1:18" s="1842" customFormat="1" ht="28.5" thickBot="1">
      <c r="A48" s="1360" t="s">
        <v>1132</v>
      </c>
      <c r="B48" s="345" t="s">
        <v>1396</v>
      </c>
      <c r="C48" s="1817">
        <f ca="1">C49+C53+C55</f>
        <v>0</v>
      </c>
      <c r="D48" s="1362"/>
      <c r="E48" s="1363"/>
      <c r="F48" s="1181"/>
      <c r="G48" s="792"/>
      <c r="H48" s="793"/>
      <c r="I48" s="1887" t="s">
        <v>1524</v>
      </c>
      <c r="J48" s="1888" t="s">
        <v>3082</v>
      </c>
      <c r="K48" s="1889" t="s">
        <v>1525</v>
      </c>
      <c r="L48" s="1890">
        <f ca="1">INDIRECT("'数据-取费表'!f"&amp;$G$1)</f>
        <v>31.52</v>
      </c>
      <c r="O48" s="1884" t="s">
        <v>1038</v>
      </c>
      <c r="P48" s="1885" t="s">
        <v>1526</v>
      </c>
      <c r="Q48" s="1886" t="str">
        <f ca="1">J60</f>
        <v>0</v>
      </c>
      <c r="R48" s="1886" t="s">
        <v>1527</v>
      </c>
    </row>
    <row r="49" spans="1:18" s="1842" customFormat="1" ht="13.5" thickBot="1">
      <c r="A49" s="1194" t="s">
        <v>1133</v>
      </c>
      <c r="B49" s="1829" t="s">
        <v>1484</v>
      </c>
      <c r="C49" s="1364">
        <f ca="1">ROUND(F49*F51*F50*(1-F52)/10000,0)</f>
        <v>0</v>
      </c>
      <c r="D49" s="1276" t="s">
        <v>3023</v>
      </c>
      <c r="E49" s="1830" t="s">
        <v>1485</v>
      </c>
      <c r="F49" s="1281"/>
      <c r="G49" s="1891"/>
      <c r="H49" s="793"/>
      <c r="I49" s="1887" t="s">
        <v>1528</v>
      </c>
      <c r="J49" s="1892">
        <v>2004</v>
      </c>
      <c r="K49" s="1889" t="s">
        <v>1529</v>
      </c>
      <c r="L49" s="1893"/>
      <c r="O49" s="1894" t="s">
        <v>1039</v>
      </c>
      <c r="P49" s="1885" t="s">
        <v>1530</v>
      </c>
      <c r="Q49" s="1886">
        <f ca="1">C29</f>
        <v>3723</v>
      </c>
      <c r="R49" s="1886" t="s">
        <v>1523</v>
      </c>
    </row>
    <row r="50" spans="1:18" s="1842" customFormat="1" ht="13.5" thickBot="1">
      <c r="A50" s="1195"/>
      <c r="B50" s="1198"/>
      <c r="C50" s="1368"/>
      <c r="D50" s="1172"/>
      <c r="E50" s="1277" t="s">
        <v>1401</v>
      </c>
      <c r="F50" s="1278">
        <f ca="1">F7</f>
        <v>8276.64</v>
      </c>
      <c r="H50" s="793"/>
      <c r="I50" s="1887" t="s">
        <v>1531</v>
      </c>
      <c r="J50" s="1895">
        <f>SUMPRODUCT((I63:I65=J47)*(J62:L62=J48)*(J63:L65))</f>
        <v>60</v>
      </c>
      <c r="K50" s="1889" t="s">
        <v>1532</v>
      </c>
      <c r="L50" s="1893"/>
      <c r="M50" s="1896"/>
      <c r="O50" s="1894" t="s">
        <v>1040</v>
      </c>
      <c r="P50" s="1885" t="s">
        <v>1533</v>
      </c>
      <c r="Q50" s="1897" t="e">
        <f ca="1">J58</f>
        <v>#VALUE!</v>
      </c>
      <c r="R50" s="1886"/>
    </row>
    <row r="51" spans="1:18" s="1842" customFormat="1" ht="13.5" thickBot="1">
      <c r="A51" s="1196"/>
      <c r="B51" s="1198"/>
      <c r="C51" s="1199"/>
      <c r="D51" s="1172"/>
      <c r="E51" s="1200" t="s">
        <v>1402</v>
      </c>
      <c r="F51" s="348">
        <f ca="1">F8</f>
        <v>365</v>
      </c>
      <c r="I51" s="1898" t="s">
        <v>1534</v>
      </c>
      <c r="J51" s="1899">
        <f>IF(J49="",J50,J49+J50-YEAR('数据-取费表'!B2))</f>
        <v>45</v>
      </c>
      <c r="K51" s="1900" t="s">
        <v>1535</v>
      </c>
      <c r="L51" s="1901">
        <f ca="1">ROUND(-PV(INDIRECT("'数据-取费表'!h"&amp;$G$1),L48,(C39-C13*C76),0),0)</f>
        <v>14802</v>
      </c>
      <c r="M51" s="1902"/>
      <c r="O51" s="1894" t="s">
        <v>1041</v>
      </c>
      <c r="P51" s="1885" t="s">
        <v>1536</v>
      </c>
      <c r="Q51" s="1897">
        <f>J52</f>
        <v>0.09</v>
      </c>
      <c r="R51" s="1886"/>
    </row>
    <row r="52" spans="1:18" s="1842" customFormat="1" ht="13.5" thickBot="1">
      <c r="A52" s="1196"/>
      <c r="B52" s="1198"/>
      <c r="C52" s="1199"/>
      <c r="D52" s="1172"/>
      <c r="E52" s="1200" t="s">
        <v>1403</v>
      </c>
      <c r="F52" s="1275">
        <v>0.1</v>
      </c>
      <c r="I52" s="1903" t="s">
        <v>1537</v>
      </c>
      <c r="J52" s="1904">
        <v>0.09</v>
      </c>
      <c r="K52" s="1903" t="s">
        <v>1538</v>
      </c>
      <c r="L52" s="1904"/>
      <c r="O52" s="1894" t="s">
        <v>1042</v>
      </c>
      <c r="P52" s="1885" t="s">
        <v>1539</v>
      </c>
      <c r="Q52" s="1886">
        <f ca="1">J53</f>
        <v>31.52</v>
      </c>
      <c r="R52" s="1886" t="s">
        <v>1540</v>
      </c>
    </row>
    <row r="53" spans="1:18" s="1842" customFormat="1" ht="24.75" thickBot="1">
      <c r="A53" s="1405" t="s">
        <v>1134</v>
      </c>
      <c r="B53" s="1831" t="s">
        <v>1404</v>
      </c>
      <c r="C53" s="361">
        <f ca="1">ROUND(IF(F53="押一",C49/12*F11,IF(F53="押二",C49/12*2*F11,IF(F53="押三",C49/12*3*F11,C54*F11))),0)</f>
        <v>0</v>
      </c>
      <c r="D53" s="1824" t="s">
        <v>3030</v>
      </c>
      <c r="E53" s="358" t="s">
        <v>1405</v>
      </c>
      <c r="F53" s="1366" t="s">
        <v>3081</v>
      </c>
      <c r="I53" s="1905" t="s">
        <v>1541</v>
      </c>
      <c r="J53" s="2947">
        <f ca="1">IF(M47="住宅",IF(D1="——",MAX(J51,L48),MAX(J51,L48-'数据-取费表'!B24)),IF(D1="——",MIN(J51,L48),MIN(J51,L48-'数据-取费表'!B24)))</f>
        <v>31.52</v>
      </c>
      <c r="K53" s="3179" t="s">
        <v>1542</v>
      </c>
      <c r="L53" s="3180"/>
      <c r="O53" s="1884" t="s">
        <v>1043</v>
      </c>
      <c r="P53" s="1885" t="s">
        <v>1543</v>
      </c>
      <c r="Q53" s="1886">
        <f ca="1">Q47+Q48</f>
        <v>25375</v>
      </c>
      <c r="R53" s="1886" t="s">
        <v>1044</v>
      </c>
    </row>
    <row r="54" spans="1:18" s="1842" customFormat="1" ht="13.5" thickBot="1">
      <c r="A54" s="1406"/>
      <c r="B54" s="1825" t="s">
        <v>1383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#VALUE!</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2718</v>
      </c>
      <c r="D56" s="1913"/>
      <c r="E56" s="1914"/>
      <c r="F56" s="1906"/>
      <c r="I56" s="1915" t="s">
        <v>1548</v>
      </c>
      <c r="J56" s="1916" t="s">
        <v>3058</v>
      </c>
      <c r="K56" s="1887" t="s">
        <v>1549</v>
      </c>
      <c r="L56" s="1890" t="str">
        <f ca="1">IF(L48&lt;J51,"——",L48-J53)</f>
        <v>——</v>
      </c>
      <c r="O56" s="1884" t="s">
        <v>1037</v>
      </c>
      <c r="P56" s="1885" t="s">
        <v>1522</v>
      </c>
      <c r="Q56" s="1886">
        <f ca="1">C40+J29</f>
        <v>25375</v>
      </c>
      <c r="R56" s="1886" t="s">
        <v>1523</v>
      </c>
    </row>
    <row r="57" spans="1:18" s="1842" customFormat="1" ht="24.75" thickBot="1">
      <c r="A57" s="1917"/>
      <c r="B57" s="1169" t="s">
        <v>1472</v>
      </c>
      <c r="C57" s="282">
        <f ca="1">C29</f>
        <v>3723</v>
      </c>
      <c r="D57" s="1918"/>
      <c r="E57" s="1919"/>
      <c r="F57" s="1920"/>
      <c r="I57" s="1921" t="s">
        <v>1550</v>
      </c>
      <c r="J57" s="1922" t="str">
        <f ca="1">IF(OR(M47="住宅",J51&lt;L48,J56="是"),"——",J51-L48)</f>
        <v>——</v>
      </c>
      <c r="K57" s="1887" t="s">
        <v>1551</v>
      </c>
      <c r="L57" s="1890" t="str">
        <f ca="1">IF(L48&lt;J51,"——",IF(L55="比较法",L49,IF(L55="基准地价",L50,L51)))</f>
        <v>——</v>
      </c>
      <c r="O57" s="1884" t="s">
        <v>1038</v>
      </c>
      <c r="P57" s="1885" t="s">
        <v>1552</v>
      </c>
      <c r="Q57" s="1886">
        <f ca="1">L60</f>
        <v>0</v>
      </c>
      <c r="R57" s="1886" t="s">
        <v>1553</v>
      </c>
    </row>
    <row r="58" spans="1:18" s="1842" customFormat="1" ht="24.75" thickBot="1">
      <c r="A58" s="360" t="s">
        <v>1027</v>
      </c>
      <c r="B58" s="1177" t="s">
        <v>1418</v>
      </c>
      <c r="C58" s="361">
        <f ca="1">ROUND(C59+C64+C65+C66,0)</f>
        <v>63</v>
      </c>
      <c r="D58" s="1179" t="s">
        <v>1419</v>
      </c>
      <c r="E58" s="1180"/>
      <c r="F58" s="1181"/>
      <c r="I58" s="1921" t="s">
        <v>1554</v>
      </c>
      <c r="J58" s="1923" t="e">
        <f ca="1">IF(J55&lt;0.4,0.4,J55)</f>
        <v>#VALUE!</v>
      </c>
      <c r="K58" s="1900" t="s">
        <v>1555</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ROUND(IF(项目基本情况!B11="自然人",C48*F59,C60+C61+C62),1)</f>
        <v>2.2000000000000002</v>
      </c>
      <c r="D59" s="1182" t="s">
        <v>1424</v>
      </c>
      <c r="E59" s="1183" t="s">
        <v>1425</v>
      </c>
      <c r="F59" s="368" t="str">
        <f ca="1">IF(项目基本情况!B11="企业","",IF(INDIRECT("'数据-取费表'!c"&amp;$G$1)="住宅",5%,IF(F49*F50*F51/12/(1+'数据-取费表'!C42)&gt;20000,12%,7%)))</f>
        <v/>
      </c>
      <c r="I59" s="1921" t="s">
        <v>1557</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IF(项目基本情况!B11="自然人","——",ROUND(C48*F60/(1+'数据-取费表'!C42),2))</f>
        <v>0</v>
      </c>
      <c r="D60" s="1183" t="s">
        <v>1428</v>
      </c>
      <c r="E60" s="1169" t="s">
        <v>1416</v>
      </c>
      <c r="F60" s="377">
        <f t="shared" ref="F60:F66" si="0">F32</f>
        <v>5.6000000000000001E-2</v>
      </c>
      <c r="I60" s="1924" t="s">
        <v>1559</v>
      </c>
      <c r="J60" s="1925" t="str">
        <f ca="1">IF(OR(M47="住宅",J51&lt;L48,J56="是"),"0",ROUND(J59/(1+J52)^J53,0))</f>
        <v>0</v>
      </c>
      <c r="K60" s="1926" t="s">
        <v>1560</v>
      </c>
      <c r="L60" s="1925">
        <f ca="1">IF(OR(M47="住宅",L48&lt;J51),0,ROUND(L57*(L58/L59-1),0))</f>
        <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0</v>
      </c>
      <c r="D61" s="1828" t="s">
        <v>3129</v>
      </c>
      <c r="E61" s="1169" t="s">
        <v>1488</v>
      </c>
      <c r="F61" s="367">
        <f t="shared" si="0"/>
        <v>0.12</v>
      </c>
      <c r="I61" s="1927"/>
      <c r="J61" s="1927"/>
      <c r="K61" s="1927"/>
      <c r="L61" s="1927"/>
      <c r="O61" s="1894" t="s">
        <v>1042</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2.23</v>
      </c>
      <c r="D62" s="1184" t="s">
        <v>1491</v>
      </c>
      <c r="E62" s="1169" t="s">
        <v>1492</v>
      </c>
      <c r="F62" s="371">
        <f t="shared" si="0"/>
        <v>24</v>
      </c>
      <c r="I62" s="1928" t="s">
        <v>1564</v>
      </c>
      <c r="J62" s="1929" t="s">
        <v>1565</v>
      </c>
      <c r="K62" s="1929" t="s">
        <v>1566</v>
      </c>
      <c r="L62" s="1929" t="s">
        <v>1567</v>
      </c>
      <c r="M62" s="1930" t="s">
        <v>1568</v>
      </c>
      <c r="O62" s="1884" t="s">
        <v>1043</v>
      </c>
      <c r="P62" s="1885" t="s">
        <v>1569</v>
      </c>
      <c r="Q62" s="1886">
        <f ca="1">Q56+Q57</f>
        <v>25375</v>
      </c>
      <c r="R62" s="1886" t="s">
        <v>1044</v>
      </c>
    </row>
    <row r="63" spans="1:18" s="1842" customFormat="1" ht="13.5" thickBot="1">
      <c r="A63" s="372"/>
      <c r="B63" s="1175"/>
      <c r="C63" s="29"/>
      <c r="D63" s="1185"/>
      <c r="E63" s="1169" t="s">
        <v>1493</v>
      </c>
      <c r="F63" s="348">
        <f t="shared" ca="1" si="0"/>
        <v>927.85</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55.8</v>
      </c>
      <c r="D64" s="1183" t="s">
        <v>1496</v>
      </c>
      <c r="E64" s="1169" t="s">
        <v>1488</v>
      </c>
      <c r="F64" s="374">
        <f t="shared" ca="1" si="0"/>
        <v>1.4999999999999999E-2</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5.4</v>
      </c>
      <c r="D65" s="1183" t="s">
        <v>1448</v>
      </c>
      <c r="E65" s="1169" t="s">
        <v>1449</v>
      </c>
      <c r="F65" s="376">
        <f t="shared" ca="1" si="0"/>
        <v>2E-3</v>
      </c>
      <c r="I65" s="1928" t="s">
        <v>1573</v>
      </c>
      <c r="J65" s="1929">
        <v>40</v>
      </c>
      <c r="K65" s="1929">
        <v>30</v>
      </c>
      <c r="L65" s="1929">
        <v>50</v>
      </c>
      <c r="M65" s="1931">
        <v>0.02</v>
      </c>
      <c r="O65" s="1884" t="s">
        <v>1037</v>
      </c>
      <c r="P65" s="1885" t="s">
        <v>1574</v>
      </c>
      <c r="Q65" s="1886">
        <f ca="1">C40+J29</f>
        <v>25375</v>
      </c>
      <c r="R65" s="1886" t="s">
        <v>1523</v>
      </c>
    </row>
    <row r="66" spans="1:18" s="1842" customFormat="1" ht="16.5" thickBot="1">
      <c r="A66" s="1201" t="s">
        <v>1498</v>
      </c>
      <c r="B66" s="1169" t="s">
        <v>1433</v>
      </c>
      <c r="C66" s="24">
        <f ca="1">ROUND(C48*F66,1)</f>
        <v>0</v>
      </c>
      <c r="D66" s="1183" t="s">
        <v>1499</v>
      </c>
      <c r="E66" s="1169" t="s">
        <v>1416</v>
      </c>
      <c r="F66" s="357">
        <f t="shared" ca="1" si="0"/>
        <v>0.02</v>
      </c>
      <c r="O66" s="1884" t="s">
        <v>1038</v>
      </c>
      <c r="P66" s="1885" t="s">
        <v>1552</v>
      </c>
      <c r="Q66" s="1886">
        <f ca="1">L60</f>
        <v>0</v>
      </c>
      <c r="R66" s="1886" t="s">
        <v>1575</v>
      </c>
    </row>
    <row r="67" spans="1:18" s="1842" customFormat="1" ht="16.5" thickBot="1">
      <c r="A67" s="1176" t="s">
        <v>1028</v>
      </c>
      <c r="B67" s="1186" t="s">
        <v>1457</v>
      </c>
      <c r="C67" s="361">
        <f ca="1">C48-C58</f>
        <v>-63</v>
      </c>
      <c r="D67" s="1182" t="s">
        <v>1458</v>
      </c>
      <c r="E67" s="1187"/>
      <c r="F67" s="1188"/>
      <c r="O67" s="1894" t="s">
        <v>1039</v>
      </c>
      <c r="P67" s="1885" t="s">
        <v>1556</v>
      </c>
      <c r="Q67" s="1932">
        <f ca="1">L51</f>
        <v>14802</v>
      </c>
      <c r="R67" s="1886" t="s">
        <v>1576</v>
      </c>
    </row>
    <row r="68" spans="1:18" s="1842" customFormat="1" ht="16.5" thickBot="1">
      <c r="A68" s="1166" t="s">
        <v>1029</v>
      </c>
      <c r="B68" s="1167" t="s">
        <v>1479</v>
      </c>
      <c r="C68" s="346">
        <f ca="1">ROUND(C67*(1-((1+F70)/(1+F68))^F69)/(F68-F70),0)</f>
        <v>-1337</v>
      </c>
      <c r="D68" s="1184" t="s">
        <v>1463</v>
      </c>
      <c r="E68" s="1169" t="s">
        <v>1464</v>
      </c>
      <c r="F68" s="357">
        <f ca="1">F40</f>
        <v>5.5E-2</v>
      </c>
      <c r="O68" s="1894" t="s">
        <v>1040</v>
      </c>
      <c r="P68" s="1933" t="s">
        <v>1577</v>
      </c>
      <c r="Q68" s="1886">
        <f ca="1">ROUND(Q69-Q70*Q71,0)</f>
        <v>965</v>
      </c>
      <c r="R68" s="1886" t="s">
        <v>1048</v>
      </c>
    </row>
    <row r="69" spans="1:18" s="1842" customFormat="1" ht="13.5" thickBot="1">
      <c r="A69" s="1170"/>
      <c r="B69" s="1171"/>
      <c r="C69" s="351"/>
      <c r="D69" s="1189" t="s">
        <v>1467</v>
      </c>
      <c r="E69" s="1169" t="s">
        <v>1468</v>
      </c>
      <c r="F69" s="379">
        <f ca="1">F41</f>
        <v>31.52</v>
      </c>
      <c r="O69" s="1894" t="s">
        <v>1045</v>
      </c>
      <c r="P69" s="1933" t="s">
        <v>1578</v>
      </c>
      <c r="Q69" s="1886">
        <f ca="1">C39</f>
        <v>1196</v>
      </c>
      <c r="R69" s="1886" t="s">
        <v>1523</v>
      </c>
    </row>
    <row r="70" spans="1:18" s="1842" customFormat="1" ht="13.5" thickBot="1">
      <c r="A70" s="1173"/>
      <c r="B70" s="1174"/>
      <c r="C70" s="355"/>
      <c r="D70" s="1185"/>
      <c r="E70" s="1169" t="s">
        <v>1471</v>
      </c>
      <c r="F70" s="1275">
        <v>0.03</v>
      </c>
      <c r="O70" s="1894" t="s">
        <v>1046</v>
      </c>
      <c r="P70" s="1933" t="s">
        <v>1579</v>
      </c>
      <c r="Q70" s="1886">
        <f ca="1">C13</f>
        <v>2718</v>
      </c>
      <c r="R70" s="1886" t="s">
        <v>1523</v>
      </c>
    </row>
    <row r="71" spans="1:18" s="1842" customFormat="1" ht="13.5" thickBot="1">
      <c r="A71" s="1190" t="s">
        <v>1030</v>
      </c>
      <c r="B71" s="1191" t="s">
        <v>1481</v>
      </c>
      <c r="C71" s="382">
        <f ca="1">ROUND(C68*10000/F71,0)</f>
        <v>-1615</v>
      </c>
      <c r="D71" s="1192" t="s">
        <v>1482</v>
      </c>
      <c r="E71" s="1193" t="s">
        <v>1483</v>
      </c>
      <c r="F71" s="385">
        <f ca="1">F43</f>
        <v>8276.64</v>
      </c>
      <c r="O71" s="1894" t="s">
        <v>1047</v>
      </c>
      <c r="P71" s="1933" t="s">
        <v>1580</v>
      </c>
      <c r="Q71" s="1897">
        <f ca="1">C76</f>
        <v>8.5000000000000006E-2</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建筑物剩余耐用年限下的土地年期修正系数Kn</v>
      </c>
      <c r="Q74" s="1886" t="e">
        <f ca="1">L59</f>
        <v>#DIV/0!</v>
      </c>
      <c r="R74" s="1886" t="s">
        <v>1563</v>
      </c>
    </row>
    <row r="75" spans="1:18" ht="13.5" thickBot="1">
      <c r="A75" s="1842"/>
      <c r="B75" s="386" t="s">
        <v>1500</v>
      </c>
      <c r="C75" s="387">
        <f ca="1">ROUND(C13*C76,0)</f>
        <v>231</v>
      </c>
      <c r="D75" s="1842"/>
      <c r="E75" s="1842"/>
      <c r="F75" s="1842"/>
      <c r="K75" s="1868"/>
      <c r="L75" s="1842"/>
      <c r="O75" s="1884" t="s">
        <v>1043</v>
      </c>
      <c r="P75" s="1885" t="s">
        <v>1543</v>
      </c>
      <c r="Q75" s="1886">
        <f ca="1">Q65+Q66</f>
        <v>25375</v>
      </c>
      <c r="R75" s="1886" t="s">
        <v>1044</v>
      </c>
    </row>
    <row r="76" spans="1:18">
      <c r="B76" s="388" t="s">
        <v>1501</v>
      </c>
      <c r="C76" s="389">
        <f ca="1">INDIRECT("'数据-取费表'!j"&amp;$G$1)</f>
        <v>8.5000000000000006E-2</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0.80699999999999994</v>
      </c>
    </row>
    <row r="80" spans="1:18">
      <c r="B80" s="386" t="s">
        <v>1505</v>
      </c>
      <c r="C80" s="318">
        <f ca="1">ROUND(C75/C39,3)</f>
        <v>0.193</v>
      </c>
    </row>
    <row r="81" spans="2:3">
      <c r="B81" s="314" t="s">
        <v>1506</v>
      </c>
      <c r="C81" s="282"/>
    </row>
    <row r="82" spans="2:3">
      <c r="B82" s="317" t="s">
        <v>1507</v>
      </c>
      <c r="C82" s="319">
        <f ca="1">1-C83</f>
        <v>0.89300000000000002</v>
      </c>
    </row>
    <row r="83" spans="2:3">
      <c r="B83" s="317" t="s">
        <v>1508</v>
      </c>
      <c r="C83" s="318">
        <f ca="1">ROUND(C13/C40,3)</f>
        <v>0.107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c r="D1" s="1820"/>
      <c r="E1" s="1821" t="s">
        <v>1382</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#DIV/0!</v>
      </c>
      <c r="C2" s="1845" t="s">
        <v>1585</v>
      </c>
      <c r="D2" s="1937" t="e">
        <f ca="1">C40+J29+L46</f>
        <v>#DIV/0!</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f ca="1">C6+C10+C12</f>
        <v>0</v>
      </c>
      <c r="D5" s="1822" t="s">
        <v>1595</v>
      </c>
      <c r="E5" s="1293"/>
      <c r="F5" s="1294"/>
      <c r="G5" s="1851"/>
      <c r="H5" s="344">
        <v>1</v>
      </c>
      <c r="I5" s="345" t="s">
        <v>1594</v>
      </c>
      <c r="J5" s="1292">
        <f ca="1">J6+J10+J12</f>
        <v>0</v>
      </c>
      <c r="K5" s="1822" t="s">
        <v>1595</v>
      </c>
      <c r="L5" s="1293"/>
      <c r="M5" s="1294"/>
    </row>
    <row r="6" spans="1:37" ht="18" customHeight="1">
      <c r="A6" s="1291" t="s">
        <v>1032</v>
      </c>
      <c r="B6" s="3181" t="s">
        <v>1398</v>
      </c>
      <c r="C6" s="1296">
        <f ca="1">ROUND(F6*F8*F7*(1-F9),0)</f>
        <v>0</v>
      </c>
      <c r="D6" s="164" t="s">
        <v>3019</v>
      </c>
      <c r="E6" s="347" t="s">
        <v>1400</v>
      </c>
      <c r="F6" s="348">
        <f ca="1">INDIRECT("'数据-取费表'!u"&amp;$G$1)</f>
        <v>0</v>
      </c>
      <c r="G6" s="1851"/>
      <c r="H6" s="1291" t="s">
        <v>1032</v>
      </c>
      <c r="I6" s="3181" t="s">
        <v>1398</v>
      </c>
      <c r="J6" s="346">
        <f ca="1">ROUND(M6*M8*M7*(1-M9),0)</f>
        <v>0</v>
      </c>
      <c r="K6" s="1834" t="s">
        <v>3020</v>
      </c>
      <c r="L6" s="347" t="s">
        <v>1400</v>
      </c>
      <c r="M6" s="348">
        <f ca="1">INDIRECT("'数据-取费表'!z"&amp;$G$1)</f>
        <v>0</v>
      </c>
    </row>
    <row r="7" spans="1:37" ht="18" customHeight="1">
      <c r="A7" s="1295"/>
      <c r="B7" s="3182"/>
      <c r="C7" s="1297"/>
      <c r="D7" s="352"/>
      <c r="E7" s="1298" t="s">
        <v>1401</v>
      </c>
      <c r="F7" s="348">
        <f ca="1">IF(INDIRECT("'数据-取费表'!ah"&amp;$G$1)="",INDIRECT("'数据-取费表'!k"&amp;$G$1),INDIRECT("'数据-取费表'!ah"&amp;$G$1))</f>
        <v>0</v>
      </c>
      <c r="G7" s="1851"/>
      <c r="H7" s="349"/>
      <c r="I7" s="3182"/>
      <c r="J7" s="351"/>
      <c r="K7" s="352"/>
      <c r="L7" s="347" t="s">
        <v>1401</v>
      </c>
      <c r="M7" s="348">
        <f ca="1">F7</f>
        <v>0</v>
      </c>
    </row>
    <row r="8" spans="1:37" ht="18" customHeight="1">
      <c r="A8" s="349"/>
      <c r="B8" s="3182"/>
      <c r="C8" s="351"/>
      <c r="D8" s="352"/>
      <c r="E8" s="347" t="s">
        <v>1402</v>
      </c>
      <c r="F8" s="348">
        <f ca="1">INDIRECT("'数据-取费表'!ai"&amp;$G$1)</f>
        <v>0</v>
      </c>
      <c r="G8" s="1851"/>
      <c r="H8" s="349"/>
      <c r="I8" s="3182"/>
      <c r="J8" s="351"/>
      <c r="K8" s="352"/>
      <c r="L8" s="347" t="s">
        <v>1402</v>
      </c>
      <c r="M8" s="348">
        <f ca="1">INDIRECT("'数据-取费表'!ai"&amp;$G$1)</f>
        <v>0</v>
      </c>
    </row>
    <row r="9" spans="1:37" ht="18" customHeight="1">
      <c r="A9" s="349"/>
      <c r="B9" s="3183"/>
      <c r="C9" s="351"/>
      <c r="D9" s="352"/>
      <c r="E9" s="347" t="s">
        <v>1403</v>
      </c>
      <c r="F9" s="357">
        <f ca="1">INDIRECT("'数据-取费表'!w"&amp;$G$1)</f>
        <v>0</v>
      </c>
      <c r="G9" s="1851"/>
      <c r="H9" s="349"/>
      <c r="I9" s="3183"/>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3030</v>
      </c>
      <c r="E10" s="358" t="s">
        <v>1405</v>
      </c>
      <c r="F10" s="1366"/>
      <c r="G10" s="1851"/>
      <c r="H10" s="1291" t="s">
        <v>1036</v>
      </c>
      <c r="I10" s="1823" t="s">
        <v>1404</v>
      </c>
      <c r="J10" s="346">
        <f ca="1">ROUND(IF(M10="押一",J6/12*M11,IF(M10="押二",J6/12*2*M11,IF(M10="押三",J6/12*3*M11,J11*M11))),0)</f>
        <v>0</v>
      </c>
      <c r="K10" s="1835" t="s">
        <v>3032</v>
      </c>
      <c r="L10" s="358" t="s">
        <v>1405</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1072</v>
      </c>
      <c r="B12" s="1827" t="s">
        <v>1407</v>
      </c>
      <c r="C12" s="1334"/>
      <c r="D12" s="1335"/>
      <c r="E12" s="1340"/>
      <c r="F12" s="1336"/>
      <c r="G12" s="1851"/>
      <c r="H12" s="1333" t="s">
        <v>1072</v>
      </c>
      <c r="I12" s="1827" t="s">
        <v>1407</v>
      </c>
      <c r="J12" s="1334"/>
      <c r="K12" s="1348"/>
      <c r="L12" s="1340"/>
      <c r="M12" s="1349"/>
    </row>
    <row r="13" spans="1:37" ht="18" customHeight="1" thickTop="1">
      <c r="A13" s="1329">
        <v>2</v>
      </c>
      <c r="B13" s="1330" t="s">
        <v>1408</v>
      </c>
      <c r="C13" s="355">
        <f ca="1">ROUND(C29*F13,0)</f>
        <v>0</v>
      </c>
      <c r="D13" s="1331" t="s">
        <v>1409</v>
      </c>
      <c r="E13" s="1331" t="s">
        <v>1410</v>
      </c>
      <c r="F13" s="1332">
        <f ca="1">INDIRECT("'数据-取费表'!y"&amp;$G$1)</f>
        <v>0</v>
      </c>
      <c r="G13" s="1851"/>
      <c r="H13" s="1329">
        <v>2</v>
      </c>
      <c r="I13" s="1330" t="s">
        <v>1408</v>
      </c>
      <c r="J13" s="1290">
        <f ca="1">ROUND(J14*J15,0)</f>
        <v>0</v>
      </c>
      <c r="K13" s="1337" t="s">
        <v>1409</v>
      </c>
      <c r="L13" s="1852"/>
      <c r="M13" s="1853"/>
    </row>
    <row r="14" spans="1:37" ht="18" customHeight="1">
      <c r="A14" s="1201" t="s">
        <v>1031</v>
      </c>
      <c r="B14" s="347" t="s">
        <v>1411</v>
      </c>
      <c r="C14" s="363">
        <f ca="1">ROUND(INDIRECT("'数据-取费表'!l"&amp;$G$1)*F43+'数据-取费表'!L14*INDIRECT("'数据-取费表'!S"&amp;$G$1),0)</f>
        <v>0</v>
      </c>
      <c r="D14" s="1800" t="s">
        <v>1412</v>
      </c>
      <c r="E14" s="1794"/>
      <c r="F14" s="364"/>
      <c r="G14" s="1851"/>
      <c r="H14" s="1201" t="s">
        <v>1032</v>
      </c>
      <c r="I14" s="347" t="s">
        <v>1413</v>
      </c>
      <c r="J14" s="24">
        <f ca="1">C29</f>
        <v>0</v>
      </c>
      <c r="K14" s="15"/>
      <c r="L14" s="979"/>
      <c r="M14" s="980"/>
    </row>
    <row r="15" spans="1:37" s="1858" customFormat="1" ht="18" customHeight="1" thickBot="1">
      <c r="A15" s="1201" t="s">
        <v>1033</v>
      </c>
      <c r="B15" s="347" t="s">
        <v>1414</v>
      </c>
      <c r="C15" s="24">
        <f ca="1">ROUND(C14*F15,0)</f>
        <v>0</v>
      </c>
      <c r="D15" s="365" t="s">
        <v>1415</v>
      </c>
      <c r="E15" s="365" t="s">
        <v>1416</v>
      </c>
      <c r="F15" s="366">
        <f>'数据-取费表'!B33</f>
        <v>0.03</v>
      </c>
      <c r="G15" s="1854"/>
      <c r="H15" s="1339" t="s">
        <v>1036</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1417</v>
      </c>
      <c r="C16" s="24">
        <f ca="1">ROUND(INDIRECT("'数据-取费表'!l"&amp;$G$1)*F43*F16,0)</f>
        <v>0</v>
      </c>
      <c r="D16" s="347" t="s">
        <v>1415</v>
      </c>
      <c r="E16" s="347" t="s">
        <v>1416</v>
      </c>
      <c r="F16" s="367">
        <f ca="1">IF(INDIRECT("'数据-取费表'!c"&amp;$G$1)="住宅",'数据-取费表'!B34,0)</f>
        <v>0</v>
      </c>
      <c r="G16" s="1851"/>
      <c r="H16" s="1329" t="s">
        <v>1027</v>
      </c>
      <c r="I16" s="1330" t="s">
        <v>1418</v>
      </c>
      <c r="J16" s="355">
        <f ca="1">ROUND(J17+J22+J23+J24,0)</f>
        <v>0</v>
      </c>
      <c r="K16" s="1337" t="s">
        <v>1419</v>
      </c>
      <c r="L16" s="1338"/>
      <c r="M16" s="1294"/>
    </row>
    <row r="17" spans="1:37" s="1858" customFormat="1" ht="18" customHeight="1">
      <c r="A17" s="1201" t="s">
        <v>1385</v>
      </c>
      <c r="B17" s="347" t="s">
        <v>1420</v>
      </c>
      <c r="C17" s="24">
        <f ca="1">ROUND(F17*(F43+INDIRECT("'数据-取费表'!S"&amp;$G$1)),0)</f>
        <v>0</v>
      </c>
      <c r="D17" s="347" t="s">
        <v>1421</v>
      </c>
      <c r="E17" s="347" t="s">
        <v>1422</v>
      </c>
      <c r="F17" s="26">
        <f>'数据-取费表'!B35</f>
        <v>200</v>
      </c>
      <c r="G17" s="1854"/>
      <c r="H17" s="1201" t="s">
        <v>1032</v>
      </c>
      <c r="I17" s="347" t="s">
        <v>1423</v>
      </c>
      <c r="J17" s="24">
        <f ca="1">ROUND(IF(项目基本情况!B11="自然人",J6*M17/(1+'数据-取费表'!C42),J18+J19+J20),0)</f>
        <v>0</v>
      </c>
      <c r="K17" s="1800" t="s">
        <v>1424</v>
      </c>
      <c r="L17" s="1798" t="s">
        <v>1425</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1426</v>
      </c>
      <c r="C18" s="24">
        <f ca="1">ROUND(C14*F18,0)</f>
        <v>0</v>
      </c>
      <c r="D18" s="347" t="s">
        <v>1415</v>
      </c>
      <c r="E18" s="347" t="s">
        <v>1416</v>
      </c>
      <c r="F18" s="367">
        <f>'数据-取费表'!B36</f>
        <v>1.4999999999999999E-2</v>
      </c>
      <c r="G18" s="1854"/>
      <c r="H18" s="1201" t="s">
        <v>1031</v>
      </c>
      <c r="I18" s="347" t="s">
        <v>1427</v>
      </c>
      <c r="J18" s="24">
        <f ca="1">ROUND(J6*M18/(1+'数据-取费表'!C42),0)</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1429</v>
      </c>
      <c r="C19" s="24">
        <f ca="1">SUM(C14:C18)</f>
        <v>0</v>
      </c>
      <c r="D19" s="140" t="s">
        <v>1430</v>
      </c>
      <c r="E19" s="1818"/>
      <c r="F19" s="26"/>
      <c r="G19" s="1851"/>
      <c r="H19" s="1201" t="s">
        <v>1033</v>
      </c>
      <c r="I19" s="347" t="s">
        <v>1431</v>
      </c>
      <c r="J19" s="24">
        <f ca="1">IF(K19="按租金收入计税",ROUND(J6*M19/(1+'数据-取费表'!C42),0),ROUND(C29*M19*0.7,0))</f>
        <v>0</v>
      </c>
      <c r="K19" s="1828" t="s">
        <v>1432</v>
      </c>
      <c r="L19" s="347" t="s">
        <v>1416</v>
      </c>
      <c r="M19" s="367">
        <f>IF(K19="按租金收入计税",'数据-取费表'!B51,'数据-取费表'!B50)</f>
        <v>1.2E-2</v>
      </c>
    </row>
    <row r="20" spans="1:37" s="1858" customFormat="1" ht="18" customHeight="1">
      <c r="A20" s="1201" t="s">
        <v>1036</v>
      </c>
      <c r="B20" s="347" t="s">
        <v>1433</v>
      </c>
      <c r="C20" s="24">
        <f ca="1">ROUND(C19*F20,0)</f>
        <v>0</v>
      </c>
      <c r="D20" s="369" t="s">
        <v>1434</v>
      </c>
      <c r="E20" s="347" t="s">
        <v>1416</v>
      </c>
      <c r="F20" s="367">
        <f>'数据-取费表'!B37</f>
        <v>0.01</v>
      </c>
      <c r="G20" s="1854"/>
      <c r="H20" s="1201" t="s">
        <v>1384</v>
      </c>
      <c r="I20" s="164" t="s">
        <v>1435</v>
      </c>
      <c r="J20" s="25">
        <f ca="1">ROUND(M20*M21,0)</f>
        <v>0</v>
      </c>
      <c r="K20" s="370" t="s">
        <v>1436</v>
      </c>
      <c r="L20" s="347" t="s">
        <v>1437</v>
      </c>
      <c r="M20" s="371">
        <f>'数据-取费表'!B52</f>
        <v>24</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1438</v>
      </c>
      <c r="C21" s="24" t="s">
        <v>1</v>
      </c>
      <c r="D21" s="369" t="s">
        <v>1439</v>
      </c>
      <c r="E21" s="347" t="s">
        <v>1440</v>
      </c>
      <c r="F21" s="367">
        <f>'数据-取费表'!B38</f>
        <v>0.01</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1442</v>
      </c>
      <c r="C22" s="24"/>
      <c r="D22" s="140" t="str">
        <f>IF(F23&lt;=1,"单利计息。","复利计息。")&amp;"建造成本、管理费用、销售费用产生的利息。"</f>
        <v>复利计息。建造成本、管理费用、销售费用产生的利息。</v>
      </c>
      <c r="E22" s="1818"/>
      <c r="F22" s="26"/>
      <c r="G22" s="1851"/>
      <c r="H22" s="1201" t="s">
        <v>1036</v>
      </c>
      <c r="I22" s="347" t="s">
        <v>1443</v>
      </c>
      <c r="J22" s="24">
        <f ca="1">ROUND(J14*M22,0)</f>
        <v>0</v>
      </c>
      <c r="K22" s="1798" t="s">
        <v>1444</v>
      </c>
      <c r="L22" s="347" t="s">
        <v>1416</v>
      </c>
      <c r="M22" s="374">
        <f ca="1">INDIRECT("'数据-取费表'!Ak"&amp;$G$1)</f>
        <v>0</v>
      </c>
    </row>
    <row r="23" spans="1:37" s="1858" customFormat="1" ht="18" customHeight="1">
      <c r="A23" s="1201" t="s">
        <v>1031</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54"/>
      <c r="H23" s="1201" t="s">
        <v>1072</v>
      </c>
      <c r="I23" s="347" t="s">
        <v>1447</v>
      </c>
      <c r="J23" s="24">
        <f ca="1">ROUND(J13*M23,0)</f>
        <v>0</v>
      </c>
      <c r="K23" s="1798" t="s">
        <v>1448</v>
      </c>
      <c r="L23" s="347" t="s">
        <v>1449</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5.0000000000000001E-4</v>
      </c>
      <c r="D24" s="375" t="str">
        <f>IF(F23&lt;=1,"销售费用×利率×(建设周期÷2)","销售费用×((1+利率)^(建设周期÷2)-1)")</f>
        <v>销售费用×((1+利率)^(建设周期÷2)-1)</v>
      </c>
      <c r="E24" s="347" t="s">
        <v>1452</v>
      </c>
      <c r="F24" s="377">
        <f ca="1">'数据-取费表'!B40</f>
        <v>4.7500000000000001E-2</v>
      </c>
      <c r="G24" s="1854"/>
      <c r="H24" s="1339" t="s">
        <v>1388</v>
      </c>
      <c r="I24" s="1340" t="s">
        <v>1433</v>
      </c>
      <c r="J24" s="1341">
        <f ca="1">ROUND(J5*M24,0)</f>
        <v>0</v>
      </c>
      <c r="K24" s="1342" t="s">
        <v>1453</v>
      </c>
      <c r="L24" s="1340" t="s">
        <v>1449</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1028</v>
      </c>
      <c r="I25" s="1344" t="s">
        <v>1457</v>
      </c>
      <c r="J25" s="355">
        <f ca="1">J5-J16</f>
        <v>0</v>
      </c>
      <c r="K25" s="1345" t="s">
        <v>1458</v>
      </c>
      <c r="L25" s="1346"/>
      <c r="M25" s="1347"/>
    </row>
    <row r="26" spans="1:37" ht="18" customHeight="1">
      <c r="A26" s="1201" t="s">
        <v>1031</v>
      </c>
      <c r="B26" s="347" t="s">
        <v>1459</v>
      </c>
      <c r="C26" s="24">
        <f ca="1">ROUND((C19+C20)*F26,0)</f>
        <v>0</v>
      </c>
      <c r="D26" s="369" t="s">
        <v>1460</v>
      </c>
      <c r="E26" s="358" t="s">
        <v>1461</v>
      </c>
      <c r="F26" s="357">
        <f ca="1">INDIRECT("'数据-取费表'!q"&amp;$G$1)</f>
        <v>0</v>
      </c>
      <c r="G26" s="1851"/>
      <c r="H26" s="344" t="s">
        <v>1029</v>
      </c>
      <c r="I26" s="345" t="s">
        <v>1462</v>
      </c>
      <c r="J26" s="346">
        <f ca="1">IF(J5&lt;&gt;0,ROUND(J25*(1-((1+M28)/(1+M26))^M27)/(M26-M28),0),0)</f>
        <v>0</v>
      </c>
      <c r="K26" s="370" t="s">
        <v>1463</v>
      </c>
      <c r="L26" s="347" t="s">
        <v>1464</v>
      </c>
      <c r="M26" s="357">
        <f ca="1">INDIRECT("'数据-取费表'!I"&amp;$G$1)</f>
        <v>0</v>
      </c>
    </row>
    <row r="27" spans="1:37" ht="18" customHeight="1">
      <c r="A27" s="1201" t="s">
        <v>1033</v>
      </c>
      <c r="B27" s="347" t="s">
        <v>1465</v>
      </c>
      <c r="C27" s="24">
        <f ca="1">ROUND(F21*F26,4)</f>
        <v>0</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1034</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1472</v>
      </c>
      <c r="C29" s="1341">
        <f ca="1">ROUND((C19+C20+C23+C26)/(1-F21-C24-C27-C28),0)</f>
        <v>0</v>
      </c>
      <c r="D29" s="1342"/>
      <c r="E29" s="1340"/>
      <c r="F29" s="1343"/>
      <c r="G29" s="1854"/>
      <c r="H29" s="380" t="s">
        <v>1030</v>
      </c>
      <c r="I29" s="381" t="s">
        <v>1473</v>
      </c>
      <c r="J29" s="382">
        <f ca="1">ROUND(J26/(1+F40)^F41,0)</f>
        <v>0</v>
      </c>
      <c r="K29" s="383" t="s">
        <v>1474</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1418</v>
      </c>
      <c r="C30" s="355">
        <f ca="1">ROUND(C31+C36+C37+C38,0)</f>
        <v>0</v>
      </c>
      <c r="D30" s="1337" t="s">
        <v>1419</v>
      </c>
      <c r="E30" s="1338"/>
      <c r="F30" s="1294"/>
      <c r="G30" s="1851"/>
      <c r="H30" s="745"/>
      <c r="I30" s="746"/>
      <c r="J30" s="747"/>
      <c r="K30" s="748"/>
      <c r="L30" s="749"/>
      <c r="M30" s="750"/>
    </row>
    <row r="31" spans="1:37" ht="18" customHeight="1">
      <c r="A31" s="1201" t="s">
        <v>1032</v>
      </c>
      <c r="B31" s="347" t="s">
        <v>1423</v>
      </c>
      <c r="C31" s="24">
        <f ca="1">ROUND(IF(项目基本情况!B11="自然人",C6*F31/(1+'数据-取费表'!C42),C32+C33+C34),0)</f>
        <v>0</v>
      </c>
      <c r="D31" s="1800" t="s">
        <v>1424</v>
      </c>
      <c r="E31" s="1798" t="s">
        <v>1475</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1427</v>
      </c>
      <c r="C32" s="24">
        <f ca="1">IF(项目基本情况!B11="自然人","——",ROUND(C6*F32/(1+'数据-取费表'!C42),0))</f>
        <v>0</v>
      </c>
      <c r="D32" s="1798" t="s">
        <v>1428</v>
      </c>
      <c r="E32" s="347" t="s">
        <v>1416</v>
      </c>
      <c r="F32" s="377">
        <f>'数据-取费表'!B41</f>
        <v>5.6000000000000001E-2</v>
      </c>
      <c r="G32" s="1851"/>
      <c r="H32" s="745"/>
      <c r="I32" s="746"/>
      <c r="J32" s="747"/>
      <c r="K32" s="748"/>
      <c r="L32" s="749"/>
      <c r="M32" s="750"/>
    </row>
    <row r="33" spans="1:18" ht="18" customHeight="1">
      <c r="A33" s="1201" t="s">
        <v>1033</v>
      </c>
      <c r="B33" s="347" t="s">
        <v>1431</v>
      </c>
      <c r="C33" s="24">
        <f ca="1">IF(项目基本情况!B11="自然人","——",IF(D33="按租金收入计税",ROUND(C6*F33/(1+'数据-取费表'!C42),0),IF(D33="按房产原值计税",ROUND(C29*F33*0.7,0),INDIRECT("'数据-取费表'!Aj"&amp;$G$1))))</f>
        <v>0</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1384</v>
      </c>
      <c r="B34" s="164" t="s">
        <v>1435</v>
      </c>
      <c r="C34" s="25">
        <f ca="1">IF(项目基本情况!B11="自然人","——",ROUND(F34*F35,))</f>
        <v>0</v>
      </c>
      <c r="D34" s="370" t="s">
        <v>1436</v>
      </c>
      <c r="E34" s="347" t="s">
        <v>1437</v>
      </c>
      <c r="F34" s="371">
        <f>'数据-取费表'!B52</f>
        <v>24</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1036</v>
      </c>
      <c r="B36" s="347" t="s">
        <v>1443</v>
      </c>
      <c r="C36" s="24">
        <f ca="1">ROUND(C29*F36,0)</f>
        <v>0</v>
      </c>
      <c r="D36" s="1798" t="s">
        <v>1476</v>
      </c>
      <c r="E36" s="347" t="s">
        <v>1416</v>
      </c>
      <c r="F36" s="374">
        <f ca="1">INDIRECT("'数据-取费表'!Ak"&amp;$G$1)</f>
        <v>0</v>
      </c>
      <c r="G36" s="1851"/>
      <c r="H36" s="1859"/>
      <c r="I36" s="1860"/>
      <c r="J36" s="1861"/>
      <c r="K36" s="751"/>
      <c r="L36" s="1859"/>
      <c r="M36" s="1859"/>
    </row>
    <row r="37" spans="1:18" ht="18" customHeight="1">
      <c r="A37" s="1201" t="s">
        <v>1072</v>
      </c>
      <c r="B37" s="347" t="s">
        <v>1447</v>
      </c>
      <c r="C37" s="24">
        <f ca="1">ROUND(C13*F37,0)</f>
        <v>0</v>
      </c>
      <c r="D37" s="1798" t="s">
        <v>1448</v>
      </c>
      <c r="E37" s="347" t="s">
        <v>1449</v>
      </c>
      <c r="F37" s="376">
        <f ca="1">INDIRECT("'数据-取费表'!Al"&amp;$G$1)</f>
        <v>0</v>
      </c>
      <c r="G37" s="1851"/>
      <c r="H37" s="1859"/>
      <c r="I37" s="1860"/>
      <c r="J37" s="1861"/>
      <c r="K37" s="751"/>
      <c r="L37" s="1859"/>
      <c r="M37" s="1859"/>
    </row>
    <row r="38" spans="1:18" ht="18" customHeight="1" thickBot="1">
      <c r="A38" s="1339" t="s">
        <v>1388</v>
      </c>
      <c r="B38" s="1340" t="s">
        <v>1433</v>
      </c>
      <c r="C38" s="1341">
        <f ca="1">ROUND(C5*F38,1)</f>
        <v>0</v>
      </c>
      <c r="D38" s="1342" t="s">
        <v>1453</v>
      </c>
      <c r="E38" s="1340" t="s">
        <v>1449</v>
      </c>
      <c r="F38" s="1336">
        <f ca="1">INDIRECT("'数据-取费表'!Am"&amp;$G$1)</f>
        <v>0</v>
      </c>
      <c r="G38" s="1851"/>
      <c r="H38" s="1859"/>
      <c r="I38" s="1860"/>
      <c r="J38" s="1861"/>
      <c r="K38" s="1865"/>
      <c r="L38" s="1859"/>
      <c r="M38" s="1859"/>
    </row>
    <row r="39" spans="1:18" ht="24.6" customHeight="1" thickTop="1">
      <c r="A39" s="1329" t="s">
        <v>1028</v>
      </c>
      <c r="B39" s="1344" t="s">
        <v>1477</v>
      </c>
      <c r="C39" s="355">
        <f ca="1">C5-C30</f>
        <v>0</v>
      </c>
      <c r="D39" s="1345" t="s">
        <v>1478</v>
      </c>
      <c r="E39" s="1346"/>
      <c r="F39" s="1347"/>
      <c r="G39" s="1851"/>
      <c r="H39" s="1859"/>
      <c r="I39" s="1860"/>
      <c r="J39" s="1861"/>
      <c r="K39" s="1865"/>
      <c r="L39" s="1859"/>
      <c r="M39" s="1859"/>
    </row>
    <row r="40" spans="1:18" ht="18" customHeight="1">
      <c r="A40" s="344" t="s">
        <v>1029</v>
      </c>
      <c r="B40" s="345" t="s">
        <v>1479</v>
      </c>
      <c r="C40" s="346" t="e">
        <f ca="1">ROUND(C39*(1-((1+F42)/(1+F40))^F41)/(F40-F42),0)</f>
        <v>#DIV/0!</v>
      </c>
      <c r="D40" s="370" t="s">
        <v>1463</v>
      </c>
      <c r="E40" s="347" t="s">
        <v>1464</v>
      </c>
      <c r="F40" s="357">
        <f ca="1">INDIRECT("'数据-取费表'!I"&amp;$G$1)</f>
        <v>0</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1471</v>
      </c>
      <c r="F42" s="357">
        <f ca="1">INDIRECT("'数据-取费表'!v"&amp;$G$1)</f>
        <v>0</v>
      </c>
      <c r="G42" s="1851"/>
      <c r="H42" s="732"/>
      <c r="I42" s="1860"/>
      <c r="J42" s="1861"/>
      <c r="K42" s="751"/>
      <c r="L42" s="732"/>
      <c r="M42" s="732"/>
    </row>
    <row r="43" spans="1:18" ht="18" customHeight="1" thickBot="1">
      <c r="A43" s="380" t="s">
        <v>1030</v>
      </c>
      <c r="B43" s="381" t="s">
        <v>1481</v>
      </c>
      <c r="C43" s="382" t="e">
        <f ca="1">ROUND(C40/F43,0)</f>
        <v>#DIV/0!</v>
      </c>
      <c r="D43" s="383" t="s">
        <v>1482</v>
      </c>
      <c r="E43" s="384" t="s">
        <v>1483</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1598</v>
      </c>
      <c r="E45" s="1866"/>
      <c r="F45" s="1866"/>
      <c r="O45" s="1869" t="s">
        <v>1513</v>
      </c>
      <c r="P45" s="1839"/>
      <c r="Q45" s="1839"/>
      <c r="R45" s="1839"/>
    </row>
    <row r="46" spans="1:18" s="1842" customFormat="1" ht="13.5" thickBot="1">
      <c r="A46" s="1870" t="s">
        <v>1514</v>
      </c>
      <c r="C46" s="1871" t="e">
        <f ca="1">ROUND(C45/10000,0)</f>
        <v>#DIV/0!</v>
      </c>
      <c r="D46" s="1872" t="str">
        <f>C2</f>
        <v>万元</v>
      </c>
      <c r="I46" s="1873" t="s">
        <v>1515</v>
      </c>
      <c r="J46" s="1874"/>
      <c r="K46" s="1875"/>
      <c r="L46" s="1876" t="e">
        <f ca="1">IF(M47="住宅",0,IF(L48&gt;J51,L60,J60))</f>
        <v>#DIV/0!</v>
      </c>
      <c r="O46" s="1877" t="s">
        <v>1516</v>
      </c>
      <c r="P46" s="1878" t="s">
        <v>1517</v>
      </c>
      <c r="Q46" s="1879" t="s">
        <v>1518</v>
      </c>
      <c r="R46" s="1879" t="s">
        <v>1519</v>
      </c>
    </row>
    <row r="47" spans="1:18" s="1842" customFormat="1" ht="13.5" thickBot="1">
      <c r="A47" s="1165" t="s">
        <v>1391</v>
      </c>
      <c r="B47" s="1197" t="s">
        <v>1392</v>
      </c>
      <c r="C47" s="1197" t="s">
        <v>1393</v>
      </c>
      <c r="D47" s="1197" t="s">
        <v>1394</v>
      </c>
      <c r="E47" s="1279" t="s">
        <v>1395</v>
      </c>
      <c r="F47" s="1280"/>
      <c r="G47" s="792"/>
      <c r="I47" s="1880" t="s">
        <v>1520</v>
      </c>
      <c r="J47" s="1881"/>
      <c r="K47" s="1882" t="s">
        <v>1521</v>
      </c>
      <c r="L47" s="1883">
        <f ca="1">INDIRECT("'数据-取费表'!d"&amp;$G$1)</f>
        <v>0</v>
      </c>
      <c r="M47" s="1838" t="str">
        <f>IF(ISNUMBER(FIND("住宅",C1)),"住宅","非住宅")</f>
        <v>非住宅</v>
      </c>
      <c r="O47" s="1884" t="s">
        <v>1037</v>
      </c>
      <c r="P47" s="1885" t="s">
        <v>1522</v>
      </c>
      <c r="Q47" s="1886" t="e">
        <f ca="1">C40+J29</f>
        <v>#DIV/0!</v>
      </c>
      <c r="R47" s="1886" t="s">
        <v>1523</v>
      </c>
    </row>
    <row r="48" spans="1:18" s="1842" customFormat="1" ht="28.5" thickBot="1">
      <c r="A48" s="1360" t="s">
        <v>1132</v>
      </c>
      <c r="B48" s="345" t="s">
        <v>1396</v>
      </c>
      <c r="C48" s="1817">
        <f ca="1">C49+C53+C55</f>
        <v>0</v>
      </c>
      <c r="D48" s="1362"/>
      <c r="E48" s="1363"/>
      <c r="F48" s="1181"/>
      <c r="G48" s="792"/>
      <c r="H48" s="793"/>
      <c r="I48" s="1887" t="s">
        <v>1524</v>
      </c>
      <c r="J48" s="1888"/>
      <c r="K48" s="1889" t="s">
        <v>1525</v>
      </c>
      <c r="L48" s="1890">
        <f ca="1">INDIRECT("'数据-取费表'!f"&amp;$G$1)</f>
        <v>0</v>
      </c>
      <c r="O48" s="1884" t="s">
        <v>1038</v>
      </c>
      <c r="P48" s="1885" t="s">
        <v>1526</v>
      </c>
      <c r="Q48" s="1886" t="e">
        <f ca="1">J60</f>
        <v>#DIV/0!</v>
      </c>
      <c r="R48" s="1886" t="s">
        <v>1527</v>
      </c>
    </row>
    <row r="49" spans="1:18" s="1842" customFormat="1" ht="13.5" thickBot="1">
      <c r="A49" s="1194" t="s">
        <v>1133</v>
      </c>
      <c r="B49" s="1829" t="s">
        <v>1484</v>
      </c>
      <c r="C49" s="1364">
        <f ca="1">ROUND(F49*F51*F50*(1-F52),0)</f>
        <v>0</v>
      </c>
      <c r="D49" s="1276" t="s">
        <v>1399</v>
      </c>
      <c r="E49" s="1830" t="s">
        <v>1485</v>
      </c>
      <c r="F49" s="1281"/>
      <c r="G49" s="1891"/>
      <c r="H49" s="793"/>
      <c r="I49" s="1887" t="s">
        <v>1528</v>
      </c>
      <c r="J49" s="1892"/>
      <c r="K49" s="1889" t="s">
        <v>1529</v>
      </c>
      <c r="L49" s="1893"/>
      <c r="O49" s="1894" t="s">
        <v>1039</v>
      </c>
      <c r="P49" s="1885" t="s">
        <v>1530</v>
      </c>
      <c r="Q49" s="1886">
        <f ca="1">C29</f>
        <v>0</v>
      </c>
      <c r="R49" s="1886" t="s">
        <v>1523</v>
      </c>
    </row>
    <row r="50" spans="1:18" s="1842" customFormat="1" ht="13.5" thickBot="1">
      <c r="A50" s="1195"/>
      <c r="B50" s="1198"/>
      <c r="C50" s="1199"/>
      <c r="D50" s="1172"/>
      <c r="E50" s="1277" t="s">
        <v>1401</v>
      </c>
      <c r="F50" s="1278">
        <f ca="1">F7</f>
        <v>0</v>
      </c>
      <c r="H50" s="793"/>
      <c r="I50" s="1887" t="s">
        <v>1531</v>
      </c>
      <c r="J50" s="1895">
        <f>SUMPRODUCT((I63:I65=J47)*(J62:L62=J48)*(J63:L65))</f>
        <v>0</v>
      </c>
      <c r="K50" s="1889" t="s">
        <v>1532</v>
      </c>
      <c r="L50" s="1893"/>
      <c r="M50" s="1896"/>
      <c r="O50" s="1894" t="s">
        <v>1040</v>
      </c>
      <c r="P50" s="1885" t="s">
        <v>1533</v>
      </c>
      <c r="Q50" s="1897" t="e">
        <f ca="1">J58</f>
        <v>#DIV/0!</v>
      </c>
      <c r="R50" s="1886"/>
    </row>
    <row r="51" spans="1:18" s="1842" customFormat="1" ht="13.5" thickBot="1">
      <c r="A51" s="1196"/>
      <c r="B51" s="1198"/>
      <c r="C51" s="1199"/>
      <c r="D51" s="1172"/>
      <c r="E51" s="1200" t="s">
        <v>1402</v>
      </c>
      <c r="F51" s="348">
        <f ca="1">F8</f>
        <v>0</v>
      </c>
      <c r="I51" s="1898" t="s">
        <v>1534</v>
      </c>
      <c r="J51" s="1899">
        <f>IF(J49="",J50,J49+J50-YEAR('数据-取费表'!B2))</f>
        <v>0</v>
      </c>
      <c r="K51" s="1900" t="s">
        <v>1535</v>
      </c>
      <c r="L51" s="1901">
        <f ca="1">ROUND(-PV(INDIRECT("'数据-取费表'!h"&amp;$G$1),L48,(C39-C13*C76),0),0)</f>
        <v>0</v>
      </c>
      <c r="M51" s="1902"/>
      <c r="O51" s="1894" t="s">
        <v>1041</v>
      </c>
      <c r="P51" s="1885" t="s">
        <v>1536</v>
      </c>
      <c r="Q51" s="1897">
        <f>J52</f>
        <v>0</v>
      </c>
      <c r="R51" s="1886"/>
    </row>
    <row r="52" spans="1:18" s="1842" customFormat="1" ht="13.5" thickBot="1">
      <c r="A52" s="1196"/>
      <c r="B52" s="1198"/>
      <c r="C52" s="1199"/>
      <c r="D52" s="1172"/>
      <c r="E52" s="1200" t="s">
        <v>1403</v>
      </c>
      <c r="F52" s="1275"/>
      <c r="I52" s="1903" t="s">
        <v>1537</v>
      </c>
      <c r="J52" s="1904"/>
      <c r="K52" s="1903" t="s">
        <v>1538</v>
      </c>
      <c r="L52" s="1904"/>
      <c r="O52" s="1894" t="s">
        <v>1042</v>
      </c>
      <c r="P52" s="1885" t="s">
        <v>1539</v>
      </c>
      <c r="Q52" s="1886">
        <f ca="1">J53</f>
        <v>0</v>
      </c>
      <c r="R52" s="1886" t="s">
        <v>1540</v>
      </c>
    </row>
    <row r="53" spans="1:18" s="1842" customFormat="1" ht="30.75" customHeight="1" thickBot="1">
      <c r="A53" s="1361" t="s">
        <v>1134</v>
      </c>
      <c r="B53" s="369" t="s">
        <v>1404</v>
      </c>
      <c r="C53" s="361">
        <f ca="1">ROUND(IF(F53="押一",C49/12*F11,IF(F53="押二",C49/12*2*F11,IF(F53="押三",C49/12*3*F11,C54*F11))),0)</f>
        <v>0</v>
      </c>
      <c r="D53" s="1824" t="s">
        <v>3033</v>
      </c>
      <c r="E53" s="358" t="s">
        <v>1405</v>
      </c>
      <c r="F53" s="1366"/>
      <c r="I53" s="1905" t="s">
        <v>1541</v>
      </c>
      <c r="J53" s="2947">
        <f ca="1">IF(M47="住宅",IF(D1="——",MAX(J51,L48),MAX(J51,L48-'数据-取费表'!B24)),IF(D1="——",MIN(J51,L48),MIN(J51,L48-'数据-取费表'!B24)))</f>
        <v>0</v>
      </c>
      <c r="K53" s="3179" t="s">
        <v>1542</v>
      </c>
      <c r="L53" s="3180"/>
      <c r="O53" s="1884" t="s">
        <v>1043</v>
      </c>
      <c r="P53" s="1885" t="s">
        <v>1543</v>
      </c>
      <c r="Q53" s="1886" t="e">
        <f ca="1">Q47+Q48</f>
        <v>#DIV/0!</v>
      </c>
      <c r="R53" s="1886" t="s">
        <v>1044</v>
      </c>
    </row>
    <row r="54" spans="1:18" s="1842" customFormat="1" ht="13.5" thickBot="1">
      <c r="A54" s="1194"/>
      <c r="B54" s="1940" t="s">
        <v>1597</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1544</v>
      </c>
      <c r="P54" s="1839"/>
      <c r="Q54" s="1839"/>
      <c r="R54" s="1839"/>
    </row>
    <row r="55" spans="1:18" s="1842" customFormat="1" ht="13.5" thickBot="1">
      <c r="A55" s="1333" t="s">
        <v>1072</v>
      </c>
      <c r="B55" s="1827" t="s">
        <v>1407</v>
      </c>
      <c r="C55" s="1334"/>
      <c r="D55" s="1824"/>
      <c r="E55" s="1832"/>
      <c r="F55" s="1906"/>
      <c r="I55" s="1909" t="s">
        <v>1545</v>
      </c>
      <c r="J55" s="1910" t="e">
        <f ca="1">ROUND(IF(J47="钢混",J57/J50,1-(1-2%)*(J50-J57)/J50),3)</f>
        <v>#DIV/0!</v>
      </c>
      <c r="K55" s="1911" t="s">
        <v>1546</v>
      </c>
      <c r="L55" s="1912"/>
      <c r="O55" s="1877" t="s">
        <v>1516</v>
      </c>
      <c r="P55" s="1878" t="s">
        <v>1517</v>
      </c>
      <c r="Q55" s="1879" t="s">
        <v>1518</v>
      </c>
      <c r="R55" s="1879" t="s">
        <v>1519</v>
      </c>
    </row>
    <row r="56" spans="1:18" s="1842" customFormat="1" ht="36" customHeight="1" thickTop="1" thickBot="1">
      <c r="A56" s="1176">
        <v>2</v>
      </c>
      <c r="B56" s="1177" t="s">
        <v>1408</v>
      </c>
      <c r="C56" s="276">
        <f ca="1">C13</f>
        <v>0</v>
      </c>
      <c r="D56" s="1913"/>
      <c r="E56" s="1914"/>
      <c r="F56" s="1906"/>
      <c r="I56" s="1915" t="s">
        <v>1548</v>
      </c>
      <c r="J56" s="1916"/>
      <c r="K56" s="1887" t="s">
        <v>1549</v>
      </c>
      <c r="L56" s="1890">
        <f ca="1">IF(L48&lt;J51,"——",L48-J51)</f>
        <v>0</v>
      </c>
      <c r="O56" s="1884" t="s">
        <v>1037</v>
      </c>
      <c r="P56" s="1885" t="s">
        <v>1522</v>
      </c>
      <c r="Q56" s="1886" t="e">
        <f ca="1">C40+J29</f>
        <v>#DIV/0!</v>
      </c>
      <c r="R56" s="1886" t="s">
        <v>1523</v>
      </c>
    </row>
    <row r="57" spans="1:18" s="1842" customFormat="1" ht="24.75" thickBot="1">
      <c r="A57" s="1917"/>
      <c r="B57" s="1169" t="s">
        <v>1472</v>
      </c>
      <c r="C57" s="282">
        <f ca="1">C29</f>
        <v>0</v>
      </c>
      <c r="D57" s="1918"/>
      <c r="E57" s="1919"/>
      <c r="F57" s="1920"/>
      <c r="I57" s="1921" t="s">
        <v>1550</v>
      </c>
      <c r="J57" s="1922">
        <f ca="1">IF(OR(M47="住宅",J51&lt;L48,J56="是"),"——",J51-L48)</f>
        <v>0</v>
      </c>
      <c r="K57" s="1887" t="s">
        <v>1599</v>
      </c>
      <c r="L57" s="1890">
        <f ca="1">IF(L48&lt;J51,"——",IF(L55="比较法",L49,IF(L55="基准地价",L50,L51)))</f>
        <v>0</v>
      </c>
      <c r="O57" s="1884" t="s">
        <v>1038</v>
      </c>
      <c r="P57" s="1885" t="s">
        <v>1600</v>
      </c>
      <c r="Q57" s="1886" t="e">
        <f ca="1">L60</f>
        <v>#DIV/0!</v>
      </c>
      <c r="R57" s="1886" t="s">
        <v>1601</v>
      </c>
    </row>
    <row r="58" spans="1:18" s="1842" customFormat="1" ht="24.75" thickBot="1">
      <c r="A58" s="360" t="s">
        <v>1027</v>
      </c>
      <c r="B58" s="1177" t="s">
        <v>1418</v>
      </c>
      <c r="C58" s="361">
        <f ca="1">ROUND(C59+C64+C65+C66,0)</f>
        <v>0</v>
      </c>
      <c r="D58" s="1179" t="s">
        <v>1419</v>
      </c>
      <c r="E58" s="1180"/>
      <c r="F58" s="1181"/>
      <c r="I58" s="1921" t="s">
        <v>1554</v>
      </c>
      <c r="J58" s="1923" t="e">
        <f ca="1">IF(J55&lt;0.4,0.4,J55)</f>
        <v>#DIV/0!</v>
      </c>
      <c r="K58" s="1900" t="s">
        <v>1602</v>
      </c>
      <c r="L58" s="1890" t="e">
        <f ca="1">ROUND(POWER(1+L52,L47-L48)*(POWER(1+L52,L48)-1)/(POWER(1+L52,L47)-1),4)</f>
        <v>#DIV/0!</v>
      </c>
      <c r="O58" s="1894" t="s">
        <v>1039</v>
      </c>
      <c r="P58" s="1885" t="s">
        <v>1556</v>
      </c>
      <c r="Q58" s="1886">
        <f>IF(L55="比较法",L49,IF(L55="基准地价",L50,0))</f>
        <v>0</v>
      </c>
      <c r="R58" s="1886" t="s">
        <v>1523</v>
      </c>
    </row>
    <row r="59" spans="1:18" s="1842" customFormat="1" ht="24.75" thickBot="1">
      <c r="A59" s="1201" t="s">
        <v>1032</v>
      </c>
      <c r="B59" s="1169" t="s">
        <v>1423</v>
      </c>
      <c r="C59" s="24">
        <f ca="1">ROUND(IF(项目基本情况!B11="自然人",C48*F59,C60+C61+C62),0)</f>
        <v>0</v>
      </c>
      <c r="D59" s="1182" t="s">
        <v>1424</v>
      </c>
      <c r="E59" s="1183" t="s">
        <v>1425</v>
      </c>
      <c r="F59" s="368" t="str">
        <f ca="1">IF(项目基本情况!B11="企业","",IF(INDIRECT("'数据-取费表'!c"&amp;$G$1)="住宅",5%,IF(F49*F50*F51/12/(1+'数据-取费表'!C42)&gt;20000,12%,7%)))</f>
        <v/>
      </c>
      <c r="I59" s="1921" t="s">
        <v>1557</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1558</v>
      </c>
      <c r="Q59" s="1897">
        <f>L52</f>
        <v>0</v>
      </c>
      <c r="R59" s="1886"/>
    </row>
    <row r="60" spans="1:18" s="1842" customFormat="1" ht="16.5" thickBot="1">
      <c r="A60" s="1201" t="s">
        <v>1031</v>
      </c>
      <c r="B60" s="1169" t="s">
        <v>1427</v>
      </c>
      <c r="C60" s="24">
        <f ca="1">IF(项目基本情况!B11="自然人","——",ROUND(C48*F60/(1+'数据-取费表'!C42),0))</f>
        <v>0</v>
      </c>
      <c r="D60" s="1183" t="s">
        <v>1428</v>
      </c>
      <c r="E60" s="1169" t="s">
        <v>1416</v>
      </c>
      <c r="F60" s="377">
        <f t="shared" ref="F60:F66" si="0">F32</f>
        <v>5.6000000000000001E-2</v>
      </c>
      <c r="I60" s="1924" t="s">
        <v>1559</v>
      </c>
      <c r="J60" s="1925" t="e">
        <f ca="1">IF(OR(M47="住宅",J51&lt;L48,J56="是"),"0",ROUND(J59/(1+J52)^J53,0))</f>
        <v>#DIV/0!</v>
      </c>
      <c r="K60" s="1926" t="s">
        <v>1560</v>
      </c>
      <c r="L60" s="1925" t="e">
        <f ca="1">IF(OR(M47="住宅",L48&lt;J51),0,ROUND(L57*(L58/L59-1),0))</f>
        <v>#DIV/0!</v>
      </c>
      <c r="O60" s="1894" t="s">
        <v>1041</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IF(项目基本情况!B11="自然人","——",IF(D61="按租金收入计税",ROUND(C48*F61,0),IF(D61="按房产原值计税",ROUND(C57*F61*0.7,0),INDIRECT("'数据-取费表'!Aj"&amp;$G$1))))</f>
        <v>0</v>
      </c>
      <c r="D61" s="1828" t="s">
        <v>1432</v>
      </c>
      <c r="E61" s="1169" t="s">
        <v>1488</v>
      </c>
      <c r="F61" s="367">
        <f t="shared" si="0"/>
        <v>1.2E-2</v>
      </c>
      <c r="I61" s="1927"/>
      <c r="J61" s="1927"/>
      <c r="K61" s="1927"/>
      <c r="L61" s="1927"/>
      <c r="O61" s="1894" t="s">
        <v>1042</v>
      </c>
      <c r="P61" s="1885" t="str">
        <f>K59</f>
        <v>建设期及建筑物耐用年限下的土地年期修正系数Kn</v>
      </c>
      <c r="Q61" s="1886" t="e">
        <f ca="1">L59</f>
        <v>#DIV/0!</v>
      </c>
      <c r="R61" s="1886" t="s">
        <v>1563</v>
      </c>
    </row>
    <row r="62" spans="1:18" s="1842" customFormat="1" ht="13.5" thickBot="1">
      <c r="A62" s="1201" t="s">
        <v>1489</v>
      </c>
      <c r="B62" s="1168" t="s">
        <v>1490</v>
      </c>
      <c r="C62" s="25">
        <f ca="1">IF(项目基本情况!B11="自然人","——",ROUND(F62*F63,0))</f>
        <v>0</v>
      </c>
      <c r="D62" s="1184" t="s">
        <v>1491</v>
      </c>
      <c r="E62" s="1169" t="s">
        <v>1492</v>
      </c>
      <c r="F62" s="371">
        <f t="shared" si="0"/>
        <v>24</v>
      </c>
      <c r="I62" s="1928" t="s">
        <v>1564</v>
      </c>
      <c r="J62" s="1929" t="s">
        <v>1565</v>
      </c>
      <c r="K62" s="1929" t="s">
        <v>1566</v>
      </c>
      <c r="L62" s="1929" t="s">
        <v>1567</v>
      </c>
      <c r="M62" s="1930" t="s">
        <v>1568</v>
      </c>
      <c r="O62" s="1884" t="s">
        <v>1043</v>
      </c>
      <c r="P62" s="1885" t="s">
        <v>1569</v>
      </c>
      <c r="Q62" s="1886" t="e">
        <f ca="1">Q56+Q57</f>
        <v>#DIV/0!</v>
      </c>
      <c r="R62" s="1886" t="s">
        <v>1044</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ROUND(C57*F64,0)</f>
        <v>0</v>
      </c>
      <c r="D64" s="1183" t="s">
        <v>1496</v>
      </c>
      <c r="E64" s="1169" t="s">
        <v>1488</v>
      </c>
      <c r="F64" s="374">
        <f t="shared" ca="1" si="0"/>
        <v>0</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ROUND(C56*F65,0)</f>
        <v>0</v>
      </c>
      <c r="D65" s="1183" t="s">
        <v>1448</v>
      </c>
      <c r="E65" s="1169" t="s">
        <v>1449</v>
      </c>
      <c r="F65" s="376">
        <f t="shared" ca="1" si="0"/>
        <v>0</v>
      </c>
      <c r="I65" s="1928" t="s">
        <v>1573</v>
      </c>
      <c r="J65" s="1929">
        <v>40</v>
      </c>
      <c r="K65" s="1929">
        <v>30</v>
      </c>
      <c r="L65" s="1929">
        <v>50</v>
      </c>
      <c r="M65" s="1931">
        <v>0.02</v>
      </c>
      <c r="O65" s="1884" t="s">
        <v>1037</v>
      </c>
      <c r="P65" s="1885" t="s">
        <v>1574</v>
      </c>
      <c r="Q65" s="1886" t="e">
        <f ca="1">C40+J29</f>
        <v>#DIV/0!</v>
      </c>
      <c r="R65" s="1886" t="s">
        <v>1523</v>
      </c>
    </row>
    <row r="66" spans="1:18" s="1842" customFormat="1" ht="16.5" thickBot="1">
      <c r="A66" s="1201" t="s">
        <v>1498</v>
      </c>
      <c r="B66" s="1169" t="s">
        <v>1433</v>
      </c>
      <c r="C66" s="24">
        <f ca="1">ROUND(C48*F66,0)</f>
        <v>0</v>
      </c>
      <c r="D66" s="1183" t="s">
        <v>1499</v>
      </c>
      <c r="E66" s="1169" t="s">
        <v>1416</v>
      </c>
      <c r="F66" s="357">
        <f t="shared" ca="1" si="0"/>
        <v>0</v>
      </c>
      <c r="O66" s="1884" t="s">
        <v>1038</v>
      </c>
      <c r="P66" s="1885" t="s">
        <v>1552</v>
      </c>
      <c r="Q66" s="1886" t="e">
        <f ca="1">L60</f>
        <v>#DIV/0!</v>
      </c>
      <c r="R66" s="1886" t="s">
        <v>1575</v>
      </c>
    </row>
    <row r="67" spans="1:18" s="1842" customFormat="1" ht="16.5" thickBot="1">
      <c r="A67" s="1176" t="s">
        <v>1028</v>
      </c>
      <c r="B67" s="1186" t="s">
        <v>1457</v>
      </c>
      <c r="C67" s="361">
        <f ca="1">C48-C58</f>
        <v>0</v>
      </c>
      <c r="D67" s="1182" t="s">
        <v>1458</v>
      </c>
      <c r="E67" s="1187"/>
      <c r="F67" s="1188"/>
      <c r="O67" s="1894" t="s">
        <v>1039</v>
      </c>
      <c r="P67" s="1885" t="s">
        <v>1556</v>
      </c>
      <c r="Q67" s="1932">
        <f ca="1">L51</f>
        <v>0</v>
      </c>
      <c r="R67" s="1886" t="s">
        <v>1576</v>
      </c>
    </row>
    <row r="68" spans="1:18" s="1842" customFormat="1" ht="16.5" thickBot="1">
      <c r="A68" s="1166" t="s">
        <v>1029</v>
      </c>
      <c r="B68" s="1167" t="s">
        <v>1479</v>
      </c>
      <c r="C68" s="346" t="e">
        <f ca="1">ROUND(C67*(1-((1+F70)/(1+F68))^F69)/(F68-F70),0)</f>
        <v>#DIV/0!</v>
      </c>
      <c r="D68" s="1184" t="s">
        <v>1463</v>
      </c>
      <c r="E68" s="1169" t="s">
        <v>1464</v>
      </c>
      <c r="F68" s="357">
        <f ca="1">F40</f>
        <v>0</v>
      </c>
      <c r="O68" s="1894" t="s">
        <v>1040</v>
      </c>
      <c r="P68" s="1933" t="s">
        <v>1577</v>
      </c>
      <c r="Q68" s="1886">
        <f ca="1">ROUND(Q69-Q70*Q71,0)</f>
        <v>0</v>
      </c>
      <c r="R68" s="1886" t="s">
        <v>1048</v>
      </c>
    </row>
    <row r="69" spans="1:18" s="1842" customFormat="1" ht="13.5" thickBot="1">
      <c r="A69" s="1170"/>
      <c r="B69" s="1171"/>
      <c r="C69" s="351"/>
      <c r="D69" s="1189" t="s">
        <v>1467</v>
      </c>
      <c r="E69" s="1169" t="s">
        <v>1468</v>
      </c>
      <c r="F69" s="379">
        <f ca="1">F41</f>
        <v>0</v>
      </c>
      <c r="O69" s="1894" t="s">
        <v>1045</v>
      </c>
      <c r="P69" s="1933" t="s">
        <v>1578</v>
      </c>
      <c r="Q69" s="1886">
        <f ca="1">C39</f>
        <v>0</v>
      </c>
      <c r="R69" s="1886" t="s">
        <v>1523</v>
      </c>
    </row>
    <row r="70" spans="1:18" s="1842" customFormat="1" ht="13.5" thickBot="1">
      <c r="A70" s="1173"/>
      <c r="B70" s="1174"/>
      <c r="C70" s="355"/>
      <c r="D70" s="1185"/>
      <c r="E70" s="1169" t="s">
        <v>1471</v>
      </c>
      <c r="F70" s="1275">
        <f ca="1">F42</f>
        <v>0</v>
      </c>
      <c r="O70" s="1894" t="s">
        <v>1046</v>
      </c>
      <c r="P70" s="1933" t="s">
        <v>1579</v>
      </c>
      <c r="Q70" s="1886">
        <f ca="1">C13</f>
        <v>0</v>
      </c>
      <c r="R70" s="1886" t="s">
        <v>1523</v>
      </c>
    </row>
    <row r="71" spans="1:18" s="1842" customFormat="1" ht="13.5" thickBot="1">
      <c r="A71" s="1190" t="s">
        <v>1030</v>
      </c>
      <c r="B71" s="1191" t="s">
        <v>1481</v>
      </c>
      <c r="C71" s="382" t="e">
        <f ca="1">ROUND(C68/F71,0)</f>
        <v>#DIV/0!</v>
      </c>
      <c r="D71" s="1192" t="s">
        <v>1482</v>
      </c>
      <c r="E71" s="1193" t="s">
        <v>1483</v>
      </c>
      <c r="F71" s="385">
        <f ca="1">F43</f>
        <v>0</v>
      </c>
      <c r="O71" s="1894" t="s">
        <v>1047</v>
      </c>
      <c r="P71" s="1933" t="s">
        <v>1580</v>
      </c>
      <c r="Q71" s="1897">
        <f ca="1">C76</f>
        <v>0</v>
      </c>
      <c r="R71" s="1886"/>
    </row>
    <row r="72" spans="1:18" s="1842" customFormat="1" ht="13.5" thickBot="1">
      <c r="B72" s="796"/>
      <c r="C72" s="796"/>
      <c r="O72" s="1894" t="s">
        <v>1041</v>
      </c>
      <c r="P72" s="1885" t="s">
        <v>1558</v>
      </c>
      <c r="Q72" s="1897">
        <f>L52</f>
        <v>0</v>
      </c>
      <c r="R72" s="1886"/>
    </row>
    <row r="73" spans="1:18" ht="16.5" thickBot="1">
      <c r="A73" s="1842"/>
      <c r="B73" s="796"/>
      <c r="C73" s="796"/>
      <c r="D73" s="1842"/>
      <c r="E73" s="1842"/>
      <c r="F73" s="1842"/>
      <c r="O73" s="1894" t="s">
        <v>1042</v>
      </c>
      <c r="P73" s="1885" t="s">
        <v>1561</v>
      </c>
      <c r="Q73" s="1886" t="e">
        <f ca="1">L58</f>
        <v>#DIV/0!</v>
      </c>
      <c r="R73" s="1886" t="s">
        <v>1562</v>
      </c>
    </row>
    <row r="74" spans="1:18" ht="13.5" thickBot="1">
      <c r="A74" s="1842"/>
      <c r="B74" s="317" t="s">
        <v>1581</v>
      </c>
      <c r="C74" s="1935"/>
      <c r="D74" s="1842"/>
      <c r="E74" s="1842"/>
      <c r="F74" s="1842"/>
      <c r="O74" s="1894" t="s">
        <v>1049</v>
      </c>
      <c r="P74" s="1885" t="str">
        <f>K59</f>
        <v>建设期及建筑物耐用年限下的土地年期修正系数Kn</v>
      </c>
      <c r="Q74" s="1886" t="e">
        <f ca="1">L59</f>
        <v>#DIV/0!</v>
      </c>
      <c r="R74" s="1886" t="s">
        <v>1563</v>
      </c>
    </row>
    <row r="75" spans="1:18" ht="13.5" thickBot="1">
      <c r="A75" s="1842"/>
      <c r="B75" s="386" t="s">
        <v>1500</v>
      </c>
      <c r="C75" s="387">
        <f ca="1">ROUND(C13*C76,0)</f>
        <v>0</v>
      </c>
      <c r="D75" s="1842"/>
      <c r="E75" s="1842"/>
      <c r="F75" s="1842"/>
      <c r="K75" s="1868"/>
      <c r="L75" s="1842"/>
      <c r="O75" s="1884" t="s">
        <v>1043</v>
      </c>
      <c r="P75" s="1885" t="s">
        <v>1543</v>
      </c>
      <c r="Q75" s="1886" t="e">
        <f ca="1">Q65+Q66</f>
        <v>#DIV/0!</v>
      </c>
      <c r="R75" s="1886" t="s">
        <v>1044</v>
      </c>
    </row>
    <row r="76" spans="1:18">
      <c r="B76" s="388" t="s">
        <v>1501</v>
      </c>
      <c r="C76" s="389">
        <f ca="1">INDIRECT("'数据-取费表'!j"&amp;$G$1)</f>
        <v>0</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2517</v>
      </c>
      <c r="B1" s="2560"/>
      <c r="C1" s="2560"/>
      <c r="D1" s="2560"/>
      <c r="E1" s="2561"/>
    </row>
    <row r="2" spans="1:6" ht="15.75">
      <c r="A2" s="2562" t="s">
        <v>2318</v>
      </c>
      <c r="B2" s="2563">
        <f ca="1">SUMIF(B6:B13,"&lt;&gt;#ref!",B6:B13)</f>
        <v>25375</v>
      </c>
      <c r="C2" s="2564" t="s">
        <v>2510</v>
      </c>
      <c r="D2" s="2565" t="s">
        <v>2511</v>
      </c>
      <c r="E2" s="2566">
        <f>SUM(E6:E13)</f>
        <v>8276.64</v>
      </c>
    </row>
    <row r="3" spans="1:6" ht="15.75">
      <c r="A3" s="2562" t="s">
        <v>1390</v>
      </c>
      <c r="B3" s="2563">
        <f ca="1">ROUND(B2*10000/E2,0)</f>
        <v>30659</v>
      </c>
      <c r="C3" s="2564" t="s">
        <v>2518</v>
      </c>
      <c r="D3" s="2567"/>
      <c r="E3" s="2568"/>
    </row>
    <row r="4" spans="1:6" ht="15.75">
      <c r="A4" s="2569"/>
      <c r="B4" s="2567"/>
      <c r="C4" s="2567"/>
      <c r="D4" s="2567"/>
      <c r="E4" s="2568"/>
    </row>
    <row r="5" spans="1:6" ht="15">
      <c r="A5" s="2570" t="s">
        <v>2512</v>
      </c>
      <c r="B5" s="3184" t="s">
        <v>2513</v>
      </c>
      <c r="C5" s="3184"/>
      <c r="D5" s="2571"/>
      <c r="E5" s="2572" t="s">
        <v>2514</v>
      </c>
      <c r="F5" s="2573" t="s">
        <v>2515</v>
      </c>
    </row>
    <row r="6" spans="1:6">
      <c r="A6" s="2574" t="str">
        <f>'数据-取费表'!AN6</f>
        <v>收益法</v>
      </c>
      <c r="B6" s="2573">
        <f ca="1">IF(F6="是",'数据-取费表'!AO6,0)</f>
        <v>25375</v>
      </c>
      <c r="C6" s="2564" t="s">
        <v>2510</v>
      </c>
      <c r="D6" s="2567"/>
      <c r="E6" s="2575">
        <f>IF(OR(A6=0,F6="否"),0,'数据-取费表'!K6+'数据-取费表'!S6)</f>
        <v>8276.64</v>
      </c>
      <c r="F6" s="2576" t="s">
        <v>2516</v>
      </c>
    </row>
    <row r="7" spans="1:6">
      <c r="A7" s="2574">
        <f>'数据-取费表'!AN7</f>
        <v>0</v>
      </c>
      <c r="B7" s="2573" t="e">
        <f ca="1">IF(F7="是",'数据-取费表'!AO7,0)</f>
        <v>#REF!</v>
      </c>
      <c r="C7" s="2564" t="s">
        <v>2510</v>
      </c>
      <c r="D7" s="2567"/>
      <c r="E7" s="2575">
        <f>IF(OR(A7=0,F7="否"),0,'数据-取费表'!K7+'数据-取费表'!S7)</f>
        <v>0</v>
      </c>
      <c r="F7" s="2576" t="s">
        <v>2516</v>
      </c>
    </row>
    <row r="8" spans="1:6">
      <c r="A8" s="2574">
        <f>'数据-取费表'!AN8</f>
        <v>0</v>
      </c>
      <c r="B8" s="2573" t="e">
        <f ca="1">IF(F8="是",'数据-取费表'!AO8,0)</f>
        <v>#REF!</v>
      </c>
      <c r="C8" s="2564" t="s">
        <v>2510</v>
      </c>
      <c r="D8" s="2567"/>
      <c r="E8" s="2575">
        <f>IF(OR(A8=0,F8="否"),0,'数据-取费表'!K8+'数据-取费表'!S8)</f>
        <v>0</v>
      </c>
      <c r="F8" s="2576" t="s">
        <v>2516</v>
      </c>
    </row>
    <row r="9" spans="1:6">
      <c r="A9" s="2574">
        <f>'数据-取费表'!AN9</f>
        <v>0</v>
      </c>
      <c r="B9" s="2573" t="e">
        <f ca="1">IF(F9="是",'数据-取费表'!AO9,0)</f>
        <v>#REF!</v>
      </c>
      <c r="C9" s="2564" t="s">
        <v>2510</v>
      </c>
      <c r="D9" s="2567"/>
      <c r="E9" s="2575">
        <f>IF(OR(A9=0,F9="否"),0,'数据-取费表'!K9+'数据-取费表'!S9)</f>
        <v>0</v>
      </c>
      <c r="F9" s="2576" t="s">
        <v>2516</v>
      </c>
    </row>
    <row r="10" spans="1:6">
      <c r="A10" s="2574">
        <f>'数据-取费表'!AN10</f>
        <v>0</v>
      </c>
      <c r="B10" s="2573" t="e">
        <f ca="1">IF(F10="是",'数据-取费表'!AO10,0)</f>
        <v>#REF!</v>
      </c>
      <c r="C10" s="2564" t="s">
        <v>2510</v>
      </c>
      <c r="D10" s="2567"/>
      <c r="E10" s="2575">
        <f>IF(OR(A10=0,F10="否"),0,'数据-取费表'!K10+'数据-取费表'!S10)</f>
        <v>0</v>
      </c>
      <c r="F10" s="2576" t="s">
        <v>2516</v>
      </c>
    </row>
    <row r="11" spans="1:6">
      <c r="A11" s="2574">
        <f>'数据-取费表'!AN11</f>
        <v>0</v>
      </c>
      <c r="B11" s="2573" t="e">
        <f ca="1">IF(F11="是",'数据-取费表'!AO11,0)</f>
        <v>#REF!</v>
      </c>
      <c r="C11" s="2564" t="s">
        <v>2510</v>
      </c>
      <c r="D11" s="2567"/>
      <c r="E11" s="2575">
        <f>IF(OR(A11=0,F11="否"),0,'数据-取费表'!K11+'数据-取费表'!S11)</f>
        <v>0</v>
      </c>
      <c r="F11" s="2576" t="s">
        <v>2516</v>
      </c>
    </row>
    <row r="12" spans="1:6">
      <c r="A12" s="2574">
        <f>'数据-取费表'!AN12</f>
        <v>0</v>
      </c>
      <c r="B12" s="2573" t="e">
        <f ca="1">IF(F12="是",'数据-取费表'!AO12,0)</f>
        <v>#REF!</v>
      </c>
      <c r="C12" s="2564" t="s">
        <v>2510</v>
      </c>
      <c r="D12" s="2567"/>
      <c r="E12" s="2575">
        <f>IF(OR(A12=0,F12="否"),0,'数据-取费表'!K12+'数据-取费表'!S12)</f>
        <v>0</v>
      </c>
      <c r="F12" s="2576" t="s">
        <v>2516</v>
      </c>
    </row>
    <row r="13" spans="1:6" ht="15" thickBot="1">
      <c r="A13" s="2577">
        <f>'数据-取费表'!AN13</f>
        <v>0</v>
      </c>
      <c r="B13" s="2573" t="e">
        <f ca="1">IF(F13="是",'数据-取费表'!AO13,0)</f>
        <v>#REF!</v>
      </c>
      <c r="C13" s="2578" t="s">
        <v>2510</v>
      </c>
      <c r="D13" s="2579"/>
      <c r="E13" s="2575">
        <f>IF(OR(A13=0,F13="否"),0,'数据-取费表'!K13+'数据-取费表'!S13)</f>
        <v>0</v>
      </c>
      <c r="F13" s="2576"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185" t="s">
        <v>1073</v>
      </c>
      <c r="B1" s="3186"/>
      <c r="C1" s="3187"/>
      <c r="D1" s="3188">
        <f>SUM(I10,I15,I20,I21,I23)</f>
        <v>0</v>
      </c>
      <c r="E1" s="3188"/>
      <c r="F1" s="3188"/>
      <c r="G1" s="3188"/>
      <c r="H1" s="3188"/>
      <c r="I1" s="3189"/>
    </row>
    <row r="2" spans="1:9">
      <c r="A2" s="3190" t="s">
        <v>1074</v>
      </c>
      <c r="B2" s="3191" t="s">
        <v>1075</v>
      </c>
      <c r="C2" s="3191"/>
      <c r="D2" s="1301" t="s">
        <v>1076</v>
      </c>
      <c r="E2" s="1301" t="s">
        <v>1077</v>
      </c>
      <c r="F2" s="1301" t="s">
        <v>1078</v>
      </c>
      <c r="G2" s="1301" t="s">
        <v>1079</v>
      </c>
      <c r="H2" s="1301" t="s">
        <v>1080</v>
      </c>
      <c r="I2" s="1302" t="s">
        <v>1081</v>
      </c>
    </row>
    <row r="3" spans="1:9">
      <c r="A3" s="3190"/>
      <c r="B3" s="3191" t="s">
        <v>1082</v>
      </c>
      <c r="C3" s="3191"/>
      <c r="D3" s="1303"/>
      <c r="E3" s="1301"/>
      <c r="F3" s="1304"/>
      <c r="G3" s="1304"/>
      <c r="H3" s="1305"/>
      <c r="I3" s="1306">
        <f>ROUND(D3*E3*F3*G3*H3/10000,0)</f>
        <v>0</v>
      </c>
    </row>
    <row r="4" spans="1:9">
      <c r="A4" s="3190"/>
      <c r="B4" s="3191" t="s">
        <v>1083</v>
      </c>
      <c r="C4" s="3191"/>
      <c r="D4" s="1303"/>
      <c r="E4" s="1301"/>
      <c r="F4" s="1304"/>
      <c r="G4" s="1304"/>
      <c r="H4" s="1305"/>
      <c r="I4" s="1306">
        <f t="shared" ref="I4:I9" si="0">ROUND(D4*E4*F4*G4*H4/10000,0)</f>
        <v>0</v>
      </c>
    </row>
    <row r="5" spans="1:9">
      <c r="A5" s="3190"/>
      <c r="B5" s="3191" t="s">
        <v>1084</v>
      </c>
      <c r="C5" s="3191"/>
      <c r="D5" s="1303"/>
      <c r="E5" s="1301"/>
      <c r="F5" s="1304"/>
      <c r="G5" s="1304"/>
      <c r="H5" s="1305"/>
      <c r="I5" s="1306">
        <f t="shared" si="0"/>
        <v>0</v>
      </c>
    </row>
    <row r="6" spans="1:9">
      <c r="A6" s="3190"/>
      <c r="B6" s="3191" t="s">
        <v>1085</v>
      </c>
      <c r="C6" s="3191"/>
      <c r="D6" s="1303"/>
      <c r="E6" s="1301"/>
      <c r="F6" s="1304"/>
      <c r="G6" s="1304"/>
      <c r="H6" s="1305"/>
      <c r="I6" s="1306">
        <f t="shared" si="0"/>
        <v>0</v>
      </c>
    </row>
    <row r="7" spans="1:9">
      <c r="A7" s="3190"/>
      <c r="B7" s="3191" t="s">
        <v>1086</v>
      </c>
      <c r="C7" s="3191"/>
      <c r="D7" s="1303"/>
      <c r="E7" s="1301"/>
      <c r="F7" s="1304"/>
      <c r="G7" s="1304"/>
      <c r="H7" s="1305"/>
      <c r="I7" s="1306">
        <f t="shared" si="0"/>
        <v>0</v>
      </c>
    </row>
    <row r="8" spans="1:9">
      <c r="A8" s="3190"/>
      <c r="B8" s="3191" t="s">
        <v>1087</v>
      </c>
      <c r="C8" s="3191"/>
      <c r="D8" s="1303"/>
      <c r="E8" s="1301"/>
      <c r="F8" s="1304"/>
      <c r="G8" s="1304"/>
      <c r="H8" s="1305"/>
      <c r="I8" s="1306">
        <f t="shared" si="0"/>
        <v>0</v>
      </c>
    </row>
    <row r="9" spans="1:9">
      <c r="A9" s="3190"/>
      <c r="B9" s="3191" t="s">
        <v>1088</v>
      </c>
      <c r="C9" s="3191"/>
      <c r="D9" s="1303"/>
      <c r="E9" s="1301"/>
      <c r="F9" s="1304"/>
      <c r="G9" s="1304"/>
      <c r="H9" s="1305"/>
      <c r="I9" s="1306">
        <f t="shared" si="0"/>
        <v>0</v>
      </c>
    </row>
    <row r="10" spans="1:9">
      <c r="A10" s="3190"/>
      <c r="B10" s="3192" t="s">
        <v>1089</v>
      </c>
      <c r="C10" s="3192"/>
      <c r="D10" s="1307"/>
      <c r="E10" s="1307" t="e">
        <f>ROUND(D1*10000/D10/H9,0)</f>
        <v>#DIV/0!</v>
      </c>
      <c r="F10" s="1308"/>
      <c r="G10" s="1308"/>
      <c r="H10" s="1309"/>
      <c r="I10" s="1310">
        <f>SUM(I3:I9)</f>
        <v>0</v>
      </c>
    </row>
    <row r="11" spans="1:9" ht="14.25">
      <c r="A11" s="3190" t="s">
        <v>1090</v>
      </c>
      <c r="B11" s="3191" t="s">
        <v>1091</v>
      </c>
      <c r="C11" s="3191"/>
      <c r="D11" s="1303" t="s">
        <v>1092</v>
      </c>
      <c r="E11" s="1303" t="s">
        <v>1093</v>
      </c>
      <c r="F11" s="1304" t="s">
        <v>1094</v>
      </c>
      <c r="G11" s="1304" t="s">
        <v>1080</v>
      </c>
      <c r="H11" s="1311" t="s">
        <v>1095</v>
      </c>
      <c r="I11" s="1302" t="s">
        <v>1081</v>
      </c>
    </row>
    <row r="12" spans="1:9">
      <c r="A12" s="3190"/>
      <c r="B12" s="3191" t="s">
        <v>1096</v>
      </c>
      <c r="C12" s="3191"/>
      <c r="D12" s="1303"/>
      <c r="E12" s="1303"/>
      <c r="F12" s="1304"/>
      <c r="G12" s="1305"/>
      <c r="H12" s="1312"/>
      <c r="I12" s="1302">
        <f>ROUND(D12*E12*F12*G12/10000,0)</f>
        <v>0</v>
      </c>
    </row>
    <row r="13" spans="1:9">
      <c r="A13" s="3190"/>
      <c r="B13" s="3191" t="s">
        <v>1097</v>
      </c>
      <c r="C13" s="3191"/>
      <c r="D13" s="1303"/>
      <c r="E13" s="1303"/>
      <c r="F13" s="1304"/>
      <c r="G13" s="1305"/>
      <c r="H13" s="1312"/>
      <c r="I13" s="1302">
        <f>ROUND(D13*E13*F13*G13/10000,0)</f>
        <v>0</v>
      </c>
    </row>
    <row r="14" spans="1:9">
      <c r="A14" s="3190"/>
      <c r="B14" s="3191" t="s">
        <v>1098</v>
      </c>
      <c r="C14" s="3191"/>
      <c r="D14" s="1303"/>
      <c r="E14" s="1303"/>
      <c r="F14" s="1304"/>
      <c r="G14" s="1305"/>
      <c r="H14" s="1312"/>
      <c r="I14" s="1302">
        <f>ROUND(D14*E14*F14*G14/10000,0)</f>
        <v>0</v>
      </c>
    </row>
    <row r="15" spans="1:9">
      <c r="A15" s="3190"/>
      <c r="B15" s="3192" t="s">
        <v>1089</v>
      </c>
      <c r="C15" s="3192"/>
      <c r="D15" s="1307"/>
      <c r="E15" s="1307">
        <f>SUM(E12:E14)</f>
        <v>0</v>
      </c>
      <c r="F15" s="1308"/>
      <c r="G15" s="1305"/>
      <c r="H15" s="1312"/>
      <c r="I15" s="1313">
        <f>SUM(I12:I14)</f>
        <v>0</v>
      </c>
    </row>
    <row r="16" spans="1:9" ht="24">
      <c r="A16" s="3190" t="s">
        <v>1099</v>
      </c>
      <c r="B16" s="3191" t="s">
        <v>1100</v>
      </c>
      <c r="C16" s="3191"/>
      <c r="D16" s="1303" t="s">
        <v>1076</v>
      </c>
      <c r="E16" s="1314" t="s">
        <v>1101</v>
      </c>
      <c r="F16" s="1304" t="s">
        <v>1102</v>
      </c>
      <c r="G16" s="1305" t="s">
        <v>1080</v>
      </c>
      <c r="H16" s="1311" t="s">
        <v>1095</v>
      </c>
      <c r="I16" s="1302" t="s">
        <v>1081</v>
      </c>
    </row>
    <row r="17" spans="1:9" ht="14.25">
      <c r="A17" s="3190"/>
      <c r="B17" s="3191" t="s">
        <v>1103</v>
      </c>
      <c r="C17" s="3191"/>
      <c r="D17" s="1303"/>
      <c r="E17" s="1303"/>
      <c r="F17" s="1304"/>
      <c r="G17" s="1305"/>
      <c r="H17" s="1315"/>
      <c r="I17" s="1316">
        <f>ROUND(D17*E17*F17*G17/10000,0)</f>
        <v>0</v>
      </c>
    </row>
    <row r="18" spans="1:9" ht="14.25">
      <c r="A18" s="3190"/>
      <c r="B18" s="3191" t="s">
        <v>1104</v>
      </c>
      <c r="C18" s="3191"/>
      <c r="D18" s="1303"/>
      <c r="E18" s="1303"/>
      <c r="F18" s="1304"/>
      <c r="G18" s="1305"/>
      <c r="H18" s="1315"/>
      <c r="I18" s="1316">
        <f>ROUND(D18*E18*F18*G18/10000,0)</f>
        <v>0</v>
      </c>
    </row>
    <row r="19" spans="1:9" ht="14.25">
      <c r="A19" s="3190"/>
      <c r="B19" s="3191" t="s">
        <v>1105</v>
      </c>
      <c r="C19" s="3191"/>
      <c r="D19" s="1303"/>
      <c r="E19" s="1303"/>
      <c r="F19" s="1304"/>
      <c r="G19" s="1305"/>
      <c r="H19" s="1315"/>
      <c r="I19" s="1316">
        <f>ROUND(D19*E19*F19*G19/10000,0)</f>
        <v>0</v>
      </c>
    </row>
    <row r="20" spans="1:9">
      <c r="A20" s="3190"/>
      <c r="B20" s="3192" t="s">
        <v>1089</v>
      </c>
      <c r="C20" s="3192"/>
      <c r="D20" s="1307">
        <f>SUM(D17:D19)</f>
        <v>0</v>
      </c>
      <c r="E20" s="1307"/>
      <c r="F20" s="1308"/>
      <c r="G20" s="1305"/>
      <c r="H20" s="1312"/>
      <c r="I20" s="1313">
        <f>SUM(I17:I19)</f>
        <v>0</v>
      </c>
    </row>
    <row r="21" spans="1:9">
      <c r="A21" s="3190" t="s">
        <v>1106</v>
      </c>
      <c r="B21" s="3194"/>
      <c r="C21" s="3194"/>
      <c r="D21" s="3194"/>
      <c r="E21" s="3194"/>
      <c r="F21" s="3194"/>
      <c r="G21" s="3194"/>
      <c r="H21" s="1765">
        <v>0.1</v>
      </c>
      <c r="I21" s="1310">
        <f>ROUND(I10*H21,0)</f>
        <v>0</v>
      </c>
    </row>
    <row r="22" spans="1:9" ht="14.25">
      <c r="A22" s="3195" t="s">
        <v>1107</v>
      </c>
      <c r="B22" s="3196"/>
      <c r="C22" s="3197"/>
      <c r="D22" s="1317" t="s">
        <v>1108</v>
      </c>
      <c r="E22" s="1317" t="s">
        <v>1109</v>
      </c>
      <c r="F22" s="1318" t="s">
        <v>1110</v>
      </c>
      <c r="G22" s="1318" t="s">
        <v>1111</v>
      </c>
      <c r="H22" s="1311" t="s">
        <v>1112</v>
      </c>
      <c r="I22" s="1302" t="s">
        <v>1113</v>
      </c>
    </row>
    <row r="23" spans="1:9" ht="14.25" thickBot="1">
      <c r="A23" s="3198"/>
      <c r="B23" s="3199"/>
      <c r="C23" s="3200"/>
      <c r="D23" s="1319"/>
      <c r="E23" s="1319"/>
      <c r="F23" s="1319"/>
      <c r="G23" s="1320"/>
      <c r="H23" s="1321"/>
      <c r="I23" s="1322">
        <f>ROUND(E23*D23*F23*(1-G23)/10000,0)</f>
        <v>0</v>
      </c>
    </row>
    <row r="26" spans="1:9">
      <c r="A26" s="1323" t="s">
        <v>1114</v>
      </c>
      <c r="B26" s="1323"/>
      <c r="C26" s="1323"/>
      <c r="D26" s="1323"/>
      <c r="E26" s="3201">
        <f>C27-C30-C31-C32</f>
        <v>0</v>
      </c>
      <c r="F26" s="3201"/>
      <c r="G26" s="3201"/>
      <c r="H26" s="1737" t="s">
        <v>1336</v>
      </c>
    </row>
    <row r="27" spans="1:9">
      <c r="A27" s="1324">
        <v>1</v>
      </c>
      <c r="B27" s="1325" t="s">
        <v>1115</v>
      </c>
      <c r="C27" s="1325">
        <f>C28+C29</f>
        <v>0</v>
      </c>
      <c r="D27" s="1325"/>
      <c r="E27" s="3202"/>
      <c r="F27" s="3202"/>
      <c r="G27" s="3202"/>
    </row>
    <row r="28" spans="1:9">
      <c r="A28" s="1326" t="s">
        <v>1116</v>
      </c>
      <c r="B28" s="1325" t="s">
        <v>1117</v>
      </c>
      <c r="C28" s="1325"/>
      <c r="D28" s="1325"/>
      <c r="E28" s="3202"/>
      <c r="F28" s="3202"/>
      <c r="G28" s="3202"/>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93"/>
      <c r="F32" s="3193"/>
      <c r="G32" s="3193"/>
    </row>
    <row r="33" spans="1:7" hidden="1">
      <c r="A33" s="3203" t="s">
        <v>1126</v>
      </c>
      <c r="B33" s="3204"/>
      <c r="C33" s="3204"/>
      <c r="D33" s="3205"/>
      <c r="E33" s="3201"/>
      <c r="F33" s="3201"/>
      <c r="G33" s="3201"/>
    </row>
    <row r="34" spans="1:7" hidden="1">
      <c r="A34" s="1328">
        <v>1</v>
      </c>
      <c r="B34" s="1325" t="s">
        <v>1127</v>
      </c>
      <c r="C34" s="1325"/>
      <c r="D34" s="1325"/>
      <c r="E34" s="3202"/>
      <c r="F34" s="3202"/>
      <c r="G34" s="3202"/>
    </row>
    <row r="35" spans="1:7" hidden="1">
      <c r="A35" s="1328">
        <v>2</v>
      </c>
      <c r="B35" s="1325" t="s">
        <v>1128</v>
      </c>
      <c r="C35" s="1325"/>
      <c r="D35" s="1325"/>
      <c r="E35" s="3202"/>
      <c r="F35" s="3202"/>
      <c r="G35" s="3202"/>
    </row>
    <row r="36" spans="1:7" hidden="1">
      <c r="A36" s="1328">
        <v>3</v>
      </c>
      <c r="B36" s="1325" t="s">
        <v>1129</v>
      </c>
      <c r="C36" s="1325"/>
      <c r="D36" s="1325"/>
      <c r="E36" s="3202"/>
      <c r="F36" s="3202"/>
      <c r="G36" s="3202"/>
    </row>
    <row r="37" spans="1:7" hidden="1">
      <c r="A37" s="1328">
        <v>4</v>
      </c>
      <c r="B37" s="1325" t="s">
        <v>1130</v>
      </c>
      <c r="C37" s="1325"/>
      <c r="D37" s="1325"/>
      <c r="E37" s="3202"/>
      <c r="F37" s="3202"/>
      <c r="G37" s="3202"/>
    </row>
    <row r="38" spans="1:7" hidden="1">
      <c r="A38" s="3203" t="s">
        <v>1131</v>
      </c>
      <c r="B38" s="3204"/>
      <c r="C38" s="3204"/>
      <c r="D38" s="3205"/>
      <c r="E38" s="3201"/>
      <c r="F38" s="3201"/>
      <c r="G38" s="320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80" t="s">
        <v>2520</v>
      </c>
      <c r="C1" s="1634" t="s">
        <v>2521</v>
      </c>
      <c r="D1" s="1621"/>
      <c r="E1" s="2581"/>
      <c r="F1" s="2582" t="s">
        <v>2522</v>
      </c>
      <c r="G1" s="1631" t="s">
        <v>2523</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84"/>
      <c r="D2" s="1365" t="e">
        <f ca="1">SUMIF(INDIRECT("'"&amp;F2&amp;"'"&amp;"!A:A"),"承租人权益价值",INDIRECT("'"&amp;F2&amp;"'"&amp;"!c:c"))</f>
        <v>#REF!</v>
      </c>
      <c r="E2" s="2585" t="s">
        <v>2524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1390</v>
      </c>
      <c r="B3" s="399" t="e">
        <f ca="1">IF(C2="——",C49,ROUND(B2*10000/D3,0))</f>
        <v>#DIV/0!</v>
      </c>
      <c r="C3" s="400" t="s">
        <v>2525</v>
      </c>
      <c r="D3" s="399">
        <f>IF(D1="",'数据-汇总表'!E3,SUMIF('数据-汇总表'!$C19:$C33,D1,'数据-汇总表'!$E19:$E33))</f>
        <v>8276.64</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2526</v>
      </c>
      <c r="B4" s="402"/>
      <c r="C4" s="3224" t="s">
        <v>2527</v>
      </c>
      <c r="D4" s="3225"/>
      <c r="E4" s="3226" t="s">
        <v>2528</v>
      </c>
      <c r="F4" s="3227"/>
      <c r="G4" s="3224" t="s">
        <v>2529</v>
      </c>
      <c r="H4" s="3225"/>
      <c r="I4" s="3224" t="s">
        <v>2530</v>
      </c>
      <c r="J4" s="3225"/>
      <c r="K4" s="2594" t="s">
        <v>2531</v>
      </c>
      <c r="L4" s="1130"/>
      <c r="M4" s="1131"/>
      <c r="N4" s="1131"/>
      <c r="O4" s="1131"/>
      <c r="P4" s="3228" t="s">
        <v>2532</v>
      </c>
      <c r="Q4" s="3229"/>
      <c r="R4" s="3211" t="s">
        <v>2528</v>
      </c>
      <c r="S4" s="3212"/>
      <c r="T4" s="3211" t="s">
        <v>2529</v>
      </c>
      <c r="U4" s="3212"/>
      <c r="V4" s="3236" t="s">
        <v>2530</v>
      </c>
      <c r="W4" s="3236"/>
      <c r="X4" s="1813"/>
      <c r="Y4" s="3211" t="s">
        <v>2532</v>
      </c>
      <c r="Z4" s="3212"/>
      <c r="AA4" s="3206" t="s">
        <v>2528</v>
      </c>
      <c r="AB4" s="3206" t="s">
        <v>2529</v>
      </c>
      <c r="AC4" s="3206" t="s">
        <v>2530</v>
      </c>
    </row>
    <row r="5" spans="1:29" ht="15">
      <c r="A5" s="404"/>
      <c r="B5" s="405"/>
      <c r="C5" s="3217" t="s">
        <v>2533</v>
      </c>
      <c r="D5" s="3218"/>
      <c r="E5" s="3215" t="s">
        <v>2534</v>
      </c>
      <c r="F5" s="3216"/>
      <c r="G5" s="3217" t="s">
        <v>2535</v>
      </c>
      <c r="H5" s="3218"/>
      <c r="I5" s="3217" t="s">
        <v>2536</v>
      </c>
      <c r="J5" s="3218"/>
      <c r="K5" s="2595"/>
      <c r="L5" s="1130"/>
      <c r="M5" s="1131"/>
      <c r="N5" s="1131"/>
      <c r="O5" s="1131"/>
      <c r="P5" s="3230"/>
      <c r="Q5" s="3231"/>
      <c r="R5" s="3213"/>
      <c r="S5" s="3214"/>
      <c r="T5" s="3213"/>
      <c r="U5" s="3214"/>
      <c r="V5" s="3236"/>
      <c r="W5" s="3236"/>
      <c r="X5" s="1813"/>
      <c r="Y5" s="3213"/>
      <c r="Z5" s="3214"/>
      <c r="AA5" s="3207"/>
      <c r="AB5" s="3207"/>
      <c r="AC5" s="3207"/>
    </row>
    <row r="6" spans="1:29" ht="15.75" thickBot="1">
      <c r="A6" s="406"/>
      <c r="B6" s="407"/>
      <c r="C6" s="3219" t="s">
        <v>2537</v>
      </c>
      <c r="D6" s="3220"/>
      <c r="E6" s="3221" t="s">
        <v>2537</v>
      </c>
      <c r="F6" s="3222"/>
      <c r="G6" s="3219" t="s">
        <v>2537</v>
      </c>
      <c r="H6" s="3220"/>
      <c r="I6" s="3219" t="s">
        <v>2537</v>
      </c>
      <c r="J6" s="3220"/>
      <c r="K6" s="2595" t="s">
        <v>2538</v>
      </c>
      <c r="L6" s="1130"/>
      <c r="M6" s="1131"/>
      <c r="N6" s="1131"/>
      <c r="O6" s="1131"/>
      <c r="P6" s="3232"/>
      <c r="Q6" s="3233"/>
      <c r="R6" s="3213"/>
      <c r="S6" s="3214"/>
      <c r="T6" s="3234"/>
      <c r="U6" s="3235"/>
      <c r="V6" s="3236"/>
      <c r="W6" s="3236"/>
      <c r="X6" s="1813"/>
      <c r="Y6" s="3234"/>
      <c r="Z6" s="3235"/>
      <c r="AA6" s="3208"/>
      <c r="AB6" s="3208"/>
      <c r="AC6" s="3208"/>
    </row>
    <row r="7" spans="1:29" s="117" customFormat="1" ht="15.75" thickBot="1">
      <c r="A7" s="408" t="s">
        <v>2539</v>
      </c>
      <c r="B7" s="409"/>
      <c r="C7" s="410">
        <f>'数据-取费表'!B2</f>
        <v>43822</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209" t="s">
        <v>2540</v>
      </c>
      <c r="Q7" s="3237"/>
      <c r="R7" s="770" t="s">
        <v>23</v>
      </c>
      <c r="S7" s="771">
        <f t="shared" ref="S7:S15" si="0">F7</f>
        <v>0</v>
      </c>
      <c r="T7" s="770" t="s">
        <v>23</v>
      </c>
      <c r="U7" s="771">
        <f t="shared" ref="U7:U15" si="1">H7</f>
        <v>0</v>
      </c>
      <c r="V7" s="770" t="s">
        <v>23</v>
      </c>
      <c r="W7" s="771">
        <f t="shared" ref="W7:W15" si="2">J7</f>
        <v>0</v>
      </c>
      <c r="X7" s="772"/>
      <c r="Y7" s="3209" t="s">
        <v>2540</v>
      </c>
      <c r="Z7" s="3210"/>
      <c r="AA7" s="773" t="e">
        <f>D7/F7</f>
        <v>#DIV/0!</v>
      </c>
      <c r="AB7" s="773" t="e">
        <f>D7/H7</f>
        <v>#DIV/0!</v>
      </c>
      <c r="AC7" s="773" t="e">
        <f>D7/J7</f>
        <v>#DIV/0!</v>
      </c>
    </row>
    <row r="8" spans="1:29" s="117" customFormat="1" ht="15.75" thickBot="1">
      <c r="A8" s="408" t="s">
        <v>2541</v>
      </c>
      <c r="B8" s="409"/>
      <c r="C8" s="414" t="s">
        <v>2542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209" t="s">
        <v>2543</v>
      </c>
      <c r="Q8" s="3210"/>
      <c r="R8" s="770" t="s">
        <v>23</v>
      </c>
      <c r="S8" s="771">
        <f t="shared" si="0"/>
        <v>0</v>
      </c>
      <c r="T8" s="770" t="s">
        <v>23</v>
      </c>
      <c r="U8" s="771">
        <f t="shared" si="1"/>
        <v>0</v>
      </c>
      <c r="V8" s="770" t="s">
        <v>23</v>
      </c>
      <c r="W8" s="771">
        <f t="shared" si="2"/>
        <v>0</v>
      </c>
      <c r="X8" s="772"/>
      <c r="Y8" s="3209" t="s">
        <v>2543</v>
      </c>
      <c r="Z8" s="3210"/>
      <c r="AA8" s="773" t="e">
        <f t="shared" ref="AA8:AA19" si="3">D8/F8</f>
        <v>#DIV/0!</v>
      </c>
      <c r="AB8" s="773" t="e">
        <f t="shared" ref="AB8:AB19" si="4">D8/H8</f>
        <v>#DIV/0!</v>
      </c>
      <c r="AC8" s="773"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223" t="s">
        <v>2546</v>
      </c>
      <c r="Q9" s="1795"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23"/>
      <c r="Q11" s="1795"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223"/>
      <c r="Q12" s="1795">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223"/>
      <c r="Q13" s="1795">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223"/>
      <c r="Q14" s="1795">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2550</v>
      </c>
      <c r="B15" s="69" t="s">
        <v>2080</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0" t="s">
        <v>2551</v>
      </c>
      <c r="Q15" s="1810" t="str">
        <f t="shared" si="6"/>
        <v>居住社区成熟度</v>
      </c>
      <c r="R15" s="774" t="s">
        <v>21</v>
      </c>
      <c r="S15" s="775">
        <f t="shared" si="0"/>
        <v>100</v>
      </c>
      <c r="T15" s="774" t="s">
        <v>21</v>
      </c>
      <c r="U15" s="775">
        <f t="shared" si="1"/>
        <v>100</v>
      </c>
      <c r="V15" s="774" t="s">
        <v>21</v>
      </c>
      <c r="W15" s="775">
        <f t="shared" si="2"/>
        <v>100</v>
      </c>
      <c r="X15" s="1813"/>
      <c r="Y15" s="3243" t="s">
        <v>2551</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51"/>
      <c r="Q16" s="1810"/>
      <c r="R16" s="774"/>
      <c r="S16" s="775"/>
      <c r="T16" s="774"/>
      <c r="U16" s="775"/>
      <c r="V16" s="774"/>
      <c r="W16" s="775"/>
      <c r="X16" s="1813"/>
      <c r="Y16" s="3244"/>
      <c r="Z16" s="1814"/>
      <c r="AA16" s="1811">
        <v>1</v>
      </c>
      <c r="AB16" s="1811">
        <v>1</v>
      </c>
      <c r="AC16" s="1811">
        <v>1</v>
      </c>
    </row>
    <row r="17" spans="1:29" ht="15">
      <c r="A17" s="428"/>
      <c r="B17" s="451" t="s">
        <v>2091</v>
      </c>
      <c r="C17" s="2605"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1"/>
      <c r="Q17" s="1810" t="str">
        <f>B17</f>
        <v>交通便捷度</v>
      </c>
      <c r="R17" s="774" t="s">
        <v>21</v>
      </c>
      <c r="S17" s="775">
        <f>F17</f>
        <v>100</v>
      </c>
      <c r="T17" s="774" t="s">
        <v>21</v>
      </c>
      <c r="U17" s="775">
        <f>H17</f>
        <v>100</v>
      </c>
      <c r="V17" s="774" t="s">
        <v>21</v>
      </c>
      <c r="W17" s="775">
        <f>J17</f>
        <v>100</v>
      </c>
      <c r="X17" s="1813"/>
      <c r="Y17" s="3244"/>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51"/>
      <c r="Q18" s="1810"/>
      <c r="R18" s="774"/>
      <c r="S18" s="775"/>
      <c r="T18" s="774"/>
      <c r="U18" s="775"/>
      <c r="V18" s="774"/>
      <c r="W18" s="775"/>
      <c r="X18" s="1813"/>
      <c r="Y18" s="3244"/>
      <c r="Z18" s="1814"/>
      <c r="AA18" s="1811">
        <v>1</v>
      </c>
      <c r="AB18" s="1811">
        <v>1</v>
      </c>
      <c r="AC18" s="1811">
        <v>1</v>
      </c>
    </row>
    <row r="19" spans="1:29" ht="15">
      <c r="A19" s="428"/>
      <c r="B19" s="451" t="s">
        <v>2089</v>
      </c>
      <c r="C19" s="2605"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1"/>
      <c r="Q19" s="1810" t="str">
        <f>B19</f>
        <v>公共配套设施</v>
      </c>
      <c r="R19" s="774" t="s">
        <v>21</v>
      </c>
      <c r="S19" s="775">
        <f>F19</f>
        <v>100</v>
      </c>
      <c r="T19" s="774" t="s">
        <v>21</v>
      </c>
      <c r="U19" s="775">
        <f>H19</f>
        <v>100</v>
      </c>
      <c r="V19" s="774" t="s">
        <v>21</v>
      </c>
      <c r="W19" s="775">
        <f>J19</f>
        <v>100</v>
      </c>
      <c r="X19" s="1813"/>
      <c r="Y19" s="3244"/>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51"/>
      <c r="Q20" s="1810"/>
      <c r="R20" s="774"/>
      <c r="S20" s="775"/>
      <c r="T20" s="774"/>
      <c r="U20" s="775"/>
      <c r="V20" s="774"/>
      <c r="W20" s="775"/>
      <c r="X20" s="1813"/>
      <c r="Y20" s="3244"/>
      <c r="Z20" s="1814"/>
      <c r="AA20" s="1811">
        <v>1</v>
      </c>
      <c r="AB20" s="1811">
        <v>1</v>
      </c>
      <c r="AC20" s="1811">
        <v>1</v>
      </c>
    </row>
    <row r="21" spans="1:29" ht="15">
      <c r="A21" s="428"/>
      <c r="B21" s="1384" t="s">
        <v>2092</v>
      </c>
      <c r="C21" s="2605"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1"/>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51"/>
      <c r="Q22" s="1810"/>
      <c r="R22" s="774"/>
      <c r="S22" s="775"/>
      <c r="T22" s="774"/>
      <c r="U22" s="775"/>
      <c r="V22" s="774"/>
      <c r="W22" s="775"/>
      <c r="X22" s="1813"/>
      <c r="Y22" s="3244"/>
      <c r="Z22" s="1814"/>
      <c r="AA22" s="1811">
        <v>1</v>
      </c>
      <c r="AB22" s="1811">
        <v>1</v>
      </c>
      <c r="AC22" s="1811">
        <v>1</v>
      </c>
    </row>
    <row r="23" spans="1:29" ht="15">
      <c r="A23" s="428"/>
      <c r="B23" s="451" t="s">
        <v>2096</v>
      </c>
      <c r="C23" s="2605"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1"/>
      <c r="Q23" s="1810" t="str">
        <f>B23</f>
        <v>自然及人文环境</v>
      </c>
      <c r="R23" s="774" t="s">
        <v>21</v>
      </c>
      <c r="S23" s="775">
        <f>F23</f>
        <v>100</v>
      </c>
      <c r="T23" s="774" t="s">
        <v>21</v>
      </c>
      <c r="U23" s="775">
        <f>H23</f>
        <v>100</v>
      </c>
      <c r="V23" s="774" t="s">
        <v>21</v>
      </c>
      <c r="W23" s="775">
        <f>J23</f>
        <v>100</v>
      </c>
      <c r="X23" s="1813"/>
      <c r="Y23" s="3244"/>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51"/>
      <c r="Q24" s="1810"/>
      <c r="R24" s="774"/>
      <c r="S24" s="775"/>
      <c r="T24" s="774"/>
      <c r="U24" s="775"/>
      <c r="V24" s="774"/>
      <c r="W24" s="775"/>
      <c r="X24" s="1813"/>
      <c r="Y24" s="3244"/>
      <c r="Z24" s="1814"/>
      <c r="AA24" s="1811">
        <v>1</v>
      </c>
      <c r="AB24" s="1811">
        <v>1</v>
      </c>
      <c r="AC24" s="1811">
        <v>1</v>
      </c>
    </row>
    <row r="25" spans="1:29" ht="15">
      <c r="A25" s="428"/>
      <c r="B25" s="422" t="s">
        <v>2552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51"/>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44"/>
      <c r="Z25" s="1814" t="str">
        <f>Q25</f>
        <v>楼层-1</v>
      </c>
      <c r="AA25" s="1811">
        <f t="shared" ref="AA25:AA46" si="15">D25/F25</f>
        <v>1</v>
      </c>
      <c r="AB25" s="1811">
        <f t="shared" ref="AB25:AB46" si="16">D25/H25</f>
        <v>1</v>
      </c>
      <c r="AC25" s="1811">
        <f t="shared" ref="AC25:AC46" si="17">D25/J25</f>
        <v>1</v>
      </c>
    </row>
    <row r="26" spans="1:29" ht="15">
      <c r="A26" s="428"/>
      <c r="B26" s="422" t="s">
        <v>2553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51"/>
      <c r="Q26" s="1810" t="str">
        <f t="shared" si="11"/>
        <v>朝向</v>
      </c>
      <c r="R26" s="774" t="s">
        <v>21</v>
      </c>
      <c r="S26" s="775">
        <f t="shared" si="12"/>
        <v>100</v>
      </c>
      <c r="T26" s="774" t="s">
        <v>21</v>
      </c>
      <c r="U26" s="775">
        <f t="shared" si="13"/>
        <v>100</v>
      </c>
      <c r="V26" s="774" t="s">
        <v>21</v>
      </c>
      <c r="W26" s="775">
        <f t="shared" si="14"/>
        <v>100</v>
      </c>
      <c r="X26" s="1813"/>
      <c r="Y26" s="3244"/>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51"/>
      <c r="Q27" s="1795">
        <f t="shared" si="11"/>
        <v>111</v>
      </c>
      <c r="R27" s="770" t="s">
        <v>21</v>
      </c>
      <c r="S27" s="771">
        <f t="shared" si="12"/>
        <v>100</v>
      </c>
      <c r="T27" s="770" t="s">
        <v>21</v>
      </c>
      <c r="U27" s="771">
        <f t="shared" si="13"/>
        <v>100</v>
      </c>
      <c r="V27" s="770" t="s">
        <v>21</v>
      </c>
      <c r="W27" s="771">
        <f t="shared" si="14"/>
        <v>100</v>
      </c>
      <c r="X27" s="772"/>
      <c r="Y27" s="3244"/>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51"/>
      <c r="Q28" s="1810">
        <f t="shared" si="11"/>
        <v>111</v>
      </c>
      <c r="R28" s="774" t="s">
        <v>21</v>
      </c>
      <c r="S28" s="775">
        <f t="shared" si="12"/>
        <v>100</v>
      </c>
      <c r="T28" s="774" t="s">
        <v>21</v>
      </c>
      <c r="U28" s="775">
        <f t="shared" si="13"/>
        <v>100</v>
      </c>
      <c r="V28" s="774" t="s">
        <v>21</v>
      </c>
      <c r="W28" s="775">
        <f t="shared" si="14"/>
        <v>100</v>
      </c>
      <c r="X28" s="1813"/>
      <c r="Y28" s="3244"/>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51"/>
      <c r="Q29" s="1810">
        <f t="shared" si="11"/>
        <v>111</v>
      </c>
      <c r="R29" s="774" t="s">
        <v>21</v>
      </c>
      <c r="S29" s="775">
        <f t="shared" si="12"/>
        <v>100</v>
      </c>
      <c r="T29" s="774" t="s">
        <v>21</v>
      </c>
      <c r="U29" s="775">
        <f t="shared" si="13"/>
        <v>100</v>
      </c>
      <c r="V29" s="774" t="s">
        <v>21</v>
      </c>
      <c r="W29" s="775">
        <f t="shared" si="14"/>
        <v>100</v>
      </c>
      <c r="X29" s="1813"/>
      <c r="Y29" s="3244"/>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51"/>
      <c r="Q30" s="1810">
        <f t="shared" si="11"/>
        <v>111</v>
      </c>
      <c r="R30" s="774" t="s">
        <v>21</v>
      </c>
      <c r="S30" s="775">
        <f t="shared" si="12"/>
        <v>100</v>
      </c>
      <c r="T30" s="774" t="s">
        <v>21</v>
      </c>
      <c r="U30" s="775">
        <f t="shared" si="13"/>
        <v>100</v>
      </c>
      <c r="V30" s="774" t="s">
        <v>21</v>
      </c>
      <c r="W30" s="775">
        <f t="shared" si="14"/>
        <v>100</v>
      </c>
      <c r="X30" s="1813"/>
      <c r="Y30" s="3244"/>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51"/>
      <c r="Q31" s="1810">
        <f t="shared" si="11"/>
        <v>111</v>
      </c>
      <c r="R31" s="774" t="s">
        <v>21</v>
      </c>
      <c r="S31" s="775">
        <f t="shared" si="12"/>
        <v>100</v>
      </c>
      <c r="T31" s="774" t="s">
        <v>21</v>
      </c>
      <c r="U31" s="775">
        <f t="shared" si="13"/>
        <v>100</v>
      </c>
      <c r="V31" s="774" t="s">
        <v>21</v>
      </c>
      <c r="W31" s="775">
        <f t="shared" si="14"/>
        <v>100</v>
      </c>
      <c r="X31" s="1813"/>
      <c r="Y31" s="3244"/>
      <c r="Z31" s="1814">
        <f t="shared" si="18"/>
        <v>111</v>
      </c>
      <c r="AA31" s="1811">
        <f t="shared" si="15"/>
        <v>1</v>
      </c>
      <c r="AB31" s="1811">
        <f t="shared" si="16"/>
        <v>1</v>
      </c>
      <c r="AC31" s="1811">
        <f t="shared" si="17"/>
        <v>1</v>
      </c>
    </row>
    <row r="32" spans="1:29" ht="15">
      <c r="A32" s="440" t="s">
        <v>2554</v>
      </c>
      <c r="B32" s="71" t="s">
        <v>2555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45" t="s">
        <v>2556</v>
      </c>
      <c r="Q32" s="1810" t="str">
        <f t="shared" si="11"/>
        <v>建筑类型</v>
      </c>
      <c r="R32" s="774" t="s">
        <v>21</v>
      </c>
      <c r="S32" s="775">
        <f t="shared" si="12"/>
        <v>100</v>
      </c>
      <c r="T32" s="774" t="s">
        <v>21</v>
      </c>
      <c r="U32" s="775">
        <f t="shared" si="13"/>
        <v>100</v>
      </c>
      <c r="V32" s="774" t="s">
        <v>21</v>
      </c>
      <c r="W32" s="775">
        <f t="shared" si="14"/>
        <v>100</v>
      </c>
      <c r="X32" s="1813"/>
      <c r="Y32" s="3248" t="s">
        <v>2556</v>
      </c>
      <c r="Z32" s="1814" t="str">
        <f t="shared" si="18"/>
        <v>建筑类型</v>
      </c>
      <c r="AA32" s="1811">
        <f t="shared" si="15"/>
        <v>1</v>
      </c>
      <c r="AB32" s="1811">
        <f t="shared" si="16"/>
        <v>1</v>
      </c>
      <c r="AC32" s="1811">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46"/>
      <c r="Q33" s="776" t="str">
        <f t="shared" si="11"/>
        <v>项目建筑规模</v>
      </c>
      <c r="R33" s="777" t="s">
        <v>21</v>
      </c>
      <c r="S33" s="778" t="e">
        <f t="shared" si="12"/>
        <v>#N/A</v>
      </c>
      <c r="T33" s="777" t="s">
        <v>21</v>
      </c>
      <c r="U33" s="778" t="e">
        <f t="shared" si="13"/>
        <v>#N/A</v>
      </c>
      <c r="V33" s="777" t="s">
        <v>21</v>
      </c>
      <c r="W33" s="778" t="e">
        <f t="shared" si="14"/>
        <v>#N/A</v>
      </c>
      <c r="X33" s="779"/>
      <c r="Y33" s="3248"/>
      <c r="Z33" s="780" t="str">
        <f t="shared" si="18"/>
        <v>项目建筑规模</v>
      </c>
      <c r="AA33" s="1811" t="e">
        <f t="shared" si="15"/>
        <v>#N/A</v>
      </c>
      <c r="AB33" s="1811" t="e">
        <f t="shared" si="16"/>
        <v>#N/A</v>
      </c>
      <c r="AC33" s="1811" t="e">
        <f t="shared" si="17"/>
        <v>#N/A</v>
      </c>
    </row>
    <row r="34" spans="1:29" ht="15">
      <c r="A34" s="472"/>
      <c r="B34" s="422" t="s">
        <v>2558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46"/>
      <c r="Q34" s="1810" t="str">
        <f t="shared" si="11"/>
        <v>建筑结构</v>
      </c>
      <c r="R34" s="774" t="s">
        <v>21</v>
      </c>
      <c r="S34" s="775">
        <f t="shared" si="12"/>
        <v>100</v>
      </c>
      <c r="T34" s="774" t="s">
        <v>21</v>
      </c>
      <c r="U34" s="775">
        <f t="shared" si="13"/>
        <v>100</v>
      </c>
      <c r="V34" s="774" t="s">
        <v>21</v>
      </c>
      <c r="W34" s="775">
        <f t="shared" si="14"/>
        <v>100</v>
      </c>
      <c r="X34" s="1813"/>
      <c r="Y34" s="3248"/>
      <c r="Z34" s="1814" t="str">
        <f t="shared" si="18"/>
        <v>建筑结构</v>
      </c>
      <c r="AA34" s="1811">
        <f t="shared" si="15"/>
        <v>1</v>
      </c>
      <c r="AB34" s="1811">
        <f t="shared" si="16"/>
        <v>1</v>
      </c>
      <c r="AC34" s="1811">
        <f t="shared" si="17"/>
        <v>1</v>
      </c>
    </row>
    <row r="35" spans="1:29" ht="15">
      <c r="A35" s="472"/>
      <c r="B35" s="422" t="s">
        <v>2559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46"/>
      <c r="Q35" s="1810" t="str">
        <f t="shared" si="11"/>
        <v>建筑品质</v>
      </c>
      <c r="R35" s="774" t="s">
        <v>21</v>
      </c>
      <c r="S35" s="775">
        <f t="shared" si="12"/>
        <v>100</v>
      </c>
      <c r="T35" s="774" t="s">
        <v>21</v>
      </c>
      <c r="U35" s="775">
        <f t="shared" si="13"/>
        <v>100</v>
      </c>
      <c r="V35" s="774" t="s">
        <v>21</v>
      </c>
      <c r="W35" s="775">
        <f t="shared" si="14"/>
        <v>100</v>
      </c>
      <c r="X35" s="1813"/>
      <c r="Y35" s="3248"/>
      <c r="Z35" s="1814" t="str">
        <f t="shared" si="18"/>
        <v>建筑品质</v>
      </c>
      <c r="AA35" s="1811">
        <f t="shared" si="15"/>
        <v>1</v>
      </c>
      <c r="AB35" s="1811">
        <f t="shared" si="16"/>
        <v>1</v>
      </c>
      <c r="AC35" s="1811">
        <f t="shared" si="17"/>
        <v>1</v>
      </c>
    </row>
    <row r="36" spans="1:29" ht="15">
      <c r="A36" s="472"/>
      <c r="B36" s="422" t="s">
        <v>2560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46"/>
      <c r="Q36" s="1810" t="str">
        <f t="shared" si="11"/>
        <v>公共部分装修</v>
      </c>
      <c r="R36" s="774" t="s">
        <v>21</v>
      </c>
      <c r="S36" s="775">
        <f t="shared" si="12"/>
        <v>100</v>
      </c>
      <c r="T36" s="774" t="s">
        <v>21</v>
      </c>
      <c r="U36" s="775">
        <f t="shared" si="13"/>
        <v>100</v>
      </c>
      <c r="V36" s="774" t="s">
        <v>21</v>
      </c>
      <c r="W36" s="775">
        <f t="shared" si="14"/>
        <v>100</v>
      </c>
      <c r="X36" s="1813"/>
      <c r="Y36" s="3248"/>
      <c r="Z36" s="1814" t="str">
        <f t="shared" si="18"/>
        <v>公共部分装修</v>
      </c>
      <c r="AA36" s="1811">
        <f t="shared" si="15"/>
        <v>1</v>
      </c>
      <c r="AB36" s="1811">
        <f t="shared" si="16"/>
        <v>1</v>
      </c>
      <c r="AC36" s="1811">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6"/>
      <c r="Q37" s="1795" t="str">
        <f t="shared" si="11"/>
        <v>成新度</v>
      </c>
      <c r="R37" s="770" t="s">
        <v>21</v>
      </c>
      <c r="S37" s="771" t="e">
        <f t="shared" si="12"/>
        <v>#N/A</v>
      </c>
      <c r="T37" s="770" t="s">
        <v>21</v>
      </c>
      <c r="U37" s="771" t="e">
        <f t="shared" si="13"/>
        <v>#N/A</v>
      </c>
      <c r="V37" s="770" t="s">
        <v>21</v>
      </c>
      <c r="W37" s="771" t="e">
        <f t="shared" si="14"/>
        <v>#N/A</v>
      </c>
      <c r="X37" s="772"/>
      <c r="Y37" s="3248"/>
      <c r="Z37" s="55" t="str">
        <f t="shared" si="18"/>
        <v>成新度</v>
      </c>
      <c r="AA37" s="773" t="e">
        <f t="shared" si="15"/>
        <v>#N/A</v>
      </c>
      <c r="AB37" s="773" t="e">
        <f t="shared" si="16"/>
        <v>#N/A</v>
      </c>
      <c r="AC37" s="773" t="e">
        <f t="shared" si="17"/>
        <v>#N/A</v>
      </c>
    </row>
    <row r="38" spans="1:29" ht="15">
      <c r="A38" s="472"/>
      <c r="B38" s="422" t="s">
        <v>2562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46" t="s">
        <v>2556</v>
      </c>
      <c r="Q38" s="1810" t="str">
        <f t="shared" si="11"/>
        <v>物业管理</v>
      </c>
      <c r="R38" s="774" t="s">
        <v>21</v>
      </c>
      <c r="S38" s="775">
        <f t="shared" si="12"/>
        <v>100</v>
      </c>
      <c r="T38" s="774" t="s">
        <v>21</v>
      </c>
      <c r="U38" s="775">
        <f t="shared" si="13"/>
        <v>100</v>
      </c>
      <c r="V38" s="774" t="s">
        <v>21</v>
      </c>
      <c r="W38" s="775">
        <f t="shared" si="14"/>
        <v>100</v>
      </c>
      <c r="X38" s="1813"/>
      <c r="Y38" s="3248" t="s">
        <v>2556</v>
      </c>
      <c r="Z38" s="1814" t="str">
        <f t="shared" si="18"/>
        <v>物业管理</v>
      </c>
      <c r="AA38" s="1811">
        <f t="shared" si="15"/>
        <v>1</v>
      </c>
      <c r="AB38" s="1811">
        <f t="shared" si="16"/>
        <v>1</v>
      </c>
      <c r="AC38" s="1811">
        <f t="shared" si="17"/>
        <v>1</v>
      </c>
    </row>
    <row r="39" spans="1:29" ht="15">
      <c r="A39" s="472"/>
      <c r="B39" s="422" t="s">
        <v>2563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46"/>
      <c r="Q39" s="1810" t="str">
        <f t="shared" si="11"/>
        <v>市政基础设施</v>
      </c>
      <c r="R39" s="774" t="s">
        <v>21</v>
      </c>
      <c r="S39" s="775">
        <f t="shared" si="12"/>
        <v>100</v>
      </c>
      <c r="T39" s="774" t="s">
        <v>21</v>
      </c>
      <c r="U39" s="775">
        <f t="shared" si="13"/>
        <v>100</v>
      </c>
      <c r="V39" s="774" t="s">
        <v>21</v>
      </c>
      <c r="W39" s="775">
        <f t="shared" si="14"/>
        <v>100</v>
      </c>
      <c r="X39" s="1813"/>
      <c r="Y39" s="3248"/>
      <c r="Z39" s="1814" t="str">
        <f t="shared" si="18"/>
        <v>市政基础设施</v>
      </c>
      <c r="AA39" s="1811">
        <f t="shared" si="15"/>
        <v>1</v>
      </c>
      <c r="AB39" s="1811">
        <f t="shared" si="16"/>
        <v>1</v>
      </c>
      <c r="AC39" s="1811">
        <f t="shared" si="17"/>
        <v>1</v>
      </c>
    </row>
    <row r="40" spans="1:29" ht="15">
      <c r="A40" s="472"/>
      <c r="B40" s="422" t="s">
        <v>2564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46"/>
      <c r="Q40" s="1810" t="str">
        <f t="shared" si="11"/>
        <v>房型</v>
      </c>
      <c r="R40" s="774" t="s">
        <v>21</v>
      </c>
      <c r="S40" s="775">
        <f t="shared" si="12"/>
        <v>100</v>
      </c>
      <c r="T40" s="774" t="s">
        <v>21</v>
      </c>
      <c r="U40" s="775">
        <f t="shared" si="13"/>
        <v>100</v>
      </c>
      <c r="V40" s="774" t="s">
        <v>21</v>
      </c>
      <c r="W40" s="775">
        <f t="shared" si="14"/>
        <v>100</v>
      </c>
      <c r="X40" s="1813"/>
      <c r="Y40" s="3248"/>
      <c r="Z40" s="1814" t="str">
        <f t="shared" si="18"/>
        <v>房型</v>
      </c>
      <c r="AA40" s="1811">
        <f t="shared" si="15"/>
        <v>1</v>
      </c>
      <c r="AB40" s="1811">
        <f t="shared" si="16"/>
        <v>1</v>
      </c>
      <c r="AC40" s="1811">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46"/>
      <c r="Q41" s="776" t="str">
        <f t="shared" si="11"/>
        <v>单套/主力户型建筑面积</v>
      </c>
      <c r="R41" s="777" t="s">
        <v>21</v>
      </c>
      <c r="S41" s="778">
        <f t="shared" si="12"/>
        <v>100</v>
      </c>
      <c r="T41" s="777" t="s">
        <v>21</v>
      </c>
      <c r="U41" s="778">
        <f t="shared" si="13"/>
        <v>100</v>
      </c>
      <c r="V41" s="777" t="s">
        <v>21</v>
      </c>
      <c r="W41" s="778">
        <f t="shared" si="14"/>
        <v>100</v>
      </c>
      <c r="X41" s="779"/>
      <c r="Y41" s="3248"/>
      <c r="Z41" s="780" t="str">
        <f t="shared" si="18"/>
        <v>单套/主力户型建筑面积</v>
      </c>
      <c r="AA41" s="1811">
        <f t="shared" si="15"/>
        <v>1</v>
      </c>
      <c r="AB41" s="1811">
        <f t="shared" si="16"/>
        <v>1</v>
      </c>
      <c r="AC41" s="1811">
        <f t="shared" si="17"/>
        <v>1</v>
      </c>
    </row>
    <row r="42" spans="1:29" ht="15">
      <c r="A42" s="472"/>
      <c r="B42" s="422" t="s">
        <v>2566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46"/>
      <c r="Q42" s="1810" t="str">
        <f t="shared" si="11"/>
        <v>内部装修</v>
      </c>
      <c r="R42" s="774" t="s">
        <v>21</v>
      </c>
      <c r="S42" s="775">
        <f t="shared" si="12"/>
        <v>100</v>
      </c>
      <c r="T42" s="774" t="s">
        <v>21</v>
      </c>
      <c r="U42" s="775">
        <f t="shared" si="13"/>
        <v>100</v>
      </c>
      <c r="V42" s="774" t="s">
        <v>21</v>
      </c>
      <c r="W42" s="775">
        <f t="shared" si="14"/>
        <v>100</v>
      </c>
      <c r="X42" s="1813"/>
      <c r="Y42" s="3248"/>
      <c r="Z42" s="1814" t="str">
        <f t="shared" si="18"/>
        <v>内部装修</v>
      </c>
      <c r="AA42" s="1811">
        <f t="shared" si="15"/>
        <v>1</v>
      </c>
      <c r="AB42" s="1811">
        <f t="shared" si="16"/>
        <v>1</v>
      </c>
      <c r="AC42" s="1811">
        <f t="shared" si="17"/>
        <v>1</v>
      </c>
    </row>
    <row r="43" spans="1:29" ht="15">
      <c r="A43" s="472"/>
      <c r="B43" s="422" t="s">
        <v>2567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46"/>
      <c r="Q43" s="1810" t="str">
        <f t="shared" si="11"/>
        <v>内部装修维护情况</v>
      </c>
      <c r="R43" s="774" t="s">
        <v>21</v>
      </c>
      <c r="S43" s="775">
        <f t="shared" si="12"/>
        <v>100</v>
      </c>
      <c r="T43" s="774" t="s">
        <v>21</v>
      </c>
      <c r="U43" s="775">
        <f t="shared" si="13"/>
        <v>100</v>
      </c>
      <c r="V43" s="774" t="s">
        <v>21</v>
      </c>
      <c r="W43" s="775">
        <f t="shared" si="14"/>
        <v>100</v>
      </c>
      <c r="X43" s="1813"/>
      <c r="Y43" s="3248"/>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46"/>
      <c r="Q44" s="1795">
        <f t="shared" si="11"/>
        <v>111</v>
      </c>
      <c r="R44" s="770" t="s">
        <v>21</v>
      </c>
      <c r="S44" s="771">
        <f t="shared" si="12"/>
        <v>100</v>
      </c>
      <c r="T44" s="770" t="s">
        <v>21</v>
      </c>
      <c r="U44" s="771">
        <f t="shared" si="13"/>
        <v>100</v>
      </c>
      <c r="V44" s="770" t="s">
        <v>21</v>
      </c>
      <c r="W44" s="771">
        <f t="shared" si="14"/>
        <v>100</v>
      </c>
      <c r="X44" s="772"/>
      <c r="Y44" s="3248"/>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46"/>
      <c r="Q45" s="1810">
        <f t="shared" si="11"/>
        <v>111</v>
      </c>
      <c r="R45" s="774" t="s">
        <v>21</v>
      </c>
      <c r="S45" s="775">
        <f t="shared" si="12"/>
        <v>100</v>
      </c>
      <c r="T45" s="774" t="s">
        <v>21</v>
      </c>
      <c r="U45" s="775">
        <f t="shared" si="13"/>
        <v>100</v>
      </c>
      <c r="V45" s="774" t="s">
        <v>21</v>
      </c>
      <c r="W45" s="775">
        <f t="shared" si="14"/>
        <v>100</v>
      </c>
      <c r="X45" s="1813"/>
      <c r="Y45" s="3248"/>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47"/>
      <c r="Q46" s="1810">
        <f t="shared" si="11"/>
        <v>111</v>
      </c>
      <c r="R46" s="774" t="s">
        <v>20</v>
      </c>
      <c r="S46" s="775">
        <f t="shared" si="12"/>
        <v>100</v>
      </c>
      <c r="T46" s="774" t="s">
        <v>20</v>
      </c>
      <c r="U46" s="775">
        <f t="shared" si="13"/>
        <v>100</v>
      </c>
      <c r="V46" s="774" t="s">
        <v>20</v>
      </c>
      <c r="W46" s="775">
        <f t="shared" si="14"/>
        <v>100</v>
      </c>
      <c r="X46" s="1813"/>
      <c r="Y46" s="3249"/>
      <c r="Z46" s="1814">
        <f t="shared" si="18"/>
        <v>111</v>
      </c>
      <c r="AA46" s="1811">
        <f t="shared" si="15"/>
        <v>1</v>
      </c>
      <c r="AB46" s="1811">
        <f t="shared" si="16"/>
        <v>1</v>
      </c>
      <c r="AC46" s="1811">
        <f t="shared" si="17"/>
        <v>1</v>
      </c>
    </row>
    <row r="47" spans="1:29" ht="15">
      <c r="A47" s="479" t="s">
        <v>2568</v>
      </c>
      <c r="B47" s="480"/>
      <c r="C47" s="1407" t="s">
        <v>19</v>
      </c>
      <c r="D47" s="1408"/>
      <c r="E47" s="1409"/>
      <c r="F47" s="1410"/>
      <c r="G47" s="1411"/>
      <c r="H47" s="1412"/>
      <c r="I47" s="1409"/>
      <c r="J47" s="1412"/>
      <c r="K47" s="2619"/>
      <c r="L47" s="1143"/>
      <c r="M47" s="1144"/>
      <c r="N47" s="1131"/>
      <c r="O47" s="1144"/>
      <c r="P47" s="3241" t="str">
        <f>A47</f>
        <v>成交单价（元/平方米）</v>
      </c>
      <c r="Q47" s="3241"/>
      <c r="R47" s="3242">
        <f>E47</f>
        <v>0</v>
      </c>
      <c r="S47" s="3242"/>
      <c r="T47" s="3242">
        <f>G47</f>
        <v>0</v>
      </c>
      <c r="U47" s="3242"/>
      <c r="V47" s="3242">
        <f>I47</f>
        <v>0</v>
      </c>
      <c r="W47" s="3242"/>
      <c r="X47" s="759"/>
      <c r="Y47" s="781"/>
      <c r="Z47" s="759"/>
      <c r="AA47" s="759"/>
      <c r="AB47" s="759"/>
      <c r="AC47" s="759"/>
    </row>
    <row r="48" spans="1:29" ht="15.75" thickBot="1">
      <c r="A48" s="486" t="s">
        <v>2569</v>
      </c>
      <c r="B48" s="487"/>
      <c r="C48" s="1413" t="e">
        <f>R49</f>
        <v>#DIV/0!</v>
      </c>
      <c r="D48" s="1414"/>
      <c r="E48" s="1415" t="e">
        <f>R48</f>
        <v>#DIV/0!</v>
      </c>
      <c r="F48" s="1415"/>
      <c r="G48" s="1413" t="e">
        <f>T48</f>
        <v>#DIV/0!</v>
      </c>
      <c r="H48" s="1414"/>
      <c r="I48" s="1415" t="e">
        <f>V48</f>
        <v>#DIV/0!</v>
      </c>
      <c r="J48" s="1414"/>
      <c r="K48" s="2620"/>
      <c r="L48" s="1143"/>
      <c r="M48" s="1144"/>
      <c r="N48" s="1144"/>
      <c r="O48" s="1144"/>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2570</v>
      </c>
      <c r="B49" s="493"/>
      <c r="C49" s="1416" t="e">
        <f>R49</f>
        <v>#DIV/0!</v>
      </c>
      <c r="D49" s="1417"/>
      <c r="E49" s="1417"/>
      <c r="F49" s="1417"/>
      <c r="G49" s="1417"/>
      <c r="H49" s="1417"/>
      <c r="I49" s="1417"/>
      <c r="J49" s="1417"/>
      <c r="K49" s="2621"/>
      <c r="L49" s="1143"/>
      <c r="M49" s="1144"/>
      <c r="N49" s="1144"/>
      <c r="O49" s="1144"/>
      <c r="P49" s="3238" t="str">
        <f>A49</f>
        <v>估价对象XX用房的比较价值（楼面单价，元/平方米）</v>
      </c>
      <c r="Q49" s="3239"/>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2574</v>
      </c>
      <c r="B57" s="759"/>
      <c r="C57" s="764"/>
      <c r="D57" s="764"/>
      <c r="E57" s="764"/>
      <c r="F57" s="765"/>
      <c r="G57" s="765"/>
      <c r="H57" s="764"/>
      <c r="I57" s="764"/>
      <c r="J57" s="764"/>
      <c r="K57" s="1160"/>
      <c r="L57" s="1161"/>
      <c r="M57" s="1159"/>
      <c r="N57" s="1159"/>
      <c r="O57" s="1159"/>
      <c r="P57" s="2624"/>
      <c r="Q57" s="504"/>
    </row>
    <row r="58" spans="1:29" s="508" customFormat="1" ht="15">
      <c r="A58" s="505" t="s">
        <v>2575</v>
      </c>
      <c r="B58" s="506"/>
      <c r="C58" s="1576" t="str">
        <f>YEAR(C7)&amp;"-"&amp;MONTH(C7)</f>
        <v>2019-12</v>
      </c>
      <c r="D58" s="1575">
        <f>EDATE(C58,-1)</f>
        <v>43770</v>
      </c>
      <c r="E58" s="1575">
        <f>EDATE(D58,-1)</f>
        <v>43739</v>
      </c>
      <c r="F58" s="1575">
        <f t="shared" ref="F58:O58" si="19">EDATE(E58,-1)</f>
        <v>43709</v>
      </c>
      <c r="G58" s="1575">
        <f t="shared" si="19"/>
        <v>43678</v>
      </c>
      <c r="H58" s="1575">
        <f t="shared" si="19"/>
        <v>43647</v>
      </c>
      <c r="I58" s="1575">
        <f t="shared" si="19"/>
        <v>43617</v>
      </c>
      <c r="J58" s="1575">
        <f t="shared" si="19"/>
        <v>43586</v>
      </c>
      <c r="K58" s="1575">
        <f t="shared" si="19"/>
        <v>43556</v>
      </c>
      <c r="L58" s="1575">
        <f t="shared" si="19"/>
        <v>43525</v>
      </c>
      <c r="M58" s="1575">
        <f t="shared" si="19"/>
        <v>43497</v>
      </c>
      <c r="N58" s="1575">
        <f t="shared" si="19"/>
        <v>43466</v>
      </c>
      <c r="O58" s="1575">
        <f t="shared" si="19"/>
        <v>43435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2577</v>
      </c>
      <c r="B61" s="510"/>
      <c r="C61" s="522" t="s">
        <v>2578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2092</v>
      </c>
      <c r="C82" s="539" t="s">
        <v>2595</v>
      </c>
      <c r="D82" s="539" t="s">
        <v>2596</v>
      </c>
      <c r="E82" s="539" t="s">
        <v>2597</v>
      </c>
      <c r="F82" s="539" t="s">
        <v>2598</v>
      </c>
      <c r="G82" s="539" t="s">
        <v>2599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2601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2602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2554</v>
      </c>
      <c r="B100" s="528" t="s">
        <v>2603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2606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2607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1990</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2608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2609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2610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2565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2613</v>
      </c>
    </row>
    <row r="137" spans="1:17" ht="15">
      <c r="B137" s="2636" t="s">
        <v>2614</v>
      </c>
      <c r="C137" s="2637"/>
      <c r="D137" s="2637"/>
      <c r="E137" s="2637"/>
      <c r="F137" s="2637"/>
      <c r="G137" s="2638"/>
      <c r="H137" s="2639"/>
      <c r="I137" s="2640" t="s">
        <v>2615</v>
      </c>
      <c r="J137" s="2637"/>
      <c r="K137" s="2641"/>
    </row>
    <row r="138" spans="1:17" ht="15">
      <c r="B138" s="2642"/>
      <c r="C138" s="146" t="s">
        <v>2616</v>
      </c>
      <c r="D138" s="146" t="s">
        <v>2617</v>
      </c>
      <c r="E138" s="2643" t="s">
        <v>2618</v>
      </c>
      <c r="F138" s="2644" t="s">
        <v>2619</v>
      </c>
      <c r="G138" s="146" t="s">
        <v>2617</v>
      </c>
      <c r="H138" s="147" t="s">
        <v>2618</v>
      </c>
      <c r="I138" s="2645"/>
      <c r="J138" s="146" t="s">
        <v>2620</v>
      </c>
      <c r="K138" s="147" t="s">
        <v>2621</v>
      </c>
    </row>
    <row r="139" spans="1:17" ht="15">
      <c r="B139" s="1084">
        <v>6</v>
      </c>
      <c r="C139" s="1085">
        <v>96</v>
      </c>
      <c r="D139" s="2646" t="s">
        <v>2622</v>
      </c>
      <c r="E139" s="1086">
        <v>100</v>
      </c>
      <c r="F139" s="1087">
        <v>102.5</v>
      </c>
      <c r="G139" s="2646" t="s">
        <v>2622</v>
      </c>
      <c r="H139" s="1088">
        <v>105</v>
      </c>
      <c r="I139" s="2647" t="s">
        <v>2623</v>
      </c>
      <c r="J139" s="1085">
        <v>20</v>
      </c>
      <c r="K139" s="1089">
        <f>C145/(J139-2)</f>
        <v>4.0555555555555553E-3</v>
      </c>
    </row>
    <row r="140" spans="1:17" ht="15">
      <c r="B140" s="1090">
        <v>5</v>
      </c>
      <c r="C140" s="1091">
        <v>100</v>
      </c>
      <c r="D140" s="1091"/>
      <c r="E140" s="1092"/>
      <c r="F140" s="1093">
        <v>102</v>
      </c>
      <c r="G140" s="1091"/>
      <c r="H140" s="1094"/>
      <c r="I140" s="2648" t="s">
        <v>2624</v>
      </c>
      <c r="J140" s="315">
        <f>ROUNDUP((J139-1)/2,0)</f>
        <v>10</v>
      </c>
      <c r="K140" s="1095">
        <v>100</v>
      </c>
    </row>
    <row r="141" spans="1:17" ht="15">
      <c r="B141" s="1090">
        <v>4</v>
      </c>
      <c r="C141" s="1091">
        <v>102</v>
      </c>
      <c r="D141" s="1091"/>
      <c r="E141" s="1092"/>
      <c r="F141" s="1093">
        <v>101.5</v>
      </c>
      <c r="G141" s="1091"/>
      <c r="H141" s="1094"/>
      <c r="I141" s="2648" t="s">
        <v>2625</v>
      </c>
      <c r="J141" s="315">
        <v>1</v>
      </c>
      <c r="K141" s="1096">
        <f>ROUND(100+(J141-J140)*K139*100,1)</f>
        <v>96.4</v>
      </c>
    </row>
    <row r="142" spans="1:17" ht="15">
      <c r="B142" s="1090">
        <v>3</v>
      </c>
      <c r="C142" s="1091">
        <v>103</v>
      </c>
      <c r="D142" s="1091"/>
      <c r="E142" s="1092"/>
      <c r="F142" s="1093">
        <v>101</v>
      </c>
      <c r="G142" s="1091"/>
      <c r="H142" s="1094"/>
      <c r="I142" s="2648" t="s">
        <v>2626</v>
      </c>
      <c r="J142" s="315">
        <f>J139</f>
        <v>20</v>
      </c>
      <c r="K142" s="1097">
        <v>95</v>
      </c>
    </row>
    <row r="143" spans="1:17" ht="15">
      <c r="B143" s="1090">
        <v>2</v>
      </c>
      <c r="C143" s="1091">
        <v>100</v>
      </c>
      <c r="D143" s="1091"/>
      <c r="E143" s="1092"/>
      <c r="F143" s="1093">
        <v>100.5</v>
      </c>
      <c r="G143" s="1091"/>
      <c r="H143" s="1094"/>
      <c r="I143" s="2648" t="s">
        <v>2627</v>
      </c>
      <c r="J143" s="1091">
        <v>15</v>
      </c>
      <c r="K143" s="1096">
        <f>ROUND(100+(J143-J140)*K139*100,1)</f>
        <v>102</v>
      </c>
    </row>
    <row r="144" spans="1:17" ht="15">
      <c r="B144" s="1090">
        <v>1</v>
      </c>
      <c r="C144" s="1091">
        <v>98</v>
      </c>
      <c r="D144" s="2649" t="s">
        <v>2628</v>
      </c>
      <c r="E144" s="1092">
        <v>102</v>
      </c>
      <c r="F144" s="1098">
        <v>100</v>
      </c>
      <c r="G144" s="2649" t="s">
        <v>2628</v>
      </c>
      <c r="H144" s="1094">
        <v>105</v>
      </c>
      <c r="I144" s="2648" t="s">
        <v>2627</v>
      </c>
      <c r="J144" s="1091">
        <v>18</v>
      </c>
      <c r="K144" s="1096">
        <f>ROUND(100+(J144-J140)*K139*100,1)</f>
        <v>103.2</v>
      </c>
    </row>
    <row r="145" spans="2:11" ht="15.75" thickBot="1">
      <c r="B145" s="2650" t="s">
        <v>2629</v>
      </c>
      <c r="C145" s="1099">
        <f>ROUND(MAX(C139:C144)/MIN(C139:C144)-1,3)</f>
        <v>7.2999999999999995E-2</v>
      </c>
      <c r="D145" s="1100"/>
      <c r="E145" s="1100"/>
      <c r="F145" s="2651" t="s">
        <v>2630</v>
      </c>
      <c r="G145" s="2652"/>
      <c r="H145" s="2653"/>
      <c r="I145" s="2654" t="s">
        <v>2627</v>
      </c>
      <c r="J145" s="1101">
        <v>8</v>
      </c>
      <c r="K145" s="1102">
        <f>ROUND(100+(J145-J140)*K139*100,1)</f>
        <v>99.2</v>
      </c>
    </row>
    <row r="147" spans="2:11">
      <c r="B147" s="2635" t="s">
        <v>2631</v>
      </c>
    </row>
    <row r="148" spans="2:11">
      <c r="B148" s="2635"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580" t="s">
        <v>2633</v>
      </c>
      <c r="C1" s="1634" t="s">
        <v>2521</v>
      </c>
      <c r="D1" s="1621"/>
      <c r="E1" s="2655"/>
      <c r="F1" s="2582"/>
      <c r="G1" s="1631" t="s">
        <v>2634</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2318</v>
      </c>
      <c r="B2" s="1418" t="e">
        <f ca="1">IF(C2="——",ROUND(C49*D3/10000,0),ROUND(C49*D3/10000,0)-D2)</f>
        <v>#DIV/0!</v>
      </c>
      <c r="C2" s="2584"/>
      <c r="D2" s="1365" t="e">
        <f ca="1">SUMIF(INDIRECT("'"&amp;F2&amp;"'"&amp;"!A:A"),"承租人权益价值",INDIRECT("'"&amp;F2&amp;"'"&amp;"!c:c"))</f>
        <v>#REF!</v>
      </c>
      <c r="E2" s="2585" t="s">
        <v>2319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2320</v>
      </c>
      <c r="B3" s="609" t="e">
        <f ca="1">IF(C2="——",C49,ROUND(B2*10000/D3,0))</f>
        <v>#DIV/0!</v>
      </c>
      <c r="C3" s="400" t="s">
        <v>2635</v>
      </c>
      <c r="D3" s="399">
        <f>IF(D1="",'数据-汇总表'!E3,SUMIF('数据-汇总表'!$C19:$C33,D1,'数据-汇总表'!$E19:$E33))</f>
        <v>8276.64</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2636</v>
      </c>
      <c r="B4" s="402"/>
      <c r="C4" s="3224" t="s">
        <v>2637</v>
      </c>
      <c r="D4" s="3225"/>
      <c r="E4" s="3226" t="s">
        <v>2638</v>
      </c>
      <c r="F4" s="3227"/>
      <c r="G4" s="3224" t="s">
        <v>2639</v>
      </c>
      <c r="H4" s="3225"/>
      <c r="I4" s="3224" t="s">
        <v>2640</v>
      </c>
      <c r="J4" s="3225"/>
      <c r="K4" s="610" t="s">
        <v>2641</v>
      </c>
      <c r="L4" s="1130"/>
      <c r="M4" s="1131"/>
      <c r="N4" s="1131"/>
      <c r="O4" s="1131"/>
      <c r="P4" s="3228" t="s">
        <v>2642</v>
      </c>
      <c r="Q4" s="3229"/>
      <c r="R4" s="3211" t="s">
        <v>2638</v>
      </c>
      <c r="S4" s="3212"/>
      <c r="T4" s="3211" t="s">
        <v>2639</v>
      </c>
      <c r="U4" s="3212"/>
      <c r="V4" s="3236" t="s">
        <v>2640</v>
      </c>
      <c r="W4" s="3236"/>
      <c r="X4" s="1813"/>
      <c r="Y4" s="3211" t="s">
        <v>2642</v>
      </c>
      <c r="Z4" s="3212"/>
      <c r="AA4" s="3206" t="s">
        <v>2638</v>
      </c>
      <c r="AB4" s="3236" t="s">
        <v>2639</v>
      </c>
      <c r="AC4" s="3206" t="s">
        <v>2640</v>
      </c>
    </row>
    <row r="5" spans="1:29" ht="15">
      <c r="A5" s="404"/>
      <c r="B5" s="405"/>
      <c r="C5" s="3217" t="s">
        <v>2533</v>
      </c>
      <c r="D5" s="3218"/>
      <c r="E5" s="3215" t="s">
        <v>2534</v>
      </c>
      <c r="F5" s="3216"/>
      <c r="G5" s="3217" t="s">
        <v>2535</v>
      </c>
      <c r="H5" s="3218"/>
      <c r="I5" s="3217" t="s">
        <v>2536</v>
      </c>
      <c r="J5" s="3218"/>
      <c r="K5" s="610"/>
      <c r="L5" s="1130"/>
      <c r="M5" s="1131"/>
      <c r="N5" s="1131"/>
      <c r="O5" s="1131"/>
      <c r="P5" s="3230"/>
      <c r="Q5" s="3231"/>
      <c r="R5" s="3213"/>
      <c r="S5" s="3214"/>
      <c r="T5" s="3213"/>
      <c r="U5" s="3214"/>
      <c r="V5" s="3236"/>
      <c r="W5" s="3236"/>
      <c r="X5" s="1813"/>
      <c r="Y5" s="3213"/>
      <c r="Z5" s="3214"/>
      <c r="AA5" s="3207"/>
      <c r="AB5" s="3236"/>
      <c r="AC5" s="3207"/>
    </row>
    <row r="6" spans="1:29" ht="15.75" thickBot="1">
      <c r="A6" s="406"/>
      <c r="B6" s="407"/>
      <c r="C6" s="3219" t="s">
        <v>2537</v>
      </c>
      <c r="D6" s="3220"/>
      <c r="E6" s="3221" t="s">
        <v>2537</v>
      </c>
      <c r="F6" s="3222"/>
      <c r="G6" s="3219" t="s">
        <v>2537</v>
      </c>
      <c r="H6" s="3220"/>
      <c r="I6" s="3219" t="s">
        <v>2537</v>
      </c>
      <c r="J6" s="3220"/>
      <c r="K6" s="610" t="s">
        <v>2538</v>
      </c>
      <c r="L6" s="1130"/>
      <c r="M6" s="1131"/>
      <c r="N6" s="1131"/>
      <c r="O6" s="1131"/>
      <c r="P6" s="3232"/>
      <c r="Q6" s="3233"/>
      <c r="R6" s="3213"/>
      <c r="S6" s="3214"/>
      <c r="T6" s="3234"/>
      <c r="U6" s="3235"/>
      <c r="V6" s="3236"/>
      <c r="W6" s="3236"/>
      <c r="X6" s="1813"/>
      <c r="Y6" s="3234"/>
      <c r="Z6" s="3235"/>
      <c r="AA6" s="3208"/>
      <c r="AB6" s="3236"/>
      <c r="AC6" s="3208"/>
    </row>
    <row r="7" spans="1:29" s="117" customFormat="1" ht="15.75" thickBot="1">
      <c r="A7" s="408" t="s">
        <v>2539</v>
      </c>
      <c r="B7" s="409"/>
      <c r="C7" s="410">
        <f>'数据-取费表'!B2</f>
        <v>43822</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09" t="s">
        <v>2540</v>
      </c>
      <c r="Q7" s="3237"/>
      <c r="R7" s="770" t="s">
        <v>17</v>
      </c>
      <c r="S7" s="771">
        <f t="shared" ref="S7:S15" si="0">F7</f>
        <v>0</v>
      </c>
      <c r="T7" s="770" t="s">
        <v>17</v>
      </c>
      <c r="U7" s="771">
        <f t="shared" ref="U7:U15" si="1">H7</f>
        <v>0</v>
      </c>
      <c r="V7" s="770" t="s">
        <v>17</v>
      </c>
      <c r="W7" s="771">
        <f t="shared" ref="W7:W15" si="2">J7</f>
        <v>0</v>
      </c>
      <c r="X7" s="772"/>
      <c r="Y7" s="3209" t="s">
        <v>2540</v>
      </c>
      <c r="Z7" s="3210"/>
      <c r="AA7" s="773" t="e">
        <f>D7/F7</f>
        <v>#DIV/0!</v>
      </c>
      <c r="AB7" s="773" t="e">
        <f>D7/H7</f>
        <v>#DIV/0!</v>
      </c>
      <c r="AC7" s="773" t="e">
        <f>D7/J7</f>
        <v>#DIV/0!</v>
      </c>
    </row>
    <row r="8" spans="1:29" s="117" customFormat="1" ht="15.7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09" t="s">
        <v>2543</v>
      </c>
      <c r="Q8" s="3210"/>
      <c r="R8" s="770" t="s">
        <v>17</v>
      </c>
      <c r="S8" s="771">
        <f t="shared" si="0"/>
        <v>0</v>
      </c>
      <c r="T8" s="770" t="s">
        <v>17</v>
      </c>
      <c r="U8" s="771">
        <f t="shared" si="1"/>
        <v>0</v>
      </c>
      <c r="V8" s="770" t="s">
        <v>17</v>
      </c>
      <c r="W8" s="771">
        <f t="shared" si="2"/>
        <v>0</v>
      </c>
      <c r="X8" s="772"/>
      <c r="Y8" s="3209" t="s">
        <v>2543</v>
      </c>
      <c r="Z8" s="3210"/>
      <c r="AA8" s="773" t="e">
        <f t="shared" ref="AA8:AA46" si="3">D8/F8</f>
        <v>#DIV/0!</v>
      </c>
      <c r="AB8" s="773" t="e">
        <f t="shared" ref="AB8:AB46" si="4">D8/H8</f>
        <v>#DIV/0!</v>
      </c>
      <c r="AC8" s="773" t="e">
        <f t="shared" ref="AC8:AC46" si="5">D8/J8</f>
        <v>#DIV/0!</v>
      </c>
    </row>
    <row r="9" spans="1:29" s="117" customFormat="1">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3" t="s">
        <v>2546</v>
      </c>
      <c r="Q9" s="1795"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3"/>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3"/>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3"/>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3"/>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2550</v>
      </c>
      <c r="B15" s="69" t="s">
        <v>2644</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50" t="s">
        <v>2551</v>
      </c>
      <c r="Q15" s="1810" t="str">
        <f t="shared" si="6"/>
        <v>商业繁华度</v>
      </c>
      <c r="R15" s="774" t="s">
        <v>17</v>
      </c>
      <c r="S15" s="775">
        <f t="shared" si="0"/>
        <v>100</v>
      </c>
      <c r="T15" s="774" t="s">
        <v>17</v>
      </c>
      <c r="U15" s="775">
        <f t="shared" si="1"/>
        <v>100</v>
      </c>
      <c r="V15" s="774" t="s">
        <v>17</v>
      </c>
      <c r="W15" s="775">
        <f t="shared" si="2"/>
        <v>100</v>
      </c>
      <c r="X15" s="1813"/>
      <c r="Y15" s="3243" t="s">
        <v>2551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51"/>
      <c r="Q16" s="1810"/>
      <c r="R16" s="774"/>
      <c r="S16" s="775"/>
      <c r="T16" s="774"/>
      <c r="U16" s="775"/>
      <c r="V16" s="774"/>
      <c r="W16" s="775"/>
      <c r="X16" s="1813"/>
      <c r="Y16" s="3244"/>
      <c r="Z16" s="1814"/>
      <c r="AA16" s="1811">
        <v>1</v>
      </c>
      <c r="AB16" s="1811">
        <v>1</v>
      </c>
      <c r="AC16" s="1811">
        <v>1</v>
      </c>
    </row>
    <row r="17" spans="1:29" ht="15">
      <c r="A17" s="428"/>
      <c r="B17" s="451" t="s">
        <v>2091</v>
      </c>
      <c r="C17" s="2605"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51"/>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51"/>
      <c r="Q18" s="1810"/>
      <c r="R18" s="774"/>
      <c r="S18" s="775"/>
      <c r="T18" s="774"/>
      <c r="U18" s="775"/>
      <c r="V18" s="774"/>
      <c r="W18" s="775"/>
      <c r="X18" s="1813"/>
      <c r="Y18" s="3244"/>
      <c r="Z18" s="1814"/>
      <c r="AA18" s="1811">
        <v>1</v>
      </c>
      <c r="AB18" s="1811">
        <v>1</v>
      </c>
      <c r="AC18" s="1811">
        <v>1</v>
      </c>
    </row>
    <row r="19" spans="1:29" ht="15">
      <c r="A19" s="428"/>
      <c r="B19" s="451" t="s">
        <v>2645</v>
      </c>
      <c r="C19" s="2605"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51"/>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51"/>
      <c r="Q20" s="1810"/>
      <c r="R20" s="774"/>
      <c r="S20" s="775"/>
      <c r="T20" s="774"/>
      <c r="U20" s="775"/>
      <c r="V20" s="774"/>
      <c r="W20" s="775"/>
      <c r="X20" s="1813"/>
      <c r="Y20" s="3244"/>
      <c r="Z20" s="1814"/>
      <c r="AA20" s="1811">
        <v>1</v>
      </c>
      <c r="AB20" s="1811">
        <v>1</v>
      </c>
      <c r="AC20" s="1811">
        <v>1</v>
      </c>
    </row>
    <row r="21" spans="1:29" ht="15">
      <c r="A21" s="428"/>
      <c r="B21" s="1384" t="s">
        <v>2646</v>
      </c>
      <c r="C21" s="2605"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51"/>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51"/>
      <c r="Q22" s="1810"/>
      <c r="R22" s="774"/>
      <c r="S22" s="775"/>
      <c r="T22" s="774"/>
      <c r="U22" s="775"/>
      <c r="V22" s="774"/>
      <c r="W22" s="775"/>
      <c r="X22" s="1813"/>
      <c r="Y22" s="3244"/>
      <c r="Z22" s="1814"/>
      <c r="AA22" s="1811">
        <v>1</v>
      </c>
      <c r="AB22" s="1811">
        <v>1</v>
      </c>
      <c r="AC22" s="1811">
        <v>1</v>
      </c>
    </row>
    <row r="23" spans="1:29" ht="15">
      <c r="A23" s="428"/>
      <c r="B23" s="451" t="s">
        <v>2096</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51"/>
      <c r="Q23" s="1810" t="str">
        <f>B23</f>
        <v>自然及人文环境</v>
      </c>
      <c r="R23" s="774" t="s">
        <v>17</v>
      </c>
      <c r="S23" s="775">
        <f>F23</f>
        <v>100</v>
      </c>
      <c r="T23" s="774" t="s">
        <v>17</v>
      </c>
      <c r="U23" s="775">
        <f>H23</f>
        <v>100</v>
      </c>
      <c r="V23" s="774" t="s">
        <v>17</v>
      </c>
      <c r="W23" s="775">
        <f>J23</f>
        <v>100</v>
      </c>
      <c r="X23" s="1813"/>
      <c r="Y23" s="3244"/>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51"/>
      <c r="Q24" s="1810"/>
      <c r="R24" s="774"/>
      <c r="S24" s="775"/>
      <c r="T24" s="774"/>
      <c r="U24" s="775"/>
      <c r="V24" s="774"/>
      <c r="W24" s="775"/>
      <c r="X24" s="1813"/>
      <c r="Y24" s="3244"/>
      <c r="Z24" s="1814"/>
      <c r="AA24" s="1811">
        <v>1</v>
      </c>
      <c r="AB24" s="1811">
        <v>1</v>
      </c>
      <c r="AC24" s="1811">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51"/>
      <c r="Q25" s="1810" t="str">
        <f t="shared" ref="Q25:Q46" si="11">B25</f>
        <v>临街状况</v>
      </c>
      <c r="R25" s="774" t="s">
        <v>17</v>
      </c>
      <c r="S25" s="775">
        <f>F25</f>
        <v>100</v>
      </c>
      <c r="T25" s="774" t="s">
        <v>17</v>
      </c>
      <c r="U25" s="775">
        <f>H25</f>
        <v>100</v>
      </c>
      <c r="V25" s="774" t="s">
        <v>17</v>
      </c>
      <c r="W25" s="775">
        <f>J25</f>
        <v>100</v>
      </c>
      <c r="X25" s="1813"/>
      <c r="Y25" s="3244"/>
      <c r="Z25" s="1814" t="str">
        <f>Q25</f>
        <v>临街状况</v>
      </c>
      <c r="AA25" s="1811">
        <f t="shared" si="3"/>
        <v>1</v>
      </c>
      <c r="AB25" s="1811">
        <f t="shared" si="4"/>
        <v>1</v>
      </c>
      <c r="AC25" s="1811">
        <f t="shared" si="5"/>
        <v>1</v>
      </c>
    </row>
    <row r="26" spans="1:29" ht="15">
      <c r="A26" s="428"/>
      <c r="B26" s="1386" t="s">
        <v>2648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51"/>
      <c r="Q26" s="1810" t="str">
        <f t="shared" si="11"/>
        <v>平面位置/可视性</v>
      </c>
      <c r="R26" s="774" t="s">
        <v>17</v>
      </c>
      <c r="S26" s="775">
        <f>F26</f>
        <v>100</v>
      </c>
      <c r="T26" s="774" t="s">
        <v>17</v>
      </c>
      <c r="U26" s="775">
        <f>H26</f>
        <v>100</v>
      </c>
      <c r="V26" s="774" t="s">
        <v>17</v>
      </c>
      <c r="W26" s="775">
        <f>J26</f>
        <v>100</v>
      </c>
      <c r="X26" s="1813"/>
      <c r="Y26" s="3244"/>
      <c r="Z26" s="1814" t="str">
        <f>Q26</f>
        <v>平面位置/可视性</v>
      </c>
      <c r="AA26" s="1811">
        <f t="shared" si="3"/>
        <v>1</v>
      </c>
      <c r="AB26" s="1811">
        <f t="shared" si="4"/>
        <v>1</v>
      </c>
      <c r="AC26" s="1811">
        <f t="shared" si="5"/>
        <v>1</v>
      </c>
    </row>
    <row r="27" spans="1:29" s="117" customFormat="1" ht="15">
      <c r="A27" s="431"/>
      <c r="B27" s="451" t="s">
        <v>2649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51"/>
      <c r="Q27" s="1795" t="str">
        <f t="shared" si="11"/>
        <v>人流量</v>
      </c>
      <c r="R27" s="770" t="s">
        <v>17</v>
      </c>
      <c r="S27" s="771">
        <f>F27</f>
        <v>100</v>
      </c>
      <c r="T27" s="770" t="s">
        <v>17</v>
      </c>
      <c r="U27" s="771">
        <f>H27</f>
        <v>100</v>
      </c>
      <c r="V27" s="770" t="s">
        <v>17</v>
      </c>
      <c r="W27" s="771">
        <f>J27</f>
        <v>100</v>
      </c>
      <c r="X27" s="772"/>
      <c r="Y27" s="3244"/>
      <c r="Z27" s="55" t="str">
        <f>Q27</f>
        <v>人流量</v>
      </c>
      <c r="AA27" s="1811">
        <f>D27/F27</f>
        <v>1</v>
      </c>
      <c r="AB27" s="1811">
        <f>D27/H27</f>
        <v>1</v>
      </c>
      <c r="AC27" s="1811">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51"/>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44"/>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1"/>
      <c r="Q29" s="1810">
        <f t="shared" si="11"/>
        <v>111</v>
      </c>
      <c r="R29" s="774" t="s">
        <v>17</v>
      </c>
      <c r="S29" s="775">
        <f t="shared" si="12"/>
        <v>100</v>
      </c>
      <c r="T29" s="774" t="s">
        <v>17</v>
      </c>
      <c r="U29" s="775">
        <f t="shared" si="13"/>
        <v>100</v>
      </c>
      <c r="V29" s="774" t="s">
        <v>17</v>
      </c>
      <c r="W29" s="775">
        <f t="shared" si="14"/>
        <v>100</v>
      </c>
      <c r="X29" s="1813"/>
      <c r="Y29" s="3244"/>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1"/>
      <c r="Q30" s="1810">
        <f t="shared" si="11"/>
        <v>111</v>
      </c>
      <c r="R30" s="774" t="s">
        <v>17</v>
      </c>
      <c r="S30" s="775">
        <f t="shared" si="12"/>
        <v>100</v>
      </c>
      <c r="T30" s="774" t="s">
        <v>17</v>
      </c>
      <c r="U30" s="775">
        <f t="shared" si="13"/>
        <v>100</v>
      </c>
      <c r="V30" s="774" t="s">
        <v>17</v>
      </c>
      <c r="W30" s="775">
        <f t="shared" si="14"/>
        <v>100</v>
      </c>
      <c r="X30" s="1813"/>
      <c r="Y30" s="3244"/>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1"/>
      <c r="Q31" s="1810">
        <f t="shared" si="11"/>
        <v>111</v>
      </c>
      <c r="R31" s="774" t="s">
        <v>17</v>
      </c>
      <c r="S31" s="775">
        <f t="shared" si="12"/>
        <v>100</v>
      </c>
      <c r="T31" s="774" t="s">
        <v>17</v>
      </c>
      <c r="U31" s="775">
        <f t="shared" si="13"/>
        <v>100</v>
      </c>
      <c r="V31" s="774" t="s">
        <v>17</v>
      </c>
      <c r="W31" s="775">
        <f t="shared" si="14"/>
        <v>100</v>
      </c>
      <c r="X31" s="1813"/>
      <c r="Y31" s="3244"/>
      <c r="Z31" s="1814">
        <f t="shared" si="15"/>
        <v>111</v>
      </c>
      <c r="AA31" s="1811">
        <f t="shared" si="3"/>
        <v>1</v>
      </c>
      <c r="AB31" s="1811">
        <f t="shared" si="4"/>
        <v>1</v>
      </c>
      <c r="AC31" s="1811">
        <f t="shared" si="5"/>
        <v>1</v>
      </c>
    </row>
    <row r="32" spans="1:29" ht="15">
      <c r="A32" s="440" t="s">
        <v>2554</v>
      </c>
      <c r="B32" s="71" t="s">
        <v>2651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45" t="s">
        <v>2556</v>
      </c>
      <c r="Q32" s="1810" t="str">
        <f t="shared" si="11"/>
        <v>商业类型</v>
      </c>
      <c r="R32" s="774" t="s">
        <v>17</v>
      </c>
      <c r="S32" s="775">
        <f t="shared" si="12"/>
        <v>100</v>
      </c>
      <c r="T32" s="774" t="s">
        <v>17</v>
      </c>
      <c r="U32" s="775">
        <f t="shared" si="13"/>
        <v>100</v>
      </c>
      <c r="V32" s="774" t="s">
        <v>17</v>
      </c>
      <c r="W32" s="775">
        <f t="shared" si="14"/>
        <v>100</v>
      </c>
      <c r="X32" s="1813"/>
      <c r="Y32" s="3248" t="s">
        <v>2556</v>
      </c>
      <c r="Z32" s="1814" t="str">
        <f t="shared" si="15"/>
        <v>商业类型</v>
      </c>
      <c r="AA32" s="1811">
        <f t="shared" si="3"/>
        <v>1</v>
      </c>
      <c r="AB32" s="1811">
        <f t="shared" si="4"/>
        <v>1</v>
      </c>
      <c r="AC32" s="1811">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6"/>
      <c r="Q33" s="776" t="str">
        <f t="shared" si="11"/>
        <v>项目建筑规模</v>
      </c>
      <c r="R33" s="777" t="s">
        <v>17</v>
      </c>
      <c r="S33" s="778" t="e">
        <f t="shared" si="12"/>
        <v>#N/A</v>
      </c>
      <c r="T33" s="777" t="s">
        <v>17</v>
      </c>
      <c r="U33" s="778" t="e">
        <f t="shared" si="13"/>
        <v>#N/A</v>
      </c>
      <c r="V33" s="777" t="s">
        <v>17</v>
      </c>
      <c r="W33" s="778" t="e">
        <f t="shared" si="14"/>
        <v>#N/A</v>
      </c>
      <c r="X33" s="779"/>
      <c r="Y33" s="3248"/>
      <c r="Z33" s="780" t="str">
        <f t="shared" si="15"/>
        <v>项目建筑规模</v>
      </c>
      <c r="AA33" s="1811" t="e">
        <f t="shared" si="3"/>
        <v>#N/A</v>
      </c>
      <c r="AB33" s="1811" t="e">
        <f t="shared" si="4"/>
        <v>#N/A</v>
      </c>
      <c r="AC33" s="1811" t="e">
        <f t="shared" si="5"/>
        <v>#N/A</v>
      </c>
    </row>
    <row r="34" spans="1:29" ht="15">
      <c r="A34" s="472"/>
      <c r="B34" s="422" t="s">
        <v>2558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46"/>
      <c r="Q34" s="1810" t="str">
        <f t="shared" si="11"/>
        <v>建筑结构</v>
      </c>
      <c r="R34" s="774" t="s">
        <v>17</v>
      </c>
      <c r="S34" s="775">
        <f t="shared" si="12"/>
        <v>100</v>
      </c>
      <c r="T34" s="774" t="s">
        <v>17</v>
      </c>
      <c r="U34" s="775">
        <f t="shared" si="13"/>
        <v>100</v>
      </c>
      <c r="V34" s="774" t="s">
        <v>17</v>
      </c>
      <c r="W34" s="775">
        <f t="shared" si="14"/>
        <v>100</v>
      </c>
      <c r="X34" s="1813"/>
      <c r="Y34" s="3248"/>
      <c r="Z34" s="1814" t="str">
        <f t="shared" si="15"/>
        <v>建筑结构</v>
      </c>
      <c r="AA34" s="1811">
        <f t="shared" si="3"/>
        <v>1</v>
      </c>
      <c r="AB34" s="1811">
        <f t="shared" si="4"/>
        <v>1</v>
      </c>
      <c r="AC34" s="1811">
        <f t="shared" si="5"/>
        <v>1</v>
      </c>
    </row>
    <row r="35" spans="1:29" ht="15">
      <c r="A35" s="472"/>
      <c r="B35" s="422" t="s">
        <v>2652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46"/>
      <c r="Q35" s="1810" t="str">
        <f t="shared" si="11"/>
        <v>公共部分装修</v>
      </c>
      <c r="R35" s="774" t="s">
        <v>17</v>
      </c>
      <c r="S35" s="775">
        <f t="shared" si="12"/>
        <v>100</v>
      </c>
      <c r="T35" s="774" t="s">
        <v>17</v>
      </c>
      <c r="U35" s="775">
        <f t="shared" si="13"/>
        <v>100</v>
      </c>
      <c r="V35" s="774" t="s">
        <v>17</v>
      </c>
      <c r="W35" s="775">
        <f t="shared" si="14"/>
        <v>100</v>
      </c>
      <c r="X35" s="1813"/>
      <c r="Y35" s="3248"/>
      <c r="Z35" s="1814" t="str">
        <f t="shared" si="15"/>
        <v>公共部分装修</v>
      </c>
      <c r="AA35" s="1811">
        <f t="shared" si="3"/>
        <v>1</v>
      </c>
      <c r="AB35" s="1811">
        <f t="shared" si="4"/>
        <v>1</v>
      </c>
      <c r="AC35" s="1811">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6"/>
      <c r="Q36" s="1810" t="str">
        <f t="shared" si="11"/>
        <v>成新度</v>
      </c>
      <c r="R36" s="774" t="s">
        <v>17</v>
      </c>
      <c r="S36" s="775" t="e">
        <f t="shared" si="12"/>
        <v>#N/A</v>
      </c>
      <c r="T36" s="774" t="s">
        <v>17</v>
      </c>
      <c r="U36" s="775" t="e">
        <f t="shared" si="13"/>
        <v>#N/A</v>
      </c>
      <c r="V36" s="774" t="s">
        <v>17</v>
      </c>
      <c r="W36" s="775" t="e">
        <f t="shared" si="14"/>
        <v>#N/A</v>
      </c>
      <c r="X36" s="1813"/>
      <c r="Y36" s="3248"/>
      <c r="Z36" s="1814" t="str">
        <f t="shared" si="15"/>
        <v>成新度</v>
      </c>
      <c r="AA36" s="1811" t="e">
        <f t="shared" si="3"/>
        <v>#N/A</v>
      </c>
      <c r="AB36" s="1811" t="e">
        <f t="shared" si="4"/>
        <v>#N/A</v>
      </c>
      <c r="AC36" s="1811" t="e">
        <f t="shared" si="5"/>
        <v>#N/A</v>
      </c>
    </row>
    <row r="37" spans="1:29" s="117" customFormat="1" ht="15">
      <c r="A37" s="473"/>
      <c r="B37" s="422" t="s">
        <v>2654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46"/>
      <c r="Q37" s="1795" t="str">
        <f t="shared" si="11"/>
        <v>市政基础设施</v>
      </c>
      <c r="R37" s="770" t="s">
        <v>17</v>
      </c>
      <c r="S37" s="771">
        <f t="shared" si="12"/>
        <v>100</v>
      </c>
      <c r="T37" s="770" t="s">
        <v>17</v>
      </c>
      <c r="U37" s="771">
        <f t="shared" si="13"/>
        <v>100</v>
      </c>
      <c r="V37" s="770" t="s">
        <v>17</v>
      </c>
      <c r="W37" s="771">
        <f t="shared" si="14"/>
        <v>100</v>
      </c>
      <c r="X37" s="772"/>
      <c r="Y37" s="3248"/>
      <c r="Z37" s="55" t="str">
        <f t="shared" si="15"/>
        <v>市政基础设施</v>
      </c>
      <c r="AA37" s="773">
        <f t="shared" si="3"/>
        <v>1</v>
      </c>
      <c r="AB37" s="773">
        <f t="shared" si="4"/>
        <v>1</v>
      </c>
      <c r="AC37" s="773">
        <f t="shared" si="5"/>
        <v>1</v>
      </c>
    </row>
    <row r="38" spans="1:29" ht="15">
      <c r="A38" s="472"/>
      <c r="B38" s="422" t="s">
        <v>2655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46" t="s">
        <v>2556</v>
      </c>
      <c r="Q38" s="1810" t="str">
        <f t="shared" si="11"/>
        <v>业态</v>
      </c>
      <c r="R38" s="774" t="s">
        <v>17</v>
      </c>
      <c r="S38" s="775">
        <f t="shared" si="12"/>
        <v>100</v>
      </c>
      <c r="T38" s="774" t="s">
        <v>17</v>
      </c>
      <c r="U38" s="775">
        <f t="shared" si="13"/>
        <v>100</v>
      </c>
      <c r="V38" s="774" t="s">
        <v>17</v>
      </c>
      <c r="W38" s="775">
        <f t="shared" si="14"/>
        <v>100</v>
      </c>
      <c r="X38" s="1813"/>
      <c r="Y38" s="3248" t="s">
        <v>2556</v>
      </c>
      <c r="Z38" s="1814" t="str">
        <f t="shared" si="15"/>
        <v>业态</v>
      </c>
      <c r="AA38" s="1811">
        <f t="shared" si="3"/>
        <v>1</v>
      </c>
      <c r="AB38" s="1811">
        <f t="shared" si="4"/>
        <v>1</v>
      </c>
      <c r="AC38" s="1811">
        <f t="shared" si="5"/>
        <v>1</v>
      </c>
    </row>
    <row r="39" spans="1:29" ht="15">
      <c r="A39" s="472"/>
      <c r="B39" s="422" t="s">
        <v>2656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46"/>
      <c r="Q39" s="1810" t="str">
        <f t="shared" si="11"/>
        <v>层高</v>
      </c>
      <c r="R39" s="774" t="s">
        <v>17</v>
      </c>
      <c r="S39" s="775">
        <f t="shared" si="12"/>
        <v>100</v>
      </c>
      <c r="T39" s="774" t="s">
        <v>17</v>
      </c>
      <c r="U39" s="775">
        <f t="shared" si="13"/>
        <v>100</v>
      </c>
      <c r="V39" s="774" t="s">
        <v>17</v>
      </c>
      <c r="W39" s="775">
        <f t="shared" si="14"/>
        <v>100</v>
      </c>
      <c r="X39" s="1813"/>
      <c r="Y39" s="3248"/>
      <c r="Z39" s="1814" t="str">
        <f t="shared" si="15"/>
        <v>层高</v>
      </c>
      <c r="AA39" s="1811">
        <f t="shared" si="3"/>
        <v>1</v>
      </c>
      <c r="AB39" s="1811">
        <f t="shared" si="4"/>
        <v>1</v>
      </c>
      <c r="AC39" s="1811">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6"/>
      <c r="Q40" s="1810" t="str">
        <f t="shared" si="11"/>
        <v>单套建筑面积</v>
      </c>
      <c r="R40" s="774" t="s">
        <v>17</v>
      </c>
      <c r="S40" s="775">
        <f t="shared" si="12"/>
        <v>100</v>
      </c>
      <c r="T40" s="774" t="s">
        <v>17</v>
      </c>
      <c r="U40" s="775">
        <f t="shared" si="13"/>
        <v>100</v>
      </c>
      <c r="V40" s="774" t="s">
        <v>17</v>
      </c>
      <c r="W40" s="775">
        <f t="shared" si="14"/>
        <v>100</v>
      </c>
      <c r="X40" s="1813"/>
      <c r="Y40" s="3248"/>
      <c r="Z40" s="1814" t="str">
        <f t="shared" si="15"/>
        <v>单套建筑面积</v>
      </c>
      <c r="AA40" s="1811">
        <f t="shared" si="3"/>
        <v>1</v>
      </c>
      <c r="AB40" s="1811">
        <f t="shared" si="4"/>
        <v>1</v>
      </c>
      <c r="AC40" s="1811">
        <f t="shared" si="5"/>
        <v>1</v>
      </c>
    </row>
    <row r="41" spans="1:29" s="471" customFormat="1" ht="15">
      <c r="A41" s="468"/>
      <c r="B41" s="1812"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6"/>
      <c r="Q41" s="776" t="str">
        <f t="shared" si="11"/>
        <v>进深比</v>
      </c>
      <c r="R41" s="777" t="s">
        <v>17</v>
      </c>
      <c r="S41" s="778">
        <f t="shared" si="12"/>
        <v>100</v>
      </c>
      <c r="T41" s="777" t="s">
        <v>17</v>
      </c>
      <c r="U41" s="778">
        <f t="shared" si="13"/>
        <v>100</v>
      </c>
      <c r="V41" s="777" t="s">
        <v>17</v>
      </c>
      <c r="W41" s="778">
        <f t="shared" si="14"/>
        <v>100</v>
      </c>
      <c r="X41" s="779"/>
      <c r="Y41" s="3248"/>
      <c r="Z41" s="780" t="str">
        <f t="shared" si="15"/>
        <v>进深比</v>
      </c>
      <c r="AA41" s="1811">
        <f t="shared" si="3"/>
        <v>1</v>
      </c>
      <c r="AB41" s="1811">
        <f t="shared" si="4"/>
        <v>1</v>
      </c>
      <c r="AC41" s="1811">
        <f t="shared" si="5"/>
        <v>1</v>
      </c>
    </row>
    <row r="42" spans="1:29" ht="15">
      <c r="A42" s="472"/>
      <c r="B42" s="422" t="s">
        <v>2659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46"/>
      <c r="Q42" s="1810" t="str">
        <f t="shared" si="11"/>
        <v>内部装修</v>
      </c>
      <c r="R42" s="774" t="s">
        <v>17</v>
      </c>
      <c r="S42" s="775">
        <f t="shared" si="12"/>
        <v>100</v>
      </c>
      <c r="T42" s="774" t="s">
        <v>17</v>
      </c>
      <c r="U42" s="775">
        <f t="shared" si="13"/>
        <v>100</v>
      </c>
      <c r="V42" s="774" t="s">
        <v>17</v>
      </c>
      <c r="W42" s="775">
        <f t="shared" si="14"/>
        <v>100</v>
      </c>
      <c r="X42" s="1813"/>
      <c r="Y42" s="3248"/>
      <c r="Z42" s="1814" t="str">
        <f t="shared" si="15"/>
        <v>内部装修</v>
      </c>
      <c r="AA42" s="1811">
        <f t="shared" si="3"/>
        <v>1</v>
      </c>
      <c r="AB42" s="1811">
        <f t="shared" si="4"/>
        <v>1</v>
      </c>
      <c r="AC42" s="1811">
        <f t="shared" si="5"/>
        <v>1</v>
      </c>
    </row>
    <row r="43" spans="1:29" ht="15">
      <c r="A43" s="472"/>
      <c r="B43" s="422" t="s">
        <v>2567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46"/>
      <c r="Q43" s="1810" t="str">
        <f t="shared" si="11"/>
        <v>内部装修维护情况</v>
      </c>
      <c r="R43" s="774" t="s">
        <v>17</v>
      </c>
      <c r="S43" s="775">
        <f t="shared" si="12"/>
        <v>100</v>
      </c>
      <c r="T43" s="774" t="s">
        <v>17</v>
      </c>
      <c r="U43" s="775">
        <f t="shared" si="13"/>
        <v>100</v>
      </c>
      <c r="V43" s="774" t="s">
        <v>17</v>
      </c>
      <c r="W43" s="775">
        <f t="shared" si="14"/>
        <v>100</v>
      </c>
      <c r="X43" s="1813"/>
      <c r="Y43" s="3248"/>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6"/>
      <c r="Q44" s="1795">
        <f t="shared" si="11"/>
        <v>111</v>
      </c>
      <c r="R44" s="770" t="s">
        <v>17</v>
      </c>
      <c r="S44" s="771">
        <f t="shared" si="12"/>
        <v>100</v>
      </c>
      <c r="T44" s="770" t="s">
        <v>17</v>
      </c>
      <c r="U44" s="771">
        <f t="shared" si="13"/>
        <v>100</v>
      </c>
      <c r="V44" s="770" t="s">
        <v>17</v>
      </c>
      <c r="W44" s="771">
        <f t="shared" si="14"/>
        <v>100</v>
      </c>
      <c r="X44" s="772"/>
      <c r="Y44" s="3248"/>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6"/>
      <c r="Q45" s="1810">
        <f t="shared" si="11"/>
        <v>111</v>
      </c>
      <c r="R45" s="774" t="s">
        <v>17</v>
      </c>
      <c r="S45" s="775">
        <f t="shared" si="12"/>
        <v>100</v>
      </c>
      <c r="T45" s="774" t="s">
        <v>17</v>
      </c>
      <c r="U45" s="775">
        <f t="shared" si="13"/>
        <v>100</v>
      </c>
      <c r="V45" s="774" t="s">
        <v>17</v>
      </c>
      <c r="W45" s="775">
        <f t="shared" si="14"/>
        <v>100</v>
      </c>
      <c r="X45" s="1813"/>
      <c r="Y45" s="3248"/>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7"/>
      <c r="Q46" s="1810">
        <f t="shared" si="11"/>
        <v>111</v>
      </c>
      <c r="R46" s="774" t="s">
        <v>17</v>
      </c>
      <c r="S46" s="775">
        <f t="shared" si="12"/>
        <v>100</v>
      </c>
      <c r="T46" s="774" t="s">
        <v>17</v>
      </c>
      <c r="U46" s="775">
        <f t="shared" si="13"/>
        <v>100</v>
      </c>
      <c r="V46" s="774" t="s">
        <v>17</v>
      </c>
      <c r="W46" s="775">
        <f t="shared" si="14"/>
        <v>100</v>
      </c>
      <c r="X46" s="1813"/>
      <c r="Y46" s="3249"/>
      <c r="Z46" s="1814">
        <f t="shared" si="15"/>
        <v>111</v>
      </c>
      <c r="AA46" s="1811">
        <f t="shared" si="3"/>
        <v>1</v>
      </c>
      <c r="AB46" s="1811">
        <f t="shared" si="4"/>
        <v>1</v>
      </c>
      <c r="AC46" s="1811">
        <f t="shared" si="5"/>
        <v>1</v>
      </c>
    </row>
    <row r="47" spans="1:29" ht="15">
      <c r="A47" s="479" t="s">
        <v>2568</v>
      </c>
      <c r="B47" s="480"/>
      <c r="C47" s="1407" t="s">
        <v>1</v>
      </c>
      <c r="D47" s="1408"/>
      <c r="E47" s="1409"/>
      <c r="F47" s="1410"/>
      <c r="G47" s="1411"/>
      <c r="H47" s="1412"/>
      <c r="I47" s="1409"/>
      <c r="J47" s="1412"/>
      <c r="K47" s="783"/>
      <c r="L47" s="1143"/>
      <c r="M47" s="1144"/>
      <c r="N47" s="1131"/>
      <c r="O47" s="1144"/>
      <c r="P47" s="3241" t="str">
        <f>A47</f>
        <v>成交单价（元/平方米）</v>
      </c>
      <c r="Q47" s="3241"/>
      <c r="R47" s="3236">
        <f>E47</f>
        <v>0</v>
      </c>
      <c r="S47" s="3236"/>
      <c r="T47" s="3236">
        <f>G47</f>
        <v>0</v>
      </c>
      <c r="U47" s="3236"/>
      <c r="V47" s="3236">
        <f>I47</f>
        <v>0</v>
      </c>
      <c r="W47" s="3236"/>
      <c r="X47" s="759"/>
      <c r="Y47" s="781"/>
      <c r="Z47" s="759"/>
      <c r="AA47" s="759"/>
      <c r="AB47" s="759"/>
      <c r="AC47" s="759"/>
    </row>
    <row r="48" spans="1:29" ht="15.75" thickBot="1">
      <c r="A48" s="486" t="s">
        <v>2660</v>
      </c>
      <c r="B48" s="487"/>
      <c r="C48" s="1413" t="e">
        <f>R49</f>
        <v>#DIV/0!</v>
      </c>
      <c r="D48" s="1414"/>
      <c r="E48" s="1415" t="e">
        <f>R48</f>
        <v>#DIV/0!</v>
      </c>
      <c r="F48" s="1415"/>
      <c r="G48" s="1413" t="e">
        <f>T48</f>
        <v>#DIV/0!</v>
      </c>
      <c r="H48" s="1414"/>
      <c r="I48" s="1415" t="e">
        <f>V48</f>
        <v>#DIV/0!</v>
      </c>
      <c r="J48" s="1414"/>
      <c r="K48" s="784"/>
      <c r="L48" s="1143"/>
      <c r="M48" s="1144"/>
      <c r="N48" s="1131"/>
      <c r="O48" s="1144"/>
      <c r="P48" s="3241" t="str">
        <f>A48</f>
        <v>比较价值（元/平方米）</v>
      </c>
      <c r="Q48" s="3241"/>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9"/>
      <c r="Y48" s="759"/>
      <c r="Z48" s="759"/>
      <c r="AA48" s="759"/>
      <c r="AB48" s="759"/>
      <c r="AC48" s="759"/>
    </row>
    <row r="49" spans="1:29" ht="15.75" thickBot="1">
      <c r="A49" s="492" t="s">
        <v>2661</v>
      </c>
      <c r="B49" s="493"/>
      <c r="C49" s="1417" t="e">
        <f>R49</f>
        <v>#DIV/0!</v>
      </c>
      <c r="D49" s="1417"/>
      <c r="E49" s="1417"/>
      <c r="F49" s="1417"/>
      <c r="G49" s="1417"/>
      <c r="H49" s="1417"/>
      <c r="I49" s="1417"/>
      <c r="J49" s="1417"/>
      <c r="K49" s="785"/>
      <c r="L49" s="1143"/>
      <c r="M49" s="1144"/>
      <c r="N49" s="1131"/>
      <c r="O49" s="1144"/>
      <c r="P49" s="3238" t="str">
        <f>A49</f>
        <v>估价对象XX用房的比较价值（楼面单价，元/平方米）</v>
      </c>
      <c r="Q49" s="3239"/>
      <c r="R49" s="3240" t="e">
        <f>IF(F1="售价",ROUND(AVERAGE(R48:V48),0),ROUND(AVERAGE(R48:V48),1))</f>
        <v>#DIV/0!</v>
      </c>
      <c r="S49" s="3240"/>
      <c r="T49" s="3240"/>
      <c r="U49" s="3240"/>
      <c r="V49" s="3240"/>
      <c r="W49" s="324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2665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2539</v>
      </c>
      <c r="B58" s="506"/>
      <c r="C58" s="1574" t="str">
        <f>YEAR(C7)&amp;"-"&amp;MONTH(C7)</f>
        <v>2019-12</v>
      </c>
      <c r="D58" s="1575">
        <f>EDATE(C58,-1)</f>
        <v>43770</v>
      </c>
      <c r="E58" s="1575">
        <f t="shared" ref="E58:N58" si="16">EDATE(D58,-1)</f>
        <v>43739</v>
      </c>
      <c r="F58" s="1575">
        <f t="shared" si="16"/>
        <v>43709</v>
      </c>
      <c r="G58" s="1575">
        <f t="shared" si="16"/>
        <v>43678</v>
      </c>
      <c r="H58" s="1575">
        <f t="shared" si="16"/>
        <v>43647</v>
      </c>
      <c r="I58" s="1575">
        <f t="shared" si="16"/>
        <v>43617</v>
      </c>
      <c r="J58" s="1575">
        <f t="shared" si="16"/>
        <v>43586</v>
      </c>
      <c r="K58" s="1575">
        <f t="shared" si="16"/>
        <v>43556</v>
      </c>
      <c r="L58" s="1575">
        <f t="shared" si="16"/>
        <v>43525</v>
      </c>
      <c r="M58" s="1575">
        <f t="shared" si="16"/>
        <v>43497</v>
      </c>
      <c r="N58" s="1575">
        <f t="shared" si="16"/>
        <v>43466</v>
      </c>
      <c r="O58" s="1575">
        <f>EDATE(N58,-1)</f>
        <v>43435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2576</v>
      </c>
      <c r="B60" s="516"/>
      <c r="C60" s="517"/>
      <c r="D60" s="518"/>
      <c r="E60" s="518"/>
      <c r="F60" s="518"/>
      <c r="G60" s="518"/>
      <c r="H60" s="518"/>
      <c r="I60" s="518"/>
      <c r="J60" s="518"/>
      <c r="K60" s="518"/>
      <c r="L60" s="518"/>
      <c r="M60" s="519"/>
      <c r="N60" s="518"/>
      <c r="O60" s="519"/>
      <c r="P60" s="2626"/>
      <c r="Q60" s="504"/>
    </row>
    <row r="61" spans="1:29" s="117" customFormat="1" ht="15">
      <c r="A61" s="521" t="s">
        <v>2541</v>
      </c>
      <c r="B61" s="510"/>
      <c r="C61" s="522" t="s">
        <v>2643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2579</v>
      </c>
      <c r="B63" s="528" t="s">
        <v>2545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2646</v>
      </c>
      <c r="C82" s="660" t="s">
        <v>2666</v>
      </c>
      <c r="D82" s="660" t="s">
        <v>2667</v>
      </c>
      <c r="E82" s="660" t="s">
        <v>2668</v>
      </c>
      <c r="F82" s="660" t="s">
        <v>2669</v>
      </c>
      <c r="G82" s="660" t="s">
        <v>2670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2671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2554</v>
      </c>
      <c r="B100" s="528" t="s">
        <v>2672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2605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2607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1990</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2609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2673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2674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2675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2676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2611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4" zoomScale="90" zoomScaleNormal="90" workbookViewId="0">
      <selection activeCell="H104" sqref="H10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7" t="s">
        <v>2677</v>
      </c>
      <c r="C1" s="1620" t="s">
        <v>2521</v>
      </c>
      <c r="D1" s="1621" t="s">
        <v>3060</v>
      </c>
      <c r="E1" s="1630"/>
      <c r="F1" s="2582" t="s">
        <v>3125</v>
      </c>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f>IF(C2="——",ROUND(C50*D3/10000,0),ROUND(C50*D3/10000,0)-D2)</f>
        <v>5</v>
      </c>
      <c r="C2" s="2584" t="s">
        <v>70</v>
      </c>
      <c r="D2" s="1365"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f>IF(C2="——",C50,ROUND(B2*10000/D3,0))</f>
        <v>5.7</v>
      </c>
      <c r="C3" s="400" t="s">
        <v>2635</v>
      </c>
      <c r="D3" s="399">
        <f>IF(D1="",'数据-汇总表'!E3,SUMIF('数据-汇总表'!$C19:$C33,D1,'数据-汇总表'!$E19:$E33))</f>
        <v>8276.64</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2636</v>
      </c>
      <c r="B4" s="402"/>
      <c r="C4" s="3224" t="s">
        <v>2637</v>
      </c>
      <c r="D4" s="3225"/>
      <c r="E4" s="3226" t="s">
        <v>2638</v>
      </c>
      <c r="F4" s="3227"/>
      <c r="G4" s="3224" t="s">
        <v>2639</v>
      </c>
      <c r="H4" s="3225"/>
      <c r="I4" s="3224" t="s">
        <v>2640</v>
      </c>
      <c r="J4" s="3225"/>
      <c r="K4" s="610" t="s">
        <v>2641</v>
      </c>
      <c r="L4" s="1130"/>
      <c r="M4" s="1131"/>
      <c r="N4" s="1131"/>
      <c r="O4" s="1131"/>
      <c r="P4" s="3260" t="s">
        <v>2642</v>
      </c>
      <c r="Q4" s="3261"/>
      <c r="R4" s="3253" t="s">
        <v>2638</v>
      </c>
      <c r="S4" s="3254"/>
      <c r="T4" s="3253" t="s">
        <v>2639</v>
      </c>
      <c r="U4" s="3254"/>
      <c r="V4" s="3264" t="s">
        <v>2640</v>
      </c>
      <c r="W4" s="3264"/>
      <c r="X4" s="2668"/>
      <c r="Y4" s="3253" t="s">
        <v>2642</v>
      </c>
      <c r="Z4" s="3254"/>
      <c r="AA4" s="3252" t="s">
        <v>2638</v>
      </c>
      <c r="AB4" s="3252" t="s">
        <v>2639</v>
      </c>
      <c r="AC4" s="3257" t="s">
        <v>2640</v>
      </c>
    </row>
    <row r="5" spans="1:29" ht="15">
      <c r="A5" s="404"/>
      <c r="B5" s="405"/>
      <c r="C5" s="3255" t="s">
        <v>3126</v>
      </c>
      <c r="D5" s="3218"/>
      <c r="E5" s="3255" t="s">
        <v>3098</v>
      </c>
      <c r="F5" s="3218"/>
      <c r="G5" s="3255" t="s">
        <v>3128</v>
      </c>
      <c r="H5" s="3218"/>
      <c r="I5" s="3255" t="s">
        <v>3098</v>
      </c>
      <c r="J5" s="3218"/>
      <c r="K5" s="610"/>
      <c r="L5" s="1130"/>
      <c r="M5" s="1131"/>
      <c r="N5" s="1131"/>
      <c r="O5" s="1131"/>
      <c r="P5" s="3262"/>
      <c r="Q5" s="3231"/>
      <c r="R5" s="3213"/>
      <c r="S5" s="3214"/>
      <c r="T5" s="3213"/>
      <c r="U5" s="3214"/>
      <c r="V5" s="3236"/>
      <c r="W5" s="3236"/>
      <c r="X5" s="1813"/>
      <c r="Y5" s="3213"/>
      <c r="Z5" s="3214"/>
      <c r="AA5" s="3207"/>
      <c r="AB5" s="3207"/>
      <c r="AC5" s="3258"/>
    </row>
    <row r="6" spans="1:29" ht="15.75" thickBot="1">
      <c r="A6" s="406"/>
      <c r="B6" s="407"/>
      <c r="C6" s="3256" t="s">
        <v>3127</v>
      </c>
      <c r="D6" s="3220"/>
      <c r="E6" s="3219" t="s">
        <v>3099</v>
      </c>
      <c r="F6" s="3220"/>
      <c r="G6" s="3256" t="s">
        <v>3100</v>
      </c>
      <c r="H6" s="3220"/>
      <c r="I6" s="3219" t="s">
        <v>3099</v>
      </c>
      <c r="J6" s="3220"/>
      <c r="K6" s="610" t="s">
        <v>2538</v>
      </c>
      <c r="L6" s="1130"/>
      <c r="M6" s="1131"/>
      <c r="N6" s="1131"/>
      <c r="O6" s="1131"/>
      <c r="P6" s="3263"/>
      <c r="Q6" s="3233"/>
      <c r="R6" s="3213"/>
      <c r="S6" s="3214"/>
      <c r="T6" s="3234"/>
      <c r="U6" s="3235"/>
      <c r="V6" s="3236"/>
      <c r="W6" s="3236"/>
      <c r="X6" s="1813"/>
      <c r="Y6" s="3234"/>
      <c r="Z6" s="3235"/>
      <c r="AA6" s="3208"/>
      <c r="AB6" s="3208"/>
      <c r="AC6" s="3259"/>
    </row>
    <row r="7" spans="1:29" s="117" customFormat="1" ht="15.75" thickBot="1">
      <c r="A7" s="408" t="s">
        <v>2539</v>
      </c>
      <c r="B7" s="409"/>
      <c r="C7" s="410">
        <f>'数据-取费表'!B2</f>
        <v>43822</v>
      </c>
      <c r="D7" s="411">
        <v>100</v>
      </c>
      <c r="E7" s="412">
        <v>43770</v>
      </c>
      <c r="F7" s="413">
        <f>SUMIF(59:59,YEAR(E7)&amp;"-"&amp;MONTH(E7),60:60)</f>
        <v>100</v>
      </c>
      <c r="G7" s="412">
        <v>43800</v>
      </c>
      <c r="H7" s="411">
        <f>SUMIF(59:59,YEAR(G7)&amp;"-"&amp;MONTH(G7),60:60)</f>
        <v>100</v>
      </c>
      <c r="I7" s="412">
        <v>43770</v>
      </c>
      <c r="J7" s="411">
        <f>SUMIF(59:59,YEAR(I7)&amp;"-"&amp;MONTH(I7),60:60)</f>
        <v>100</v>
      </c>
      <c r="K7" s="611"/>
      <c r="L7" s="1132"/>
      <c r="M7" s="1133"/>
      <c r="N7" s="1133"/>
      <c r="O7" s="1133"/>
      <c r="P7" s="3265" t="s">
        <v>2540</v>
      </c>
      <c r="Q7" s="3237"/>
      <c r="R7" s="770" t="s">
        <v>17</v>
      </c>
      <c r="S7" s="771">
        <f t="shared" ref="S7:S15" si="0">F7</f>
        <v>100</v>
      </c>
      <c r="T7" s="770" t="s">
        <v>17</v>
      </c>
      <c r="U7" s="771">
        <f t="shared" ref="U7:U15" si="1">H7</f>
        <v>100</v>
      </c>
      <c r="V7" s="770" t="s">
        <v>17</v>
      </c>
      <c r="W7" s="771">
        <f t="shared" ref="W7:W15" si="2">J7</f>
        <v>100</v>
      </c>
      <c r="X7" s="772"/>
      <c r="Y7" s="3209" t="s">
        <v>2540</v>
      </c>
      <c r="Z7" s="3210"/>
      <c r="AA7" s="773">
        <f>D7/F7</f>
        <v>1</v>
      </c>
      <c r="AB7" s="773">
        <f>D7/H7</f>
        <v>1</v>
      </c>
      <c r="AC7" s="2669">
        <f>D7/J7</f>
        <v>1</v>
      </c>
    </row>
    <row r="8" spans="1:29" s="117" customFormat="1" ht="15.75" thickBot="1">
      <c r="A8" s="408" t="s">
        <v>2541</v>
      </c>
      <c r="B8" s="409"/>
      <c r="C8" s="414" t="s">
        <v>2643</v>
      </c>
      <c r="D8" s="411">
        <v>100</v>
      </c>
      <c r="E8" s="414" t="s">
        <v>3085</v>
      </c>
      <c r="F8" s="413">
        <f>SUMIF(62:62,E8,63:63)-SUMIF(62:62,C8,63:63)+100</f>
        <v>100</v>
      </c>
      <c r="G8" s="414" t="s">
        <v>3085</v>
      </c>
      <c r="H8" s="411">
        <f>SUMIF(62:62,G8,63:63)-SUMIF(62:62,C8,63:63)+100</f>
        <v>100</v>
      </c>
      <c r="I8" s="414" t="s">
        <v>3085</v>
      </c>
      <c r="J8" s="411">
        <f>SUMIF(62:62,I8,63:63)-SUMIF(62:62,C8,63:63)+100</f>
        <v>100</v>
      </c>
      <c r="K8" s="611"/>
      <c r="L8" s="1132"/>
      <c r="M8" s="1133"/>
      <c r="N8" s="1133"/>
      <c r="O8" s="1133"/>
      <c r="P8" s="3265" t="s">
        <v>2543</v>
      </c>
      <c r="Q8" s="3210"/>
      <c r="R8" s="770" t="s">
        <v>17</v>
      </c>
      <c r="S8" s="771">
        <f t="shared" si="0"/>
        <v>100</v>
      </c>
      <c r="T8" s="770" t="s">
        <v>17</v>
      </c>
      <c r="U8" s="771">
        <f t="shared" si="1"/>
        <v>100</v>
      </c>
      <c r="V8" s="770" t="s">
        <v>17</v>
      </c>
      <c r="W8" s="771">
        <f t="shared" si="2"/>
        <v>100</v>
      </c>
      <c r="X8" s="772"/>
      <c r="Y8" s="3209" t="s">
        <v>2543</v>
      </c>
      <c r="Z8" s="3210"/>
      <c r="AA8" s="773">
        <f t="shared" ref="AA8:AA47" si="3">D8/F8</f>
        <v>1</v>
      </c>
      <c r="AB8" s="773">
        <f t="shared" ref="AB8:AB47" si="4">D8/H8</f>
        <v>1</v>
      </c>
      <c r="AC8" s="2669">
        <f t="shared" ref="AC8:AC47" si="5">D8/J8</f>
        <v>1</v>
      </c>
    </row>
    <row r="9" spans="1:29" s="117" customFormat="1">
      <c r="A9" s="415" t="s">
        <v>2544</v>
      </c>
      <c r="B9" s="71" t="s">
        <v>2545</v>
      </c>
      <c r="C9" s="2958" t="s">
        <v>3123</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23" t="s">
        <v>2546</v>
      </c>
      <c r="Q9" s="1795"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2669">
        <f t="shared" si="5"/>
        <v>1</v>
      </c>
    </row>
    <row r="10" spans="1:29" s="427" customFormat="1" ht="27.75" thickBot="1">
      <c r="A10" s="421"/>
      <c r="B10" s="422" t="s">
        <v>2548</v>
      </c>
      <c r="C10" s="423" t="s">
        <v>3086</v>
      </c>
      <c r="D10" s="136">
        <v>100</v>
      </c>
      <c r="E10" s="423" t="s">
        <v>3086</v>
      </c>
      <c r="F10" s="136">
        <f>SUMIF(66:66,E10,67:67)-SUMIF(66:66,C10,67:67)+100</f>
        <v>100</v>
      </c>
      <c r="G10" s="423" t="s">
        <v>3086</v>
      </c>
      <c r="H10" s="136">
        <f>SUMIF(66:66,G10,67:67)-SUMIF(66:66,C10,67:67)+100</f>
        <v>100</v>
      </c>
      <c r="I10" s="423" t="s">
        <v>3086</v>
      </c>
      <c r="J10" s="136">
        <f>SUMIF(66:66,I10,67:67)-SUMIF(66:66,C10,67:67)+100</f>
        <v>100</v>
      </c>
      <c r="K10" s="612">
        <v>1</v>
      </c>
      <c r="L10" s="1135"/>
      <c r="M10" s="1136"/>
      <c r="N10" s="1136"/>
      <c r="O10" s="1136"/>
      <c r="P10" s="3223"/>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69">
        <f t="shared" si="5"/>
        <v>1</v>
      </c>
    </row>
    <row r="11" spans="1:29" ht="15.75" hidden="1" thickBot="1">
      <c r="A11" s="428"/>
      <c r="B11" s="422" t="s">
        <v>2549</v>
      </c>
      <c r="C11" s="429"/>
      <c r="D11" s="136">
        <v>100</v>
      </c>
      <c r="E11" s="429"/>
      <c r="F11" s="136">
        <f>LOOKUP(E11,69:69,70:70)-LOOKUP(C11,69:69,70:70)+100</f>
        <v>100</v>
      </c>
      <c r="G11" s="430"/>
      <c r="H11" s="136">
        <f>LOOKUP(G11,69:69,70:70)-LOOKUP(C11,69:69,70:70)+100</f>
        <v>100</v>
      </c>
      <c r="I11" s="429"/>
      <c r="J11" s="136">
        <f>LOOKUP(I11,69:69,70:70)-LOOKUP(C11,69:69,70:70)+100</f>
        <v>100</v>
      </c>
      <c r="K11" s="612">
        <v>0</v>
      </c>
      <c r="L11" s="1138"/>
      <c r="M11" s="1131"/>
      <c r="N11" s="1131"/>
      <c r="O11" s="1131"/>
      <c r="P11" s="3223"/>
      <c r="Q11" s="1795" t="str">
        <f t="shared" si="6"/>
        <v>容积率</v>
      </c>
      <c r="R11" s="770" t="s">
        <v>17</v>
      </c>
      <c r="S11" s="771">
        <f t="shared" si="0"/>
        <v>100</v>
      </c>
      <c r="T11" s="770" t="s">
        <v>17</v>
      </c>
      <c r="U11" s="771">
        <f t="shared" si="1"/>
        <v>100</v>
      </c>
      <c r="V11" s="770" t="s">
        <v>17</v>
      </c>
      <c r="W11" s="771">
        <f t="shared" si="2"/>
        <v>100</v>
      </c>
      <c r="X11" s="772"/>
      <c r="Y11" s="3033"/>
      <c r="Z11" s="55" t="str">
        <f t="shared" si="7"/>
        <v>容积率</v>
      </c>
      <c r="AA11" s="773">
        <f t="shared" si="3"/>
        <v>1</v>
      </c>
      <c r="AB11" s="773">
        <f t="shared" si="4"/>
        <v>1</v>
      </c>
      <c r="AC11" s="2669">
        <f t="shared" si="5"/>
        <v>1</v>
      </c>
    </row>
    <row r="12" spans="1:29" s="117" customFormat="1" ht="15.75" hidden="1" thickBot="1">
      <c r="A12" s="431"/>
      <c r="B12" s="2598">
        <v>111</v>
      </c>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223"/>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69">
        <f>D12/J12</f>
        <v>1</v>
      </c>
    </row>
    <row r="13" spans="1:29" ht="15.75" hidden="1" thickBot="1">
      <c r="A13" s="428"/>
      <c r="B13" s="2598">
        <v>111</v>
      </c>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223"/>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69">
        <f t="shared" si="5"/>
        <v>1</v>
      </c>
    </row>
    <row r="14" spans="1:29" ht="15.75" hidden="1" thickBot="1">
      <c r="A14" s="436"/>
      <c r="B14" s="2600">
        <v>111</v>
      </c>
      <c r="C14" s="437"/>
      <c r="D14" s="438">
        <v>100</v>
      </c>
      <c r="E14" s="628"/>
      <c r="F14" s="438">
        <f>SUMIF(75:75,E14,76:76)-SUMIF(75:75,C14,76:76)+100</f>
        <v>100</v>
      </c>
      <c r="G14" s="2670"/>
      <c r="H14" s="438">
        <f>SUMIF(75:75,G14,76:76)-SUMIF(75:75,C14,76:76)+100</f>
        <v>100</v>
      </c>
      <c r="I14" s="628"/>
      <c r="J14" s="438">
        <f>SUMIF(75:75,I14,76:76)-SUMIF(75:75,C14,76:76)+100</f>
        <v>100</v>
      </c>
      <c r="K14" s="613"/>
      <c r="L14" s="1140"/>
      <c r="M14" s="1131"/>
      <c r="N14" s="1131"/>
      <c r="O14" s="1131"/>
      <c r="P14" s="3223"/>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69">
        <f t="shared" si="5"/>
        <v>1</v>
      </c>
    </row>
    <row r="15" spans="1:29" ht="15">
      <c r="A15" s="440" t="s">
        <v>2550</v>
      </c>
      <c r="B15" s="629" t="s">
        <v>2678</v>
      </c>
      <c r="C15" s="2671" t="str">
        <f>估价对象房地状况!C5</f>
        <v>较好</v>
      </c>
      <c r="D15" s="441">
        <v>100</v>
      </c>
      <c r="E15" s="444"/>
      <c r="F15" s="441">
        <f>SUMIF(77:77,E16,78:78)-SUMIF(77:77,C16,78:78)+100</f>
        <v>100</v>
      </c>
      <c r="G15" s="442"/>
      <c r="H15" s="441">
        <f>SUMIF(77:77,G16,78:78)-SUMIF(77:77,C16,78:78)+100</f>
        <v>100</v>
      </c>
      <c r="I15" s="444"/>
      <c r="J15" s="441">
        <f>SUMIF(77:77,I16,78:78)-SUMIF(77:77,C16,78:78)+100</f>
        <v>100</v>
      </c>
      <c r="K15" s="614">
        <v>2</v>
      </c>
      <c r="L15" s="1140"/>
      <c r="M15" s="1131"/>
      <c r="N15" s="1131"/>
      <c r="O15" s="1131"/>
      <c r="P15" s="3250" t="s">
        <v>2551</v>
      </c>
      <c r="Q15" s="1810" t="str">
        <f t="shared" si="6"/>
        <v>办公集聚程度</v>
      </c>
      <c r="R15" s="774" t="s">
        <v>17</v>
      </c>
      <c r="S15" s="775">
        <f t="shared" si="0"/>
        <v>100</v>
      </c>
      <c r="T15" s="774" t="s">
        <v>17</v>
      </c>
      <c r="U15" s="775">
        <f t="shared" si="1"/>
        <v>100</v>
      </c>
      <c r="V15" s="774" t="s">
        <v>17</v>
      </c>
      <c r="W15" s="775">
        <f t="shared" si="2"/>
        <v>100</v>
      </c>
      <c r="X15" s="1813"/>
      <c r="Y15" s="3243" t="s">
        <v>2551</v>
      </c>
      <c r="Z15" s="1814" t="str">
        <f t="shared" si="7"/>
        <v>办公集聚程度</v>
      </c>
      <c r="AA15" s="1811">
        <f t="shared" si="3"/>
        <v>1</v>
      </c>
      <c r="AB15" s="1811">
        <f t="shared" si="4"/>
        <v>1</v>
      </c>
      <c r="AC15" s="2672">
        <f t="shared" si="5"/>
        <v>1</v>
      </c>
    </row>
    <row r="16" spans="1:29" ht="15">
      <c r="A16" s="428"/>
      <c r="B16" s="630"/>
      <c r="C16" s="2609" t="s">
        <v>3077</v>
      </c>
      <c r="D16" s="448"/>
      <c r="E16" s="2609" t="s">
        <v>3077</v>
      </c>
      <c r="F16" s="448"/>
      <c r="G16" s="2609" t="s">
        <v>3077</v>
      </c>
      <c r="H16" s="450"/>
      <c r="I16" s="2609" t="s">
        <v>3077</v>
      </c>
      <c r="J16" s="448"/>
      <c r="K16" s="615"/>
      <c r="L16" s="1140"/>
      <c r="M16" s="1131"/>
      <c r="N16" s="1131"/>
      <c r="O16" s="1131"/>
      <c r="P16" s="3251"/>
      <c r="Q16" s="1810"/>
      <c r="R16" s="774"/>
      <c r="S16" s="775"/>
      <c r="T16" s="774"/>
      <c r="U16" s="775"/>
      <c r="V16" s="774"/>
      <c r="W16" s="775"/>
      <c r="X16" s="1813"/>
      <c r="Y16" s="3244"/>
      <c r="Z16" s="1814"/>
      <c r="AA16" s="1811">
        <v>1</v>
      </c>
      <c r="AB16" s="1811">
        <v>1</v>
      </c>
      <c r="AC16" s="2672">
        <v>1</v>
      </c>
    </row>
    <row r="17" spans="1:29" ht="15">
      <c r="A17" s="428"/>
      <c r="B17" s="631" t="s">
        <v>2091</v>
      </c>
      <c r="C17" s="2673" t="str">
        <f>估价对象房地状况!C6</f>
        <v>较好</v>
      </c>
      <c r="D17" s="450">
        <v>100</v>
      </c>
      <c r="E17" s="454"/>
      <c r="F17" s="450">
        <f>SUMIF(79:79,E18,80:80)-SUMIF(79:79,C18,80:80)+100</f>
        <v>100</v>
      </c>
      <c r="G17" s="452"/>
      <c r="H17" s="455">
        <f>SUMIF(79:79,G18,80:80)-SUMIF(79:79,C18,80:80)+100</f>
        <v>100</v>
      </c>
      <c r="I17" s="454"/>
      <c r="J17" s="455">
        <f>SUMIF(79:79,I18,80:80)-SUMIF(79:79,C18,80:80)+100</f>
        <v>100</v>
      </c>
      <c r="K17" s="614">
        <v>2</v>
      </c>
      <c r="L17" s="1140"/>
      <c r="M17" s="1131"/>
      <c r="N17" s="1131"/>
      <c r="O17" s="1131"/>
      <c r="P17" s="3251"/>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2672">
        <f t="shared" si="5"/>
        <v>1</v>
      </c>
    </row>
    <row r="18" spans="1:29" ht="15">
      <c r="A18" s="428"/>
      <c r="B18" s="632"/>
      <c r="C18" s="2674" t="s">
        <v>3077</v>
      </c>
      <c r="D18" s="450"/>
      <c r="E18" s="2609" t="s">
        <v>3077</v>
      </c>
      <c r="F18" s="450"/>
      <c r="G18" s="2609" t="s">
        <v>3077</v>
      </c>
      <c r="H18" s="448"/>
      <c r="I18" s="2609" t="s">
        <v>3077</v>
      </c>
      <c r="J18" s="448"/>
      <c r="K18" s="615"/>
      <c r="L18" s="1140"/>
      <c r="M18" s="1131"/>
      <c r="N18" s="1131"/>
      <c r="O18" s="1131"/>
      <c r="P18" s="3251"/>
      <c r="Q18" s="1810"/>
      <c r="R18" s="774"/>
      <c r="S18" s="775"/>
      <c r="T18" s="774"/>
      <c r="U18" s="775"/>
      <c r="V18" s="774"/>
      <c r="W18" s="775"/>
      <c r="X18" s="1813"/>
      <c r="Y18" s="3244"/>
      <c r="Z18" s="1814"/>
      <c r="AA18" s="1811">
        <v>1</v>
      </c>
      <c r="AB18" s="1811">
        <v>1</v>
      </c>
      <c r="AC18" s="2672">
        <v>1</v>
      </c>
    </row>
    <row r="19" spans="1:29" ht="15">
      <c r="A19" s="428"/>
      <c r="B19" s="631" t="s">
        <v>2679</v>
      </c>
      <c r="C19" s="2673" t="str">
        <f>估价对象房地状况!C7</f>
        <v>较好</v>
      </c>
      <c r="D19" s="455">
        <v>100</v>
      </c>
      <c r="E19" s="459"/>
      <c r="F19" s="455">
        <f>SUMIF(81:81,E20,82:82)-SUMIF(81:81,C20,82:82)+100</f>
        <v>100</v>
      </c>
      <c r="G19" s="457"/>
      <c r="H19" s="450">
        <f>SUMIF(81:81,G20,82:82)-SUMIF(81:81,C20,82:82)+100</f>
        <v>100</v>
      </c>
      <c r="I19" s="459"/>
      <c r="J19" s="450">
        <f>SUMIF(81:81,I20,82:82)-SUMIF(81:81,C20,82:82)+100</f>
        <v>100</v>
      </c>
      <c r="K19" s="614">
        <v>2</v>
      </c>
      <c r="L19" s="1140"/>
      <c r="M19" s="1131"/>
      <c r="N19" s="1131"/>
      <c r="O19" s="1131"/>
      <c r="P19" s="3251"/>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2672">
        <f t="shared" si="5"/>
        <v>1</v>
      </c>
    </row>
    <row r="20" spans="1:29" ht="15">
      <c r="A20" s="428"/>
      <c r="B20" s="632"/>
      <c r="C20" s="2609" t="s">
        <v>3077</v>
      </c>
      <c r="D20" s="448"/>
      <c r="E20" s="2602" t="s">
        <v>3077</v>
      </c>
      <c r="F20" s="448"/>
      <c r="G20" s="2603" t="s">
        <v>3077</v>
      </c>
      <c r="H20" s="448"/>
      <c r="I20" s="2602" t="s">
        <v>3077</v>
      </c>
      <c r="J20" s="448"/>
      <c r="K20" s="615"/>
      <c r="L20" s="1140"/>
      <c r="M20" s="1131"/>
      <c r="N20" s="1131"/>
      <c r="O20" s="1131"/>
      <c r="P20" s="3251"/>
      <c r="Q20" s="1810"/>
      <c r="R20" s="774"/>
      <c r="S20" s="775"/>
      <c r="T20" s="774"/>
      <c r="U20" s="775"/>
      <c r="V20" s="774"/>
      <c r="W20" s="775"/>
      <c r="X20" s="1813"/>
      <c r="Y20" s="3244"/>
      <c r="Z20" s="1814"/>
      <c r="AA20" s="1811">
        <v>1</v>
      </c>
      <c r="AB20" s="1811">
        <v>1</v>
      </c>
      <c r="AC20" s="2672">
        <v>1</v>
      </c>
    </row>
    <row r="21" spans="1:29" ht="15">
      <c r="A21" s="428"/>
      <c r="B21" s="633" t="s">
        <v>2680</v>
      </c>
      <c r="C21" s="2673" t="str">
        <f>估价对象房地状况!C8</f>
        <v>七通</v>
      </c>
      <c r="D21" s="450">
        <v>100</v>
      </c>
      <c r="E21" s="459"/>
      <c r="F21" s="455">
        <f>SUMIF(83:83,E22,84:84)-SUMIF(83:83,C22,84:84)+100</f>
        <v>100</v>
      </c>
      <c r="G21" s="457"/>
      <c r="H21" s="450">
        <f>SUMIF(83:83,G22,84:84)-SUMIF(83:83,C22,84:84)+100</f>
        <v>100</v>
      </c>
      <c r="I21" s="459"/>
      <c r="J21" s="450">
        <f>SUMIF(83:83,I22,84:84)-SUMIF(83:83,C22,84:84)+100</f>
        <v>100</v>
      </c>
      <c r="K21" s="614">
        <v>2</v>
      </c>
      <c r="L21" s="1140"/>
      <c r="M21" s="1131"/>
      <c r="N21" s="1131"/>
      <c r="O21" s="1131"/>
      <c r="P21" s="3251"/>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2672">
        <f t="shared" ref="AC21" si="10">D21/J21</f>
        <v>1</v>
      </c>
    </row>
    <row r="22" spans="1:29" ht="15">
      <c r="A22" s="428"/>
      <c r="B22" s="633"/>
      <c r="C22" s="2674" t="s">
        <v>3087</v>
      </c>
      <c r="D22" s="448"/>
      <c r="E22" s="447" t="s">
        <v>3087</v>
      </c>
      <c r="F22" s="448"/>
      <c r="G22" s="2609" t="s">
        <v>3087</v>
      </c>
      <c r="H22" s="448"/>
      <c r="I22" s="447" t="s">
        <v>3087</v>
      </c>
      <c r="J22" s="448"/>
      <c r="K22" s="1383"/>
      <c r="L22" s="1140"/>
      <c r="M22" s="1131"/>
      <c r="N22" s="1131"/>
      <c r="O22" s="1131"/>
      <c r="P22" s="3251"/>
      <c r="Q22" s="1810"/>
      <c r="R22" s="774"/>
      <c r="S22" s="775"/>
      <c r="T22" s="774"/>
      <c r="U22" s="775"/>
      <c r="V22" s="774"/>
      <c r="W22" s="775"/>
      <c r="X22" s="1813"/>
      <c r="Y22" s="3244"/>
      <c r="Z22" s="1814"/>
      <c r="AA22" s="1811">
        <v>1</v>
      </c>
      <c r="AB22" s="1811">
        <v>1</v>
      </c>
      <c r="AC22" s="2672">
        <v>1</v>
      </c>
    </row>
    <row r="23" spans="1:29" ht="15">
      <c r="A23" s="428"/>
      <c r="B23" s="631" t="s">
        <v>2681</v>
      </c>
      <c r="C23" s="2673" t="str">
        <f>估价对象房地状况!C9</f>
        <v>较好</v>
      </c>
      <c r="D23" s="450">
        <v>100</v>
      </c>
      <c r="E23" s="454"/>
      <c r="F23" s="450">
        <f>SUMIF(85:85,E24,86:86)-SUMIF(85:85,C24,86:86)+100</f>
        <v>100</v>
      </c>
      <c r="G23" s="452"/>
      <c r="H23" s="450">
        <f>SUMIF(85:85,G24,86:86)-SUMIF(85:85,C24,86:86)+100</f>
        <v>100</v>
      </c>
      <c r="I23" s="454"/>
      <c r="J23" s="450">
        <f>SUMIF(85:85,I24,86:86)-SUMIF(85:85,C24,86:86)+100</f>
        <v>100</v>
      </c>
      <c r="K23" s="614">
        <v>2</v>
      </c>
      <c r="L23" s="1140"/>
      <c r="M23" s="1131"/>
      <c r="N23" s="1131"/>
      <c r="O23" s="1131"/>
      <c r="P23" s="3251"/>
      <c r="Q23" s="1810" t="str">
        <f>B23</f>
        <v>环境质量</v>
      </c>
      <c r="R23" s="774" t="s">
        <v>17</v>
      </c>
      <c r="S23" s="775">
        <f>F23</f>
        <v>100</v>
      </c>
      <c r="T23" s="774" t="s">
        <v>17</v>
      </c>
      <c r="U23" s="775">
        <f>H23</f>
        <v>100</v>
      </c>
      <c r="V23" s="774" t="s">
        <v>17</v>
      </c>
      <c r="W23" s="775">
        <f>J23</f>
        <v>100</v>
      </c>
      <c r="X23" s="1813"/>
      <c r="Y23" s="3244"/>
      <c r="Z23" s="1814" t="str">
        <f>Q23</f>
        <v>环境质量</v>
      </c>
      <c r="AA23" s="1811">
        <f t="shared" si="3"/>
        <v>1</v>
      </c>
      <c r="AB23" s="1811">
        <f t="shared" si="4"/>
        <v>1</v>
      </c>
      <c r="AC23" s="2672">
        <f t="shared" si="5"/>
        <v>1</v>
      </c>
    </row>
    <row r="24" spans="1:29" ht="15">
      <c r="A24" s="428"/>
      <c r="B24" s="633"/>
      <c r="C24" s="2609" t="s">
        <v>3077</v>
      </c>
      <c r="D24" s="448"/>
      <c r="E24" s="2602" t="s">
        <v>3077</v>
      </c>
      <c r="F24" s="448"/>
      <c r="G24" s="2603" t="s">
        <v>3077</v>
      </c>
      <c r="H24" s="448"/>
      <c r="I24" s="2602" t="s">
        <v>3077</v>
      </c>
      <c r="J24" s="448"/>
      <c r="K24" s="615"/>
      <c r="L24" s="1140"/>
      <c r="M24" s="1131"/>
      <c r="N24" s="1131"/>
      <c r="O24" s="1131"/>
      <c r="P24" s="3251"/>
      <c r="Q24" s="1810"/>
      <c r="R24" s="774"/>
      <c r="S24" s="775"/>
      <c r="T24" s="774"/>
      <c r="U24" s="775"/>
      <c r="V24" s="774"/>
      <c r="W24" s="775"/>
      <c r="X24" s="1813"/>
      <c r="Y24" s="3244"/>
      <c r="Z24" s="1814"/>
      <c r="AA24" s="1811">
        <v>1</v>
      </c>
      <c r="AB24" s="1811">
        <v>1</v>
      </c>
      <c r="AC24" s="2672">
        <v>1</v>
      </c>
    </row>
    <row r="25" spans="1:29" ht="27.75">
      <c r="A25" s="404"/>
      <c r="B25" s="631" t="s">
        <v>2682</v>
      </c>
      <c r="C25" s="2613" t="s">
        <v>3088</v>
      </c>
      <c r="D25" s="435">
        <v>100</v>
      </c>
      <c r="E25" s="2613" t="s">
        <v>3088</v>
      </c>
      <c r="F25" s="435">
        <f>SUMIF(87:87,E26,88:88)-SUMIF(87:87,C26,88:88)+100</f>
        <v>100</v>
      </c>
      <c r="G25" s="2613" t="s">
        <v>3132</v>
      </c>
      <c r="H25" s="435">
        <f>SUMIF(87:87,G26,88:88)-SUMIF(87:87,C26,88:88)+100</f>
        <v>100</v>
      </c>
      <c r="I25" s="2613" t="s">
        <v>3097</v>
      </c>
      <c r="J25" s="435">
        <f>SUMIF(87:87,I26,88:88)-SUMIF(87:87,C26,88:88)+100</f>
        <v>100</v>
      </c>
      <c r="K25" s="614">
        <v>2</v>
      </c>
      <c r="L25" s="1140"/>
      <c r="M25" s="1131"/>
      <c r="N25" s="1131"/>
      <c r="O25" s="1131"/>
      <c r="P25" s="3251"/>
      <c r="Q25" s="1810" t="str">
        <f>B25</f>
        <v>毗邻道路的类型与等级</v>
      </c>
      <c r="R25" s="774" t="s">
        <v>17</v>
      </c>
      <c r="S25" s="775">
        <f>F25</f>
        <v>100</v>
      </c>
      <c r="T25" s="774" t="s">
        <v>17</v>
      </c>
      <c r="U25" s="775">
        <f>H25</f>
        <v>100</v>
      </c>
      <c r="V25" s="774" t="s">
        <v>17</v>
      </c>
      <c r="W25" s="775">
        <f>J25</f>
        <v>100</v>
      </c>
      <c r="X25" s="1813"/>
      <c r="Y25" s="3244"/>
      <c r="Z25" s="1814" t="str">
        <f>Q25</f>
        <v>毗邻道路的类型与等级</v>
      </c>
      <c r="AA25" s="1811">
        <f t="shared" si="3"/>
        <v>1</v>
      </c>
      <c r="AB25" s="1811">
        <f t="shared" si="4"/>
        <v>1</v>
      </c>
      <c r="AC25" s="2672">
        <f t="shared" si="5"/>
        <v>1</v>
      </c>
    </row>
    <row r="26" spans="1:29" ht="15">
      <c r="A26" s="404"/>
      <c r="B26" s="632"/>
      <c r="C26" s="616" t="s">
        <v>3089</v>
      </c>
      <c r="D26" s="435"/>
      <c r="E26" s="616" t="s">
        <v>3089</v>
      </c>
      <c r="F26" s="435"/>
      <c r="G26" s="634" t="s">
        <v>3089</v>
      </c>
      <c r="H26" s="435"/>
      <c r="I26" s="616" t="s">
        <v>3089</v>
      </c>
      <c r="J26" s="435"/>
      <c r="K26" s="615"/>
      <c r="L26" s="1140"/>
      <c r="M26" s="1131"/>
      <c r="N26" s="1131"/>
      <c r="O26" s="1131"/>
      <c r="P26" s="3251"/>
      <c r="Q26" s="1810"/>
      <c r="R26" s="774"/>
      <c r="S26" s="775"/>
      <c r="T26" s="774"/>
      <c r="U26" s="775"/>
      <c r="V26" s="774"/>
      <c r="W26" s="775"/>
      <c r="X26" s="1813"/>
      <c r="Y26" s="3244"/>
      <c r="Z26" s="1814"/>
      <c r="AA26" s="1811">
        <v>1</v>
      </c>
      <c r="AB26" s="1811">
        <v>1</v>
      </c>
      <c r="AC26" s="2672">
        <v>1</v>
      </c>
    </row>
    <row r="27" spans="1:29" ht="15.75" thickBot="1">
      <c r="A27" s="428"/>
      <c r="B27" s="632" t="s">
        <v>2650</v>
      </c>
      <c r="C27" s="634" t="s">
        <v>3090</v>
      </c>
      <c r="D27" s="435">
        <v>100</v>
      </c>
      <c r="E27" s="616" t="s">
        <v>3101</v>
      </c>
      <c r="F27" s="435">
        <f>SUMIF(89:89,E27,90:90)-SUMIF(89:89,C27,90:90)+100</f>
        <v>103</v>
      </c>
      <c r="G27" s="634" t="s">
        <v>3140</v>
      </c>
      <c r="H27" s="435">
        <f>SUMIF(89:89,G27,90:90)-SUMIF(89:89,C27,90:90)+100</f>
        <v>106</v>
      </c>
      <c r="I27" s="616" t="s">
        <v>3090</v>
      </c>
      <c r="J27" s="435">
        <f>SUMIF(89:89,I27,90:90)-SUMIF(89:89,C27,90:90)+100</f>
        <v>100</v>
      </c>
      <c r="K27" s="612">
        <v>3</v>
      </c>
      <c r="L27" s="1140"/>
      <c r="M27" s="1131"/>
      <c r="N27" s="1131"/>
      <c r="O27" s="1131"/>
      <c r="P27" s="3251"/>
      <c r="Q27" s="1810" t="str">
        <f t="shared" ref="Q27:Q47" si="11">B27</f>
        <v>楼层</v>
      </c>
      <c r="R27" s="774" t="s">
        <v>17</v>
      </c>
      <c r="S27" s="775">
        <f>F27</f>
        <v>103</v>
      </c>
      <c r="T27" s="774" t="s">
        <v>17</v>
      </c>
      <c r="U27" s="775">
        <f>H27</f>
        <v>106</v>
      </c>
      <c r="V27" s="774" t="s">
        <v>17</v>
      </c>
      <c r="W27" s="775">
        <f>J27</f>
        <v>100</v>
      </c>
      <c r="X27" s="1813"/>
      <c r="Y27" s="3244"/>
      <c r="Z27" s="1814" t="str">
        <f>Q27</f>
        <v>楼层</v>
      </c>
      <c r="AA27" s="1811">
        <f t="shared" si="3"/>
        <v>0.970873786407767</v>
      </c>
      <c r="AB27" s="1811">
        <f t="shared" si="4"/>
        <v>0.94339622641509435</v>
      </c>
      <c r="AC27" s="2672">
        <f t="shared" si="5"/>
        <v>1</v>
      </c>
    </row>
    <row r="28" spans="1:29" s="117" customFormat="1" ht="15" hidden="1">
      <c r="A28" s="431"/>
      <c r="B28" s="631" t="s">
        <v>2683</v>
      </c>
      <c r="C28" s="2663"/>
      <c r="D28" s="462">
        <v>100</v>
      </c>
      <c r="E28" s="2663"/>
      <c r="F28" s="462">
        <f>SUMIF(91:91,E28,92:92)-SUMIF(91:91,C28,92:92)+100</f>
        <v>100</v>
      </c>
      <c r="G28" s="2675"/>
      <c r="H28" s="462">
        <f>SUMIF(91:91,G28,92:92)-SUMIF(91:91,C28,92:92)+100</f>
        <v>100</v>
      </c>
      <c r="I28" s="2663"/>
      <c r="J28" s="462">
        <f>SUMIF(91:91,I28,92:92)-SUMIF(91:91,C28,92:92)+100</f>
        <v>100</v>
      </c>
      <c r="K28" s="612"/>
      <c r="L28" s="1132"/>
      <c r="M28" s="1133"/>
      <c r="N28" s="1133"/>
      <c r="O28" s="1133"/>
      <c r="P28" s="3251"/>
      <c r="Q28" s="1795" t="str">
        <f t="shared" si="11"/>
        <v>朝向</v>
      </c>
      <c r="R28" s="770" t="s">
        <v>17</v>
      </c>
      <c r="S28" s="771">
        <f>F28</f>
        <v>100</v>
      </c>
      <c r="T28" s="770" t="s">
        <v>17</v>
      </c>
      <c r="U28" s="771">
        <f>H28</f>
        <v>100</v>
      </c>
      <c r="V28" s="770" t="s">
        <v>17</v>
      </c>
      <c r="W28" s="771">
        <f>J28</f>
        <v>100</v>
      </c>
      <c r="X28" s="772"/>
      <c r="Y28" s="3244"/>
      <c r="Z28" s="55" t="str">
        <f>Q28</f>
        <v>朝向</v>
      </c>
      <c r="AA28" s="1811">
        <f>D28/F28</f>
        <v>1</v>
      </c>
      <c r="AB28" s="1811">
        <f>D28/H28</f>
        <v>1</v>
      </c>
      <c r="AC28" s="2672">
        <f>D28/J28</f>
        <v>1</v>
      </c>
    </row>
    <row r="29" spans="1:29" ht="15" hidden="1">
      <c r="A29" s="428"/>
      <c r="B29" s="2676">
        <v>111</v>
      </c>
      <c r="C29" s="432"/>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51"/>
      <c r="Q29" s="1810">
        <f t="shared" si="11"/>
        <v>111</v>
      </c>
      <c r="R29" s="774" t="s">
        <v>17</v>
      </c>
      <c r="S29" s="775">
        <f t="shared" ref="S29:S47" si="12">F29</f>
        <v>100</v>
      </c>
      <c r="T29" s="774" t="s">
        <v>17</v>
      </c>
      <c r="U29" s="775">
        <f t="shared" ref="U29:U47" si="13">H29</f>
        <v>100</v>
      </c>
      <c r="V29" s="774" t="s">
        <v>17</v>
      </c>
      <c r="W29" s="775">
        <f t="shared" ref="W29:W47" si="14">J29</f>
        <v>100</v>
      </c>
      <c r="X29" s="1813"/>
      <c r="Y29" s="3244"/>
      <c r="Z29" s="1814">
        <f t="shared" ref="Z29:Z47" si="15">Q29</f>
        <v>111</v>
      </c>
      <c r="AA29" s="1811">
        <f t="shared" si="3"/>
        <v>1</v>
      </c>
      <c r="AB29" s="1811">
        <f t="shared" si="4"/>
        <v>1</v>
      </c>
      <c r="AC29" s="2672">
        <f t="shared" si="5"/>
        <v>1</v>
      </c>
    </row>
    <row r="30" spans="1:29" ht="15" hidden="1">
      <c r="A30" s="428"/>
      <c r="B30" s="2676">
        <v>111</v>
      </c>
      <c r="C30" s="432"/>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51"/>
      <c r="Q30" s="1810">
        <f t="shared" si="11"/>
        <v>111</v>
      </c>
      <c r="R30" s="774" t="s">
        <v>17</v>
      </c>
      <c r="S30" s="775">
        <f t="shared" si="12"/>
        <v>100</v>
      </c>
      <c r="T30" s="774" t="s">
        <v>17</v>
      </c>
      <c r="U30" s="775">
        <f t="shared" si="13"/>
        <v>100</v>
      </c>
      <c r="V30" s="774" t="s">
        <v>17</v>
      </c>
      <c r="W30" s="775">
        <f t="shared" si="14"/>
        <v>100</v>
      </c>
      <c r="X30" s="1813"/>
      <c r="Y30" s="3244"/>
      <c r="Z30" s="1814">
        <f t="shared" si="15"/>
        <v>111</v>
      </c>
      <c r="AA30" s="1811">
        <f t="shared" si="3"/>
        <v>1</v>
      </c>
      <c r="AB30" s="1811">
        <f t="shared" si="4"/>
        <v>1</v>
      </c>
      <c r="AC30" s="2672">
        <f t="shared" si="5"/>
        <v>1</v>
      </c>
    </row>
    <row r="31" spans="1:29" ht="15" hidden="1">
      <c r="A31" s="428"/>
      <c r="B31" s="2676">
        <v>111</v>
      </c>
      <c r="C31" s="432"/>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51"/>
      <c r="Q31" s="1810">
        <f t="shared" si="11"/>
        <v>111</v>
      </c>
      <c r="R31" s="774" t="s">
        <v>17</v>
      </c>
      <c r="S31" s="775">
        <f t="shared" si="12"/>
        <v>100</v>
      </c>
      <c r="T31" s="774" t="s">
        <v>17</v>
      </c>
      <c r="U31" s="775">
        <f t="shared" si="13"/>
        <v>100</v>
      </c>
      <c r="V31" s="774" t="s">
        <v>17</v>
      </c>
      <c r="W31" s="775">
        <f t="shared" si="14"/>
        <v>100</v>
      </c>
      <c r="X31" s="1813"/>
      <c r="Y31" s="3244"/>
      <c r="Z31" s="1814">
        <f t="shared" si="15"/>
        <v>111</v>
      </c>
      <c r="AA31" s="1811">
        <f t="shared" si="3"/>
        <v>1</v>
      </c>
      <c r="AB31" s="1811">
        <f t="shared" si="4"/>
        <v>1</v>
      </c>
      <c r="AC31" s="2672">
        <f t="shared" si="5"/>
        <v>1</v>
      </c>
    </row>
    <row r="32" spans="1:29" ht="15.75" hidden="1" thickBot="1">
      <c r="A32" s="436"/>
      <c r="B32" s="635">
        <v>111</v>
      </c>
      <c r="C32" s="628"/>
      <c r="D32" s="438">
        <v>100</v>
      </c>
      <c r="E32" s="628"/>
      <c r="F32" s="438">
        <f>SUMIF(99:99,E32,100:100)-SUMIF(99:99,C32,100:100)+100</f>
        <v>100</v>
      </c>
      <c r="G32" s="2670"/>
      <c r="H32" s="438">
        <f>SUMIF(99:99,G32,100:100)-SUMIF(99:99,C32,100:100)+100</f>
        <v>100</v>
      </c>
      <c r="I32" s="628"/>
      <c r="J32" s="438">
        <f>SUMIF(99:99,I32,100:100)-SUMIF(99:99,C32,100:100)+100</f>
        <v>100</v>
      </c>
      <c r="K32" s="613"/>
      <c r="L32" s="1140"/>
      <c r="M32" s="1131"/>
      <c r="N32" s="1131"/>
      <c r="O32" s="1131"/>
      <c r="P32" s="3251"/>
      <c r="Q32" s="1810">
        <f t="shared" si="11"/>
        <v>111</v>
      </c>
      <c r="R32" s="774" t="s">
        <v>17</v>
      </c>
      <c r="S32" s="775">
        <f t="shared" si="12"/>
        <v>100</v>
      </c>
      <c r="T32" s="774" t="s">
        <v>17</v>
      </c>
      <c r="U32" s="775">
        <f t="shared" si="13"/>
        <v>100</v>
      </c>
      <c r="V32" s="774" t="s">
        <v>17</v>
      </c>
      <c r="W32" s="775">
        <f t="shared" si="14"/>
        <v>100</v>
      </c>
      <c r="X32" s="1813"/>
      <c r="Y32" s="3244"/>
      <c r="Z32" s="1814">
        <f t="shared" si="15"/>
        <v>111</v>
      </c>
      <c r="AA32" s="1811">
        <f t="shared" si="3"/>
        <v>1</v>
      </c>
      <c r="AB32" s="1811">
        <f t="shared" si="4"/>
        <v>1</v>
      </c>
      <c r="AC32" s="2672">
        <f t="shared" si="5"/>
        <v>1</v>
      </c>
    </row>
    <row r="33" spans="1:29" ht="15.75" thickBot="1">
      <c r="A33" s="440" t="s">
        <v>2554</v>
      </c>
      <c r="B33" s="71" t="s">
        <v>2684</v>
      </c>
      <c r="C33" s="2677" t="s">
        <v>3091</v>
      </c>
      <c r="D33" s="467">
        <v>100</v>
      </c>
      <c r="E33" s="2677" t="s">
        <v>3091</v>
      </c>
      <c r="F33" s="467">
        <f>SUMIF(101:101,E33,102:102)-SUMIF(101:101,C33,102:102)+100</f>
        <v>100</v>
      </c>
      <c r="G33" s="2677" t="s">
        <v>3091</v>
      </c>
      <c r="H33" s="467">
        <f>SUMIF(101:101,G33,102:102)-SUMIF(101:101,C33,102:102)+100</f>
        <v>100</v>
      </c>
      <c r="I33" s="2677" t="s">
        <v>3091</v>
      </c>
      <c r="J33" s="467">
        <f>SUMIF(101:101,I33,102:102)-SUMIF(101:101,C33,102:102)+100</f>
        <v>100</v>
      </c>
      <c r="K33" s="612">
        <v>2</v>
      </c>
      <c r="L33" s="1140"/>
      <c r="M33" s="1131"/>
      <c r="N33" s="1131"/>
      <c r="O33" s="1131"/>
      <c r="P33" s="3245" t="s">
        <v>2556</v>
      </c>
      <c r="Q33" s="1810" t="str">
        <f t="shared" si="11"/>
        <v>建筑类型</v>
      </c>
      <c r="R33" s="774" t="s">
        <v>17</v>
      </c>
      <c r="S33" s="775">
        <f t="shared" si="12"/>
        <v>100</v>
      </c>
      <c r="T33" s="774" t="s">
        <v>17</v>
      </c>
      <c r="U33" s="775">
        <f t="shared" si="13"/>
        <v>100</v>
      </c>
      <c r="V33" s="774" t="s">
        <v>17</v>
      </c>
      <c r="W33" s="775">
        <f t="shared" si="14"/>
        <v>100</v>
      </c>
      <c r="X33" s="1813"/>
      <c r="Y33" s="3248" t="s">
        <v>2556</v>
      </c>
      <c r="Z33" s="1814" t="str">
        <f t="shared" si="15"/>
        <v>建筑类型</v>
      </c>
      <c r="AA33" s="1811">
        <f t="shared" si="3"/>
        <v>1</v>
      </c>
      <c r="AB33" s="1811">
        <f t="shared" si="4"/>
        <v>1</v>
      </c>
      <c r="AC33" s="2672">
        <f t="shared" si="5"/>
        <v>1</v>
      </c>
    </row>
    <row r="34" spans="1:29" s="471" customFormat="1" ht="15.75" thickBot="1">
      <c r="A34" s="468"/>
      <c r="B34" s="422" t="s">
        <v>2557</v>
      </c>
      <c r="C34" s="2963">
        <f>'数据-汇总表'!E3</f>
        <v>8276.64</v>
      </c>
      <c r="D34" s="467">
        <v>100</v>
      </c>
      <c r="E34" s="2963">
        <v>500</v>
      </c>
      <c r="F34" s="467">
        <f>LOOKUP(E34,104:104,105:105)-LOOKUP(C34,104:104,105:105)+100</f>
        <v>111</v>
      </c>
      <c r="G34" s="2963">
        <v>1200</v>
      </c>
      <c r="H34" s="467">
        <f>LOOKUP(G34,104:104,105:105)-LOOKUP(C34,104:104,105:105)+100</f>
        <v>111</v>
      </c>
      <c r="I34" s="2963">
        <v>600</v>
      </c>
      <c r="J34" s="467">
        <f>LOOKUP(I34,104:104,105:105)-LOOKUP(C34,104:104,105:105)+100</f>
        <v>111</v>
      </c>
      <c r="K34" s="613"/>
      <c r="L34" s="1138"/>
      <c r="M34" s="1141"/>
      <c r="N34" s="1141"/>
      <c r="O34" s="1141"/>
      <c r="P34" s="3246"/>
      <c r="Q34" s="776" t="str">
        <f t="shared" si="11"/>
        <v>项目建筑规模</v>
      </c>
      <c r="R34" s="777" t="s">
        <v>17</v>
      </c>
      <c r="S34" s="778">
        <f t="shared" si="12"/>
        <v>111</v>
      </c>
      <c r="T34" s="777" t="s">
        <v>17</v>
      </c>
      <c r="U34" s="778">
        <f t="shared" si="13"/>
        <v>111</v>
      </c>
      <c r="V34" s="777" t="s">
        <v>17</v>
      </c>
      <c r="W34" s="778">
        <f t="shared" si="14"/>
        <v>111</v>
      </c>
      <c r="X34" s="779"/>
      <c r="Y34" s="3248"/>
      <c r="Z34" s="780" t="str">
        <f t="shared" si="15"/>
        <v>项目建筑规模</v>
      </c>
      <c r="AA34" s="1811">
        <f t="shared" si="3"/>
        <v>0.90090090090090091</v>
      </c>
      <c r="AB34" s="1811">
        <f t="shared" si="4"/>
        <v>0.90090090090090091</v>
      </c>
      <c r="AC34" s="2672">
        <f t="shared" si="5"/>
        <v>0.90090090090090091</v>
      </c>
    </row>
    <row r="35" spans="1:29" ht="15.75" thickBot="1">
      <c r="A35" s="472"/>
      <c r="B35" s="422" t="s">
        <v>2558</v>
      </c>
      <c r="C35" s="460" t="s">
        <v>3083</v>
      </c>
      <c r="D35" s="467">
        <v>100</v>
      </c>
      <c r="E35" s="460" t="s">
        <v>3083</v>
      </c>
      <c r="F35" s="467">
        <f>SUMIF(106:106,E35,107:107)-SUMIF(106:106,C35,107:107)+100</f>
        <v>100</v>
      </c>
      <c r="G35" s="460" t="s">
        <v>3083</v>
      </c>
      <c r="H35" s="467">
        <f>SUMIF(106:106,G35,107:107)-SUMIF(106:106,C35,107:107)+100</f>
        <v>100</v>
      </c>
      <c r="I35" s="460" t="s">
        <v>3083</v>
      </c>
      <c r="J35" s="467">
        <f>SUMIF(106:106,I35,107:107)-SUMIF(106:106,C35,107:107)+100</f>
        <v>100</v>
      </c>
      <c r="K35" s="612">
        <v>3</v>
      </c>
      <c r="L35" s="1140"/>
      <c r="M35" s="1131"/>
      <c r="N35" s="1131"/>
      <c r="O35" s="1131"/>
      <c r="P35" s="3246"/>
      <c r="Q35" s="1810" t="str">
        <f t="shared" si="11"/>
        <v>建筑结构</v>
      </c>
      <c r="R35" s="774" t="s">
        <v>17</v>
      </c>
      <c r="S35" s="775">
        <f t="shared" si="12"/>
        <v>100</v>
      </c>
      <c r="T35" s="774" t="s">
        <v>17</v>
      </c>
      <c r="U35" s="775">
        <f t="shared" si="13"/>
        <v>100</v>
      </c>
      <c r="V35" s="774" t="s">
        <v>17</v>
      </c>
      <c r="W35" s="775">
        <f t="shared" si="14"/>
        <v>100</v>
      </c>
      <c r="X35" s="1813"/>
      <c r="Y35" s="3248"/>
      <c r="Z35" s="1814" t="str">
        <f t="shared" si="15"/>
        <v>建筑结构</v>
      </c>
      <c r="AA35" s="1811">
        <f t="shared" si="3"/>
        <v>1</v>
      </c>
      <c r="AB35" s="1811">
        <f t="shared" si="4"/>
        <v>1</v>
      </c>
      <c r="AC35" s="2672">
        <f t="shared" si="5"/>
        <v>1</v>
      </c>
    </row>
    <row r="36" spans="1:29" ht="15">
      <c r="A36" s="472"/>
      <c r="B36" s="422" t="s">
        <v>2652</v>
      </c>
      <c r="C36" s="460" t="s">
        <v>3092</v>
      </c>
      <c r="D36" s="467">
        <v>100</v>
      </c>
      <c r="E36" s="460" t="s">
        <v>3092</v>
      </c>
      <c r="F36" s="467">
        <f>SUMIF(108:108,E36,109:109)-SUMIF(108:108,C36,109:109)+100</f>
        <v>100</v>
      </c>
      <c r="G36" s="460" t="s">
        <v>3092</v>
      </c>
      <c r="H36" s="467">
        <f>SUMIF(108:108,G36,109:109)-SUMIF(108:108,C36,109:109)+100</f>
        <v>100</v>
      </c>
      <c r="I36" s="460" t="s">
        <v>3092</v>
      </c>
      <c r="J36" s="467">
        <f>SUMIF(108:108,I36,109:109)-SUMIF(108:108,C36,109:109)+100</f>
        <v>100</v>
      </c>
      <c r="K36" s="612">
        <v>2</v>
      </c>
      <c r="L36" s="1140"/>
      <c r="M36" s="1131"/>
      <c r="N36" s="1131"/>
      <c r="O36" s="1131"/>
      <c r="P36" s="3246"/>
      <c r="Q36" s="1810" t="str">
        <f t="shared" si="11"/>
        <v>公共部分装修</v>
      </c>
      <c r="R36" s="774" t="s">
        <v>17</v>
      </c>
      <c r="S36" s="775">
        <f t="shared" si="12"/>
        <v>100</v>
      </c>
      <c r="T36" s="774" t="s">
        <v>17</v>
      </c>
      <c r="U36" s="775">
        <f t="shared" si="13"/>
        <v>100</v>
      </c>
      <c r="V36" s="774" t="s">
        <v>17</v>
      </c>
      <c r="W36" s="775">
        <f t="shared" si="14"/>
        <v>100</v>
      </c>
      <c r="X36" s="1813"/>
      <c r="Y36" s="3248"/>
      <c r="Z36" s="1814" t="str">
        <f t="shared" si="15"/>
        <v>公共部分装修</v>
      </c>
      <c r="AA36" s="1811">
        <f t="shared" si="3"/>
        <v>1</v>
      </c>
      <c r="AB36" s="1811">
        <f t="shared" si="4"/>
        <v>1</v>
      </c>
      <c r="AC36" s="2672">
        <f t="shared" si="5"/>
        <v>1</v>
      </c>
    </row>
    <row r="37" spans="1:29" ht="15">
      <c r="A37" s="472"/>
      <c r="B37" s="422" t="s">
        <v>2653</v>
      </c>
      <c r="C37" s="2955">
        <f>ROUND(1-(1-0)*(2019-2004)/60,2)</f>
        <v>0.75</v>
      </c>
      <c r="D37" s="435">
        <v>100</v>
      </c>
      <c r="E37" s="2955">
        <f>ROUND(1-(1-0)*(2019-2006)/60,2)</f>
        <v>0.78</v>
      </c>
      <c r="F37" s="461">
        <f>LOOKUP(E37,111:111,112:112)-LOOKUP(C37,111:111,112:112)+100</f>
        <v>100</v>
      </c>
      <c r="G37" s="474">
        <f>ROUND(1-(2019-2003)/60,2)</f>
        <v>0.73</v>
      </c>
      <c r="H37" s="461">
        <f>LOOKUP(G37,111:111,112:112)-LOOKUP(C37,111:111,112:112)+100</f>
        <v>100</v>
      </c>
      <c r="I37" s="2955">
        <f>ROUND(1-(1-0)*(2019-2006)/60,2)</f>
        <v>0.78</v>
      </c>
      <c r="J37" s="435">
        <f>LOOKUP(I37,111:111,112:112)-LOOKUP(C37,111:111,112:112)+100</f>
        <v>100</v>
      </c>
      <c r="K37" s="612">
        <v>1</v>
      </c>
      <c r="L37" s="1140"/>
      <c r="M37" s="1131"/>
      <c r="N37" s="1131"/>
      <c r="O37" s="1131"/>
      <c r="P37" s="3246"/>
      <c r="Q37" s="1810" t="str">
        <f t="shared" si="11"/>
        <v>成新度</v>
      </c>
      <c r="R37" s="774" t="s">
        <v>17</v>
      </c>
      <c r="S37" s="775">
        <f t="shared" si="12"/>
        <v>100</v>
      </c>
      <c r="T37" s="774" t="s">
        <v>17</v>
      </c>
      <c r="U37" s="775">
        <f t="shared" si="13"/>
        <v>100</v>
      </c>
      <c r="V37" s="774" t="s">
        <v>17</v>
      </c>
      <c r="W37" s="775">
        <f t="shared" si="14"/>
        <v>100</v>
      </c>
      <c r="X37" s="1813"/>
      <c r="Y37" s="3248"/>
      <c r="Z37" s="1814" t="str">
        <f t="shared" si="15"/>
        <v>成新度</v>
      </c>
      <c r="AA37" s="1811">
        <f t="shared" si="3"/>
        <v>1</v>
      </c>
      <c r="AB37" s="1811">
        <f t="shared" si="4"/>
        <v>1</v>
      </c>
      <c r="AC37" s="2672">
        <f t="shared" si="5"/>
        <v>1</v>
      </c>
    </row>
    <row r="38" spans="1:29" s="117" customFormat="1" ht="15">
      <c r="A38" s="473"/>
      <c r="B38" s="422" t="s">
        <v>2685</v>
      </c>
      <c r="C38" s="460" t="s">
        <v>3093</v>
      </c>
      <c r="D38" s="136">
        <v>100</v>
      </c>
      <c r="E38" s="460" t="s">
        <v>3093</v>
      </c>
      <c r="F38" s="461">
        <f>SUMIF(113:113,E38,114:114)-SUMIF(113:113,C38,114:114)+100</f>
        <v>100</v>
      </c>
      <c r="G38" s="460" t="s">
        <v>3093</v>
      </c>
      <c r="H38" s="435">
        <f>SUMIF(113:113,G38,114:114)-SUMIF(113:113,C38,114:114)+100</f>
        <v>100</v>
      </c>
      <c r="I38" s="460" t="s">
        <v>3093</v>
      </c>
      <c r="J38" s="435">
        <f>SUMIF(113:113,I38,114:114)-SUMIF(113:113,C38,114:114)+100</f>
        <v>100</v>
      </c>
      <c r="K38" s="612">
        <v>2</v>
      </c>
      <c r="L38" s="1132"/>
      <c r="M38" s="1133"/>
      <c r="N38" s="1133"/>
      <c r="O38" s="1133"/>
      <c r="P38" s="3246"/>
      <c r="Q38" s="1795" t="str">
        <f t="shared" si="11"/>
        <v>写字楼等级</v>
      </c>
      <c r="R38" s="770" t="s">
        <v>17</v>
      </c>
      <c r="S38" s="771">
        <f t="shared" si="12"/>
        <v>100</v>
      </c>
      <c r="T38" s="770" t="s">
        <v>17</v>
      </c>
      <c r="U38" s="771">
        <f t="shared" si="13"/>
        <v>100</v>
      </c>
      <c r="V38" s="770" t="s">
        <v>17</v>
      </c>
      <c r="W38" s="771">
        <f t="shared" si="14"/>
        <v>100</v>
      </c>
      <c r="X38" s="772"/>
      <c r="Y38" s="3248"/>
      <c r="Z38" s="55" t="str">
        <f t="shared" si="15"/>
        <v>写字楼等级</v>
      </c>
      <c r="AA38" s="773">
        <f t="shared" si="3"/>
        <v>1</v>
      </c>
      <c r="AB38" s="773">
        <f t="shared" si="4"/>
        <v>1</v>
      </c>
      <c r="AC38" s="2669">
        <f t="shared" si="5"/>
        <v>1</v>
      </c>
    </row>
    <row r="39" spans="1:29" ht="15">
      <c r="A39" s="472"/>
      <c r="B39" s="422" t="s">
        <v>2686</v>
      </c>
      <c r="C39" s="460" t="s">
        <v>3094</v>
      </c>
      <c r="D39" s="435">
        <v>100</v>
      </c>
      <c r="E39" s="460" t="s">
        <v>3094</v>
      </c>
      <c r="F39" s="461">
        <f>SUMIF(115:115,E39,116:116)-SUMIF(115:115,C39,116:116)+100</f>
        <v>100</v>
      </c>
      <c r="G39" s="460" t="s">
        <v>3094</v>
      </c>
      <c r="H39" s="435">
        <f>SUMIF(115:115,G39,116:116)-SUMIF(115:115,C39,116:116)+100</f>
        <v>100</v>
      </c>
      <c r="I39" s="460" t="s">
        <v>3094</v>
      </c>
      <c r="J39" s="435">
        <f>SUMIF(115:115,I39,116:116)-SUMIF(115:115,C39,116:116)+100</f>
        <v>100</v>
      </c>
      <c r="K39" s="612">
        <v>1</v>
      </c>
      <c r="L39" s="1140"/>
      <c r="M39" s="1131"/>
      <c r="N39" s="1131"/>
      <c r="O39" s="1131"/>
      <c r="P39" s="3246" t="s">
        <v>2556</v>
      </c>
      <c r="Q39" s="1810" t="str">
        <f t="shared" si="11"/>
        <v>物业管理</v>
      </c>
      <c r="R39" s="774" t="s">
        <v>17</v>
      </c>
      <c r="S39" s="775">
        <f t="shared" si="12"/>
        <v>100</v>
      </c>
      <c r="T39" s="774" t="s">
        <v>17</v>
      </c>
      <c r="U39" s="775">
        <f t="shared" si="13"/>
        <v>100</v>
      </c>
      <c r="V39" s="774" t="s">
        <v>17</v>
      </c>
      <c r="W39" s="775">
        <f t="shared" si="14"/>
        <v>100</v>
      </c>
      <c r="X39" s="1813"/>
      <c r="Y39" s="3248" t="s">
        <v>2556</v>
      </c>
      <c r="Z39" s="1814" t="str">
        <f t="shared" si="15"/>
        <v>物业管理</v>
      </c>
      <c r="AA39" s="1811">
        <f t="shared" si="3"/>
        <v>1</v>
      </c>
      <c r="AB39" s="1811">
        <f t="shared" si="4"/>
        <v>1</v>
      </c>
      <c r="AC39" s="2672">
        <f t="shared" si="5"/>
        <v>1</v>
      </c>
    </row>
    <row r="40" spans="1:29" ht="15">
      <c r="A40" s="472"/>
      <c r="B40" s="422" t="s">
        <v>2654</v>
      </c>
      <c r="C40" s="460" t="s">
        <v>3095</v>
      </c>
      <c r="D40" s="435">
        <v>100</v>
      </c>
      <c r="E40" s="460" t="s">
        <v>3095</v>
      </c>
      <c r="F40" s="461">
        <f>SUMIF(117:117,E40,118:118)-SUMIF(117:117,C40,118:118)+100</f>
        <v>100</v>
      </c>
      <c r="G40" s="460" t="s">
        <v>3095</v>
      </c>
      <c r="H40" s="435">
        <f>SUMIF(117:117,G40,118:118)-SUMIF(117:117,C40,118:118)+100</f>
        <v>100</v>
      </c>
      <c r="I40" s="460" t="s">
        <v>3095</v>
      </c>
      <c r="J40" s="435">
        <f>SUMIF(117:117,I40,118:118)-SUMIF(117:117,C40,118:118)+100</f>
        <v>100</v>
      </c>
      <c r="K40" s="612">
        <v>2</v>
      </c>
      <c r="L40" s="1140"/>
      <c r="M40" s="1131"/>
      <c r="N40" s="1131"/>
      <c r="O40" s="1131"/>
      <c r="P40" s="3246"/>
      <c r="Q40" s="1810" t="str">
        <f t="shared" si="11"/>
        <v>市政基础设施</v>
      </c>
      <c r="R40" s="774" t="s">
        <v>17</v>
      </c>
      <c r="S40" s="775">
        <f t="shared" si="12"/>
        <v>100</v>
      </c>
      <c r="T40" s="774" t="s">
        <v>17</v>
      </c>
      <c r="U40" s="775">
        <f t="shared" si="13"/>
        <v>100</v>
      </c>
      <c r="V40" s="774" t="s">
        <v>17</v>
      </c>
      <c r="W40" s="775">
        <f t="shared" si="14"/>
        <v>100</v>
      </c>
      <c r="X40" s="1813"/>
      <c r="Y40" s="3248"/>
      <c r="Z40" s="1814" t="str">
        <f t="shared" si="15"/>
        <v>市政基础设施</v>
      </c>
      <c r="AA40" s="1811">
        <f t="shared" si="3"/>
        <v>1</v>
      </c>
      <c r="AB40" s="1811">
        <f t="shared" si="4"/>
        <v>1</v>
      </c>
      <c r="AC40" s="2672">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46"/>
      <c r="Q41" s="1810" t="str">
        <f t="shared" si="11"/>
        <v>层高</v>
      </c>
      <c r="R41" s="774" t="s">
        <v>17</v>
      </c>
      <c r="S41" s="775">
        <f t="shared" si="12"/>
        <v>100</v>
      </c>
      <c r="T41" s="774" t="s">
        <v>17</v>
      </c>
      <c r="U41" s="775">
        <f t="shared" si="13"/>
        <v>100</v>
      </c>
      <c r="V41" s="774" t="s">
        <v>17</v>
      </c>
      <c r="W41" s="775">
        <f t="shared" si="14"/>
        <v>100</v>
      </c>
      <c r="X41" s="1813"/>
      <c r="Y41" s="3248"/>
      <c r="Z41" s="1814" t="str">
        <f t="shared" si="15"/>
        <v>层高</v>
      </c>
      <c r="AA41" s="1811">
        <f t="shared" si="3"/>
        <v>1</v>
      </c>
      <c r="AB41" s="1811">
        <f t="shared" si="4"/>
        <v>1</v>
      </c>
      <c r="AC41" s="2672">
        <f t="shared" si="5"/>
        <v>1</v>
      </c>
    </row>
    <row r="42" spans="1:29" s="471" customFormat="1" ht="15" hidden="1">
      <c r="A42" s="468"/>
      <c r="B42" s="1812"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46"/>
      <c r="Q42" s="776" t="str">
        <f t="shared" si="11"/>
        <v>单套建筑面积</v>
      </c>
      <c r="R42" s="777" t="s">
        <v>17</v>
      </c>
      <c r="S42" s="778">
        <f t="shared" si="12"/>
        <v>100</v>
      </c>
      <c r="T42" s="777" t="s">
        <v>17</v>
      </c>
      <c r="U42" s="778">
        <f t="shared" si="13"/>
        <v>100</v>
      </c>
      <c r="V42" s="777" t="s">
        <v>17</v>
      </c>
      <c r="W42" s="778">
        <f t="shared" si="14"/>
        <v>100</v>
      </c>
      <c r="X42" s="779"/>
      <c r="Y42" s="3248"/>
      <c r="Z42" s="780" t="str">
        <f t="shared" si="15"/>
        <v>单套建筑面积</v>
      </c>
      <c r="AA42" s="1811">
        <f t="shared" si="3"/>
        <v>1</v>
      </c>
      <c r="AB42" s="1811">
        <f t="shared" si="4"/>
        <v>1</v>
      </c>
      <c r="AC42" s="2672">
        <f t="shared" si="5"/>
        <v>1</v>
      </c>
    </row>
    <row r="43" spans="1:29" ht="15">
      <c r="A43" s="472"/>
      <c r="B43" s="422" t="s">
        <v>2659</v>
      </c>
      <c r="C43" s="460" t="s">
        <v>3096</v>
      </c>
      <c r="D43" s="435">
        <v>100</v>
      </c>
      <c r="E43" s="460" t="s">
        <v>3096</v>
      </c>
      <c r="F43" s="461">
        <f>SUMIF(123:123,E43,124:124)-SUMIF(123:123,C43,124:124)+100</f>
        <v>100</v>
      </c>
      <c r="G43" s="460" t="s">
        <v>3096</v>
      </c>
      <c r="H43" s="435">
        <f>SUMIF(123:123,G43,124:124)-SUMIF(123:123,C43,124:124)+100</f>
        <v>100</v>
      </c>
      <c r="I43" s="460" t="s">
        <v>3096</v>
      </c>
      <c r="J43" s="435">
        <f>SUMIF(123:123,I43,124:124)-SUMIF(123:123,C43,124:124)+100</f>
        <v>100</v>
      </c>
      <c r="K43" s="612">
        <v>2</v>
      </c>
      <c r="L43" s="1140"/>
      <c r="M43" s="1131"/>
      <c r="N43" s="1131"/>
      <c r="O43" s="1131"/>
      <c r="P43" s="3246"/>
      <c r="Q43" s="1810" t="str">
        <f t="shared" si="11"/>
        <v>内部装修</v>
      </c>
      <c r="R43" s="774" t="s">
        <v>17</v>
      </c>
      <c r="S43" s="775">
        <f t="shared" si="12"/>
        <v>100</v>
      </c>
      <c r="T43" s="774" t="s">
        <v>17</v>
      </c>
      <c r="U43" s="775">
        <f t="shared" si="13"/>
        <v>100</v>
      </c>
      <c r="V43" s="774" t="s">
        <v>17</v>
      </c>
      <c r="W43" s="775">
        <f t="shared" si="14"/>
        <v>100</v>
      </c>
      <c r="X43" s="1813"/>
      <c r="Y43" s="3248"/>
      <c r="Z43" s="1814" t="str">
        <f t="shared" si="15"/>
        <v>内部装修</v>
      </c>
      <c r="AA43" s="1811">
        <f t="shared" si="3"/>
        <v>1</v>
      </c>
      <c r="AB43" s="1811">
        <f t="shared" si="4"/>
        <v>1</v>
      </c>
      <c r="AC43" s="2672">
        <f t="shared" si="5"/>
        <v>1</v>
      </c>
    </row>
    <row r="44" spans="1:29" ht="15.75" thickBot="1">
      <c r="A44" s="472"/>
      <c r="B44" s="422" t="s">
        <v>2567</v>
      </c>
      <c r="C44" s="2611" t="s">
        <v>3077</v>
      </c>
      <c r="D44" s="435">
        <v>100</v>
      </c>
      <c r="E44" s="2611" t="s">
        <v>3077</v>
      </c>
      <c r="F44" s="461">
        <f>SUMIF(125:125,E44,126:126)-SUMIF(125:125,C44,126:126)+100</f>
        <v>100</v>
      </c>
      <c r="G44" s="2611" t="s">
        <v>3077</v>
      </c>
      <c r="H44" s="435">
        <f>SUMIF(125:125,G44,126:126)-SUMIF(125:125,C44,126:126)+100</f>
        <v>100</v>
      </c>
      <c r="I44" s="2611" t="s">
        <v>3077</v>
      </c>
      <c r="J44" s="435">
        <f>SUMIF(125:125,I44,126:126)-SUMIF(125:125,C44,126:126)+100</f>
        <v>100</v>
      </c>
      <c r="K44" s="612">
        <v>1</v>
      </c>
      <c r="L44" s="1140"/>
      <c r="M44" s="1131"/>
      <c r="N44" s="1131"/>
      <c r="O44" s="1131"/>
      <c r="P44" s="3246"/>
      <c r="Q44" s="1810" t="str">
        <f t="shared" si="11"/>
        <v>内部装修维护情况</v>
      </c>
      <c r="R44" s="774" t="s">
        <v>17</v>
      </c>
      <c r="S44" s="775">
        <f t="shared" si="12"/>
        <v>100</v>
      </c>
      <c r="T44" s="774" t="s">
        <v>17</v>
      </c>
      <c r="U44" s="775">
        <f t="shared" si="13"/>
        <v>100</v>
      </c>
      <c r="V44" s="774" t="s">
        <v>17</v>
      </c>
      <c r="W44" s="775">
        <f t="shared" si="14"/>
        <v>100</v>
      </c>
      <c r="X44" s="1813"/>
      <c r="Y44" s="3248"/>
      <c r="Z44" s="1814" t="str">
        <f t="shared" si="15"/>
        <v>内部装修维护情况</v>
      </c>
      <c r="AA44" s="1811">
        <f t="shared" si="3"/>
        <v>1</v>
      </c>
      <c r="AB44" s="1811">
        <f t="shared" si="4"/>
        <v>1</v>
      </c>
      <c r="AC44" s="2672">
        <f t="shared" si="5"/>
        <v>1</v>
      </c>
    </row>
    <row r="45" spans="1:29" s="117" customFormat="1" ht="15" hidden="1">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6"/>
      <c r="Q45" s="1795">
        <f t="shared" si="11"/>
        <v>111</v>
      </c>
      <c r="R45" s="770" t="s">
        <v>17</v>
      </c>
      <c r="S45" s="771">
        <f t="shared" si="12"/>
        <v>100</v>
      </c>
      <c r="T45" s="770" t="s">
        <v>17</v>
      </c>
      <c r="U45" s="771">
        <f t="shared" si="13"/>
        <v>100</v>
      </c>
      <c r="V45" s="770" t="s">
        <v>17</v>
      </c>
      <c r="W45" s="771">
        <f t="shared" si="14"/>
        <v>100</v>
      </c>
      <c r="X45" s="772"/>
      <c r="Y45" s="3248"/>
      <c r="Z45" s="55">
        <f t="shared" si="15"/>
        <v>111</v>
      </c>
      <c r="AA45" s="773">
        <f t="shared" si="3"/>
        <v>1</v>
      </c>
      <c r="AB45" s="773">
        <f t="shared" si="4"/>
        <v>1</v>
      </c>
      <c r="AC45" s="2669">
        <f t="shared" si="5"/>
        <v>1</v>
      </c>
    </row>
    <row r="46" spans="1:29" ht="15" hidden="1">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6"/>
      <c r="Q46" s="1810">
        <f t="shared" si="11"/>
        <v>111</v>
      </c>
      <c r="R46" s="774" t="s">
        <v>17</v>
      </c>
      <c r="S46" s="775">
        <f t="shared" si="12"/>
        <v>100</v>
      </c>
      <c r="T46" s="774" t="s">
        <v>17</v>
      </c>
      <c r="U46" s="775">
        <f t="shared" si="13"/>
        <v>100</v>
      </c>
      <c r="V46" s="774" t="s">
        <v>17</v>
      </c>
      <c r="W46" s="775">
        <f t="shared" si="14"/>
        <v>100</v>
      </c>
      <c r="X46" s="1813"/>
      <c r="Y46" s="3248"/>
      <c r="Z46" s="1814">
        <f t="shared" si="15"/>
        <v>111</v>
      </c>
      <c r="AA46" s="1811">
        <f t="shared" si="3"/>
        <v>1</v>
      </c>
      <c r="AB46" s="1811">
        <f t="shared" si="4"/>
        <v>1</v>
      </c>
      <c r="AC46" s="2672">
        <f t="shared" si="5"/>
        <v>1</v>
      </c>
    </row>
    <row r="47" spans="1:29" ht="15.75" hidden="1" thickBot="1">
      <c r="A47" s="478"/>
      <c r="B47" s="2600">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7"/>
      <c r="Q47" s="1810">
        <f t="shared" si="11"/>
        <v>111</v>
      </c>
      <c r="R47" s="774" t="s">
        <v>17</v>
      </c>
      <c r="S47" s="775">
        <f t="shared" si="12"/>
        <v>100</v>
      </c>
      <c r="T47" s="774" t="s">
        <v>17</v>
      </c>
      <c r="U47" s="775">
        <f t="shared" si="13"/>
        <v>100</v>
      </c>
      <c r="V47" s="774" t="s">
        <v>17</v>
      </c>
      <c r="W47" s="775">
        <f t="shared" si="14"/>
        <v>100</v>
      </c>
      <c r="X47" s="1813"/>
      <c r="Y47" s="3249"/>
      <c r="Z47" s="1814">
        <f t="shared" si="15"/>
        <v>111</v>
      </c>
      <c r="AA47" s="1811">
        <f t="shared" si="3"/>
        <v>1</v>
      </c>
      <c r="AB47" s="1811">
        <f t="shared" si="4"/>
        <v>1</v>
      </c>
      <c r="AC47" s="2672">
        <f t="shared" si="5"/>
        <v>1</v>
      </c>
    </row>
    <row r="48" spans="1:29" ht="15">
      <c r="A48" s="479" t="s">
        <v>2568</v>
      </c>
      <c r="B48" s="480"/>
      <c r="C48" s="1407" t="s">
        <v>1</v>
      </c>
      <c r="D48" s="1408"/>
      <c r="E48" s="1409">
        <v>6.5</v>
      </c>
      <c r="F48" s="1410"/>
      <c r="G48" s="1411">
        <v>6.5</v>
      </c>
      <c r="H48" s="1412"/>
      <c r="I48" s="1409">
        <v>6.5</v>
      </c>
      <c r="J48" s="485"/>
      <c r="K48" s="783"/>
      <c r="L48" s="1143"/>
      <c r="M48" s="1131"/>
      <c r="N48" s="1131"/>
      <c r="O48" s="1131"/>
      <c r="P48" s="3223" t="str">
        <f>A48</f>
        <v>成交单价（元/平方米）</v>
      </c>
      <c r="Q48" s="3241"/>
      <c r="R48" s="3242">
        <f>E48</f>
        <v>6.5</v>
      </c>
      <c r="S48" s="3242"/>
      <c r="T48" s="3242">
        <f>G48</f>
        <v>6.5</v>
      </c>
      <c r="U48" s="3242"/>
      <c r="V48" s="3242">
        <f>I48</f>
        <v>6.5</v>
      </c>
      <c r="W48" s="3242"/>
      <c r="X48" s="446"/>
      <c r="Y48" s="781"/>
      <c r="Z48" s="446"/>
      <c r="AA48" s="446"/>
      <c r="AB48" s="446"/>
      <c r="AC48" s="630"/>
    </row>
    <row r="49" spans="1:29" ht="15.75" thickBot="1">
      <c r="A49" s="486" t="s">
        <v>2660</v>
      </c>
      <c r="B49" s="487"/>
      <c r="C49" s="1413">
        <f>R50</f>
        <v>5.7</v>
      </c>
      <c r="D49" s="1414"/>
      <c r="E49" s="1415">
        <f>R49</f>
        <v>5.7</v>
      </c>
      <c r="F49" s="1415"/>
      <c r="G49" s="1413">
        <f>T49</f>
        <v>5.5</v>
      </c>
      <c r="H49" s="1414"/>
      <c r="I49" s="1415">
        <f>V49</f>
        <v>5.9</v>
      </c>
      <c r="J49" s="489"/>
      <c r="K49" s="784"/>
      <c r="L49" s="1143"/>
      <c r="M49" s="1131"/>
      <c r="N49" s="1131"/>
      <c r="O49" s="1131"/>
      <c r="P49" s="3223" t="str">
        <f>A49</f>
        <v>比较价值（元/平方米）</v>
      </c>
      <c r="Q49" s="3241"/>
      <c r="R49" s="3242">
        <f>IF(F1="售价",ROUND(PRODUCT(R48,AA7:AA47),0),ROUND(PRODUCT(R48,AA7:AA47),1))</f>
        <v>5.7</v>
      </c>
      <c r="S49" s="3242"/>
      <c r="T49" s="3242">
        <f>IF(F1="售价",ROUND(PRODUCT(T48,AB7:AB47),0),ROUND(PRODUCT(T48,AB7:AB47),1))</f>
        <v>5.5</v>
      </c>
      <c r="U49" s="3242"/>
      <c r="V49" s="3242">
        <f>IF(F1="售价",ROUND(PRODUCT(V48,AC7:AC47),0),ROUND(PRODUCT(V48,AC7:AC47),1))</f>
        <v>5.9</v>
      </c>
      <c r="W49" s="3242"/>
      <c r="X49" s="446"/>
      <c r="Y49" s="446"/>
      <c r="Z49" s="446"/>
      <c r="AA49" s="446"/>
      <c r="AB49" s="446"/>
      <c r="AC49" s="630"/>
    </row>
    <row r="50" spans="1:29" ht="15.75" thickBot="1">
      <c r="A50" s="492" t="s">
        <v>2661</v>
      </c>
      <c r="B50" s="493"/>
      <c r="C50" s="1417">
        <f>R50</f>
        <v>5.7</v>
      </c>
      <c r="D50" s="1417"/>
      <c r="E50" s="1417"/>
      <c r="F50" s="1417"/>
      <c r="G50" s="1417"/>
      <c r="H50" s="1417"/>
      <c r="I50" s="1417"/>
      <c r="J50" s="494"/>
      <c r="K50" s="785"/>
      <c r="L50" s="1143"/>
      <c r="M50" s="1131"/>
      <c r="N50" s="1131"/>
      <c r="O50" s="1131"/>
      <c r="P50" s="3266" t="str">
        <f>A50</f>
        <v>估价对象XX用房的比较价值（楼面单价，元/平方米）</v>
      </c>
      <c r="Q50" s="3267"/>
      <c r="R50" s="3268">
        <f>IF(F1="售价",ROUND(AVERAGE(R49:V49),0),ROUND(AVERAGE(R49:V49),1))</f>
        <v>5.7</v>
      </c>
      <c r="S50" s="3268"/>
      <c r="T50" s="3268"/>
      <c r="U50" s="3268"/>
      <c r="V50" s="3268"/>
      <c r="W50" s="3268"/>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t="s">
        <v>3124</v>
      </c>
      <c r="F52" s="1144"/>
      <c r="G52" s="1144"/>
      <c r="H52" s="1144"/>
      <c r="I52" s="1144"/>
      <c r="J52" s="1144"/>
      <c r="K52" s="1105"/>
      <c r="L52" s="1106"/>
      <c r="M52" s="1144"/>
      <c r="N52" s="1144"/>
      <c r="O52" s="1144"/>
    </row>
    <row r="53" spans="1:29" ht="13.5" customHeight="1">
      <c r="A53" s="1144"/>
      <c r="B53" s="1144"/>
      <c r="C53" s="497" t="s">
        <v>2662</v>
      </c>
      <c r="D53" s="498"/>
      <c r="E53" s="499">
        <f>IF(E48&lt;E49,E49/E48-1,E48/E49-1)</f>
        <v>0.14035087719298245</v>
      </c>
      <c r="F53" s="500" t="str">
        <f>IF(OR(E53&gt;=0.3,E53&lt;=-0.3),"超过30%","")</f>
        <v/>
      </c>
      <c r="G53" s="499">
        <f>IF(G48&lt;G49,G49/G48-1,G48/G49-1)</f>
        <v>0.18181818181818188</v>
      </c>
      <c r="H53" s="500" t="str">
        <f>IF(OR(G53&gt;=0.3,G53&lt;=-0.3),"超过30%","")</f>
        <v/>
      </c>
      <c r="I53" s="499">
        <f>IF(I48&lt;I49,I49/I48-1,I48/I49-1)</f>
        <v>0.10169491525423724</v>
      </c>
      <c r="J53" s="500" t="str">
        <f>IF(OR(I53&gt;=0.3,I53&lt;=-0.3),"超过30%","")</f>
        <v/>
      </c>
      <c r="K53" s="1105"/>
      <c r="L53" s="1106"/>
      <c r="M53" s="1144"/>
      <c r="N53" s="1144"/>
      <c r="O53" s="1144"/>
    </row>
    <row r="54" spans="1:29" ht="13.5" customHeight="1">
      <c r="A54" s="1144"/>
      <c r="B54" s="1144"/>
      <c r="C54" s="497" t="s">
        <v>2663</v>
      </c>
      <c r="D54" s="501"/>
      <c r="E54" s="499">
        <f>IF(E49&lt;G49,G49/E49-1,E49/G49-1)</f>
        <v>3.6363636363636376E-2</v>
      </c>
      <c r="F54" s="500" t="str">
        <f>IF(OR(E54&gt;=0.2,E54&lt;=-0.2),"超过20%","")</f>
        <v/>
      </c>
      <c r="G54" s="499">
        <f>IF(G49&lt;I49,I49/G49-1,G49/I49-1)</f>
        <v>7.2727272727272751E-2</v>
      </c>
      <c r="H54" s="500" t="str">
        <f>IF(OR(G54&gt;=0.2,G54&lt;=-0.2),"超过20%","")</f>
        <v/>
      </c>
      <c r="I54" s="499">
        <f>IF(I49&lt;E49,E49/I49-1,I49/E49-1)</f>
        <v>3.5087719298245723E-2</v>
      </c>
      <c r="J54" s="500" t="str">
        <f>IF(OR(I54&gt;=0.2,I54&lt;=-0.2),"超过20%","")</f>
        <v/>
      </c>
      <c r="K54" s="1105"/>
      <c r="L54" s="1106"/>
      <c r="M54" s="1144"/>
      <c r="N54" s="1144"/>
      <c r="O54" s="1144"/>
    </row>
    <row r="55" spans="1:29" s="502" customFormat="1" ht="13.5" customHeight="1">
      <c r="A55" s="1145"/>
      <c r="B55" s="1145"/>
      <c r="C55" s="497" t="s">
        <v>2664</v>
      </c>
      <c r="D55" s="501"/>
      <c r="E55" s="499">
        <f>IF(E48&lt;G48,G48/E48-1,E48/G48-1)</f>
        <v>0</v>
      </c>
      <c r="F55" s="500" t="str">
        <f>IF(OR(E55&gt;=0.3,E55&lt;=-0.3),"超过30%","")</f>
        <v/>
      </c>
      <c r="G55" s="499">
        <f>IF(G48&lt;I48,I48/G48-1,G48/I48-1)</f>
        <v>0</v>
      </c>
      <c r="H55" s="500" t="str">
        <f>IF(OR(G55&gt;=0.3,G55&lt;=-0.3),"超过30%","")</f>
        <v/>
      </c>
      <c r="I55" s="499">
        <f>IF(I48&lt;E48,E48/I48-1,I48/E48-1)</f>
        <v>0</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2665</v>
      </c>
      <c r="B58" s="759"/>
      <c r="C58" s="764"/>
      <c r="D58" s="764"/>
      <c r="E58" s="764"/>
      <c r="F58" s="765"/>
      <c r="G58" s="765"/>
      <c r="H58" s="764"/>
      <c r="I58" s="764"/>
      <c r="J58" s="764"/>
      <c r="K58" s="766"/>
      <c r="L58" s="1161"/>
      <c r="M58" s="1159"/>
      <c r="N58" s="1159"/>
      <c r="O58" s="1159"/>
      <c r="P58" s="2679"/>
      <c r="Q58" s="504"/>
    </row>
    <row r="59" spans="1:29" s="508" customFormat="1" ht="15">
      <c r="A59" s="505" t="s">
        <v>2539</v>
      </c>
      <c r="B59" s="506"/>
      <c r="C59" s="1574" t="str">
        <f>YEAR(C7)&amp;"-"&amp;MONTH(C7)</f>
        <v>2019-12</v>
      </c>
      <c r="D59" s="1575">
        <f>EDATE(C59,-1)</f>
        <v>43770</v>
      </c>
      <c r="E59" s="1575">
        <f>EDATE(D59,-1)</f>
        <v>43739</v>
      </c>
      <c r="F59" s="1575">
        <f t="shared" ref="F59:O59" si="16">EDATE(E59,-1)</f>
        <v>43709</v>
      </c>
      <c r="G59" s="1575">
        <f t="shared" si="16"/>
        <v>43678</v>
      </c>
      <c r="H59" s="1575">
        <f t="shared" si="16"/>
        <v>43647</v>
      </c>
      <c r="I59" s="1575">
        <f t="shared" si="16"/>
        <v>43617</v>
      </c>
      <c r="J59" s="1575">
        <f t="shared" si="16"/>
        <v>43586</v>
      </c>
      <c r="K59" s="1575">
        <f t="shared" si="16"/>
        <v>43556</v>
      </c>
      <c r="L59" s="1575">
        <f t="shared" si="16"/>
        <v>43525</v>
      </c>
      <c r="M59" s="1575">
        <f t="shared" si="16"/>
        <v>43497</v>
      </c>
      <c r="N59" s="1575">
        <f t="shared" si="16"/>
        <v>43466</v>
      </c>
      <c r="O59" s="1575">
        <f t="shared" si="16"/>
        <v>43435</v>
      </c>
      <c r="P59" s="1571"/>
    </row>
    <row r="60" spans="1:29" s="117" customFormat="1" ht="15">
      <c r="A60" s="509"/>
      <c r="B60" s="510"/>
      <c r="C60" s="1573">
        <v>100</v>
      </c>
      <c r="D60" s="512">
        <v>100</v>
      </c>
      <c r="E60" s="512">
        <v>100</v>
      </c>
      <c r="F60" s="512">
        <v>99</v>
      </c>
      <c r="G60" s="512">
        <v>99</v>
      </c>
      <c r="H60" s="512">
        <v>99</v>
      </c>
      <c r="I60" s="512"/>
      <c r="J60" s="512"/>
      <c r="K60" s="512"/>
      <c r="L60" s="512"/>
      <c r="M60" s="513"/>
      <c r="N60" s="512"/>
      <c r="O60" s="513"/>
      <c r="P60" s="2680"/>
    </row>
    <row r="61" spans="1:29" s="117" customFormat="1" ht="15.75" thickBot="1">
      <c r="A61" s="515" t="s">
        <v>2576</v>
      </c>
      <c r="B61" s="516"/>
      <c r="C61" s="517"/>
      <c r="D61" s="518"/>
      <c r="E61" s="518"/>
      <c r="F61" s="518"/>
      <c r="G61" s="518"/>
      <c r="H61" s="518"/>
      <c r="I61" s="518"/>
      <c r="J61" s="518"/>
      <c r="K61" s="518"/>
      <c r="L61" s="518"/>
      <c r="M61" s="519"/>
      <c r="N61" s="518"/>
      <c r="O61" s="519"/>
      <c r="P61" s="2680"/>
      <c r="Q61" s="504"/>
    </row>
    <row r="62" spans="1:29" s="117" customFormat="1" ht="15">
      <c r="A62" s="521" t="s">
        <v>2541</v>
      </c>
      <c r="B62" s="510"/>
      <c r="C62" s="522" t="s">
        <v>2643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2579</v>
      </c>
      <c r="B64" s="528" t="s">
        <v>2545</v>
      </c>
      <c r="C64" s="529" t="str">
        <f>C9</f>
        <v>办公</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2"/>
      <c r="O66" s="1152"/>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75" thickTop="1">
      <c r="A68" s="534"/>
      <c r="B68" s="546" t="s">
        <v>2549</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v>0</v>
      </c>
      <c r="D69" s="549">
        <v>1</v>
      </c>
      <c r="E69" s="549">
        <v>2</v>
      </c>
      <c r="F69" s="549"/>
      <c r="G69" s="549"/>
      <c r="H69" s="549"/>
      <c r="I69" s="549"/>
      <c r="J69" s="549"/>
      <c r="K69" s="550"/>
      <c r="L69" s="551"/>
      <c r="M69" s="552"/>
      <c r="N69" s="1152"/>
      <c r="O69" s="1152"/>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2"/>
      <c r="Q70" s="504"/>
    </row>
    <row r="71" spans="1:17" s="471" customFormat="1" ht="15.75" thickTop="1">
      <c r="A71" s="553"/>
      <c r="B71" s="538">
        <f>B12</f>
        <v>111</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111</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111</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2"/>
      <c r="O77" s="1152"/>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2"/>
      <c r="O79" s="1152"/>
      <c r="P79" s="2682"/>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3"/>
      <c r="O80" s="1153"/>
      <c r="P80" s="2682"/>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2"/>
      <c r="O81" s="1152"/>
      <c r="P81" s="2682"/>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3"/>
      <c r="O82" s="1153"/>
      <c r="P82" s="2682"/>
      <c r="Q82" s="504"/>
    </row>
    <row r="83" spans="1:17" ht="15.75" thickTop="1">
      <c r="A83" s="534"/>
      <c r="B83" s="546" t="s">
        <v>2680</v>
      </c>
      <c r="C83" s="660" t="s">
        <v>2666</v>
      </c>
      <c r="D83" s="660" t="s">
        <v>2667</v>
      </c>
      <c r="E83" s="660" t="s">
        <v>2668</v>
      </c>
      <c r="F83" s="660" t="s">
        <v>2669</v>
      </c>
      <c r="G83" s="660" t="s">
        <v>2670</v>
      </c>
      <c r="H83" s="539"/>
      <c r="I83" s="539"/>
      <c r="J83" s="539"/>
      <c r="K83" s="539"/>
      <c r="L83" s="539"/>
      <c r="M83" s="1382"/>
      <c r="N83" s="1153"/>
      <c r="O83" s="1153"/>
      <c r="P83" s="2682"/>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3"/>
      <c r="O84" s="1153"/>
      <c r="P84" s="2682"/>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2"/>
      <c r="O85" s="1152"/>
      <c r="P85" s="2682"/>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3"/>
      <c r="O86" s="1153"/>
      <c r="P86" s="2682"/>
      <c r="Q86" s="504"/>
    </row>
    <row r="87" spans="1:17" s="117" customFormat="1" ht="27.75" thickTop="1">
      <c r="A87" s="579"/>
      <c r="B87" s="538" t="s">
        <v>2690</v>
      </c>
      <c r="C87" s="2956" t="s">
        <v>3102</v>
      </c>
      <c r="D87" s="2956" t="s">
        <v>3103</v>
      </c>
      <c r="E87" s="2956" t="s">
        <v>3104</v>
      </c>
      <c r="F87" s="2956" t="s">
        <v>3105</v>
      </c>
      <c r="G87" s="2956" t="s">
        <v>3106</v>
      </c>
      <c r="H87" s="554"/>
      <c r="I87" s="554"/>
      <c r="J87" s="554"/>
      <c r="K87" s="554"/>
      <c r="L87" s="580"/>
      <c r="M87" s="581"/>
      <c r="N87" s="1151"/>
      <c r="O87" s="1151"/>
      <c r="P87" s="2682"/>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3"/>
      <c r="O88" s="1153"/>
      <c r="P88" s="2682"/>
      <c r="Q88" s="504"/>
    </row>
    <row r="89" spans="1:17" s="117" customFormat="1" ht="15.75" thickTop="1">
      <c r="A89" s="579"/>
      <c r="B89" s="538" t="str">
        <f>B27</f>
        <v>楼层</v>
      </c>
      <c r="C89" s="2956" t="s">
        <v>3107</v>
      </c>
      <c r="D89" s="2956" t="s">
        <v>3108</v>
      </c>
      <c r="E89" s="2956" t="s">
        <v>3109</v>
      </c>
      <c r="F89" s="2633"/>
      <c r="G89" s="554"/>
      <c r="H89" s="554"/>
      <c r="I89" s="554"/>
      <c r="J89" s="554"/>
      <c r="K89" s="554"/>
      <c r="L89" s="554"/>
      <c r="M89" s="581"/>
      <c r="N89" s="1151"/>
      <c r="O89" s="1151"/>
      <c r="P89" s="2682"/>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53"/>
      <c r="O90" s="1153"/>
      <c r="P90" s="2682"/>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3"/>
      <c r="Q92" s="559"/>
    </row>
    <row r="93" spans="1:17" ht="15.75" thickTop="1">
      <c r="A93" s="534"/>
      <c r="B93" s="538">
        <f>B29</f>
        <v>111</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111</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111</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111</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2554</v>
      </c>
      <c r="B101" s="528" t="s">
        <v>2603</v>
      </c>
      <c r="C101" s="2957" t="s">
        <v>3110</v>
      </c>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3"/>
      <c r="O102" s="1153"/>
      <c r="P102" s="2682"/>
      <c r="Q102" s="504"/>
    </row>
    <row r="103" spans="1:17" ht="29.25" thickTop="1">
      <c r="A103" s="534"/>
      <c r="B103" s="538" t="s">
        <v>2604</v>
      </c>
      <c r="C103" s="578" t="str">
        <f>C104&amp;"(含)"&amp;"-"&amp;D104</f>
        <v>0(含)-1500</v>
      </c>
      <c r="D103" s="578" t="str">
        <f t="shared" ref="D103:L103" si="23">D104&amp;"(含)"&amp;"-"&amp;E104</f>
        <v>1500(含)-3000</v>
      </c>
      <c r="E103" s="578" t="str">
        <f t="shared" si="23"/>
        <v>3000(含)-4500</v>
      </c>
      <c r="F103" s="578" t="str">
        <f t="shared" si="23"/>
        <v>4500(含)-6000</v>
      </c>
      <c r="G103" s="578" t="str">
        <f t="shared" si="23"/>
        <v>6000(含)-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v>0</v>
      </c>
      <c r="D104" s="595">
        <v>1500</v>
      </c>
      <c r="E104" s="595">
        <v>3000</v>
      </c>
      <c r="F104" s="595">
        <v>4500</v>
      </c>
      <c r="G104" s="595">
        <v>6000</v>
      </c>
      <c r="H104" s="595"/>
      <c r="I104" s="595"/>
      <c r="J104" s="596"/>
      <c r="K104" s="596"/>
      <c r="L104" s="597"/>
      <c r="M104" s="598"/>
      <c r="N104" s="1154"/>
      <c r="O104" s="1154"/>
      <c r="P104" s="2683"/>
      <c r="Q104" s="559"/>
    </row>
    <row r="105" spans="1:17" s="471" customFormat="1" ht="15.75" thickBot="1">
      <c r="A105" s="553"/>
      <c r="B105" s="543"/>
      <c r="C105" s="560">
        <v>100</v>
      </c>
      <c r="D105" s="536">
        <v>97</v>
      </c>
      <c r="E105" s="536">
        <v>94</v>
      </c>
      <c r="F105" s="536">
        <v>91</v>
      </c>
      <c r="G105" s="536">
        <f t="shared" ref="G105:H105" si="24">F105-2</f>
        <v>89</v>
      </c>
      <c r="H105" s="536">
        <f t="shared" si="24"/>
        <v>87</v>
      </c>
      <c r="I105" s="536"/>
      <c r="J105" s="536"/>
      <c r="K105" s="536"/>
      <c r="L105" s="536"/>
      <c r="M105" s="537"/>
      <c r="N105" s="1153"/>
      <c r="O105" s="1153"/>
      <c r="P105" s="2683"/>
      <c r="Q105" s="559"/>
    </row>
    <row r="106" spans="1:17" ht="15" thickTop="1">
      <c r="A106" s="599"/>
      <c r="B106" s="538" t="s">
        <v>2605</v>
      </c>
      <c r="C106" s="2956" t="s">
        <v>3111</v>
      </c>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5">C107-$K35</f>
        <v>97</v>
      </c>
      <c r="E107" s="544">
        <f t="shared" si="25"/>
        <v>94</v>
      </c>
      <c r="F107" s="544">
        <f t="shared" si="25"/>
        <v>91</v>
      </c>
      <c r="G107" s="544">
        <f t="shared" si="25"/>
        <v>88</v>
      </c>
      <c r="H107" s="544">
        <f t="shared" si="25"/>
        <v>85</v>
      </c>
      <c r="I107" s="544">
        <f t="shared" si="25"/>
        <v>82</v>
      </c>
      <c r="J107" s="544">
        <f t="shared" si="25"/>
        <v>79</v>
      </c>
      <c r="K107" s="544">
        <f t="shared" si="25"/>
        <v>76</v>
      </c>
      <c r="L107" s="544">
        <f t="shared" si="25"/>
        <v>73</v>
      </c>
      <c r="M107" s="545">
        <f t="shared" si="25"/>
        <v>70</v>
      </c>
      <c r="N107" s="1153"/>
      <c r="O107" s="1153"/>
      <c r="P107" s="2682"/>
      <c r="Q107" s="504"/>
    </row>
    <row r="108" spans="1:17" ht="15" thickTop="1">
      <c r="A108" s="599"/>
      <c r="B108" s="538" t="s">
        <v>2607</v>
      </c>
      <c r="C108" s="2956" t="s">
        <v>3112</v>
      </c>
      <c r="D108" s="2956" t="s">
        <v>3113</v>
      </c>
      <c r="E108" s="2956" t="s">
        <v>3114</v>
      </c>
      <c r="F108" s="2956" t="s">
        <v>3115</v>
      </c>
      <c r="G108" s="583"/>
      <c r="H108" s="583"/>
      <c r="I108" s="583"/>
      <c r="J108" s="583"/>
      <c r="K108" s="584"/>
      <c r="L108" s="585"/>
      <c r="M108" s="586"/>
      <c r="N108" s="1152"/>
      <c r="O108" s="1152"/>
      <c r="P108" s="2682"/>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3"/>
      <c r="O109" s="1153"/>
      <c r="P109" s="2682"/>
      <c r="Q109" s="504"/>
    </row>
    <row r="110" spans="1:17" ht="15" thickTop="1">
      <c r="A110" s="599"/>
      <c r="B110" s="538" t="s">
        <v>1990</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101</v>
      </c>
      <c r="E112" s="544">
        <f t="shared" ref="E112:M112" si="27">D112+$K37</f>
        <v>102</v>
      </c>
      <c r="F112" s="544">
        <f t="shared" si="27"/>
        <v>103</v>
      </c>
      <c r="G112" s="544">
        <f t="shared" si="27"/>
        <v>104</v>
      </c>
      <c r="H112" s="544">
        <f t="shared" si="27"/>
        <v>105</v>
      </c>
      <c r="I112" s="544">
        <f t="shared" si="27"/>
        <v>106</v>
      </c>
      <c r="J112" s="544">
        <f t="shared" si="27"/>
        <v>107</v>
      </c>
      <c r="K112" s="544">
        <f t="shared" si="27"/>
        <v>108</v>
      </c>
      <c r="L112" s="544">
        <f t="shared" si="27"/>
        <v>109</v>
      </c>
      <c r="M112" s="544">
        <f t="shared" si="27"/>
        <v>110</v>
      </c>
      <c r="N112" s="1153"/>
      <c r="O112" s="1153"/>
      <c r="P112" s="2682"/>
      <c r="Q112" s="504"/>
    </row>
    <row r="113" spans="1:17" s="471" customFormat="1" ht="15" thickTop="1">
      <c r="A113" s="593"/>
      <c r="B113" s="538" t="s">
        <v>2691</v>
      </c>
      <c r="C113" s="2956" t="s">
        <v>3116</v>
      </c>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4"/>
      <c r="O114" s="1154"/>
      <c r="P114" s="2683"/>
      <c r="Q114" s="559"/>
    </row>
    <row r="115" spans="1:17" ht="15" thickTop="1">
      <c r="A115" s="599"/>
      <c r="B115" s="538" t="s">
        <v>2608</v>
      </c>
      <c r="C115" s="2956" t="s">
        <v>3117</v>
      </c>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9">C116-$K39</f>
        <v>99</v>
      </c>
      <c r="E116" s="544">
        <f t="shared" si="29"/>
        <v>98</v>
      </c>
      <c r="F116" s="544">
        <f t="shared" si="29"/>
        <v>97</v>
      </c>
      <c r="G116" s="544">
        <f t="shared" si="29"/>
        <v>96</v>
      </c>
      <c r="H116" s="544">
        <f t="shared" si="29"/>
        <v>95</v>
      </c>
      <c r="I116" s="544">
        <f t="shared" si="29"/>
        <v>94</v>
      </c>
      <c r="J116" s="544">
        <f t="shared" si="29"/>
        <v>93</v>
      </c>
      <c r="K116" s="544">
        <f t="shared" si="29"/>
        <v>92</v>
      </c>
      <c r="L116" s="544">
        <f t="shared" si="29"/>
        <v>91</v>
      </c>
      <c r="M116" s="545">
        <f t="shared" si="29"/>
        <v>90</v>
      </c>
      <c r="N116" s="1153"/>
      <c r="O116" s="1153"/>
      <c r="P116" s="2682"/>
      <c r="Q116" s="504"/>
    </row>
    <row r="117" spans="1:17" ht="15" thickTop="1">
      <c r="A117" s="599"/>
      <c r="B117" s="538" t="s">
        <v>2609</v>
      </c>
      <c r="C117" s="2956" t="s">
        <v>3118</v>
      </c>
      <c r="D117" s="2956" t="s">
        <v>3119</v>
      </c>
      <c r="E117" s="2956" t="s">
        <v>3120</v>
      </c>
      <c r="F117" s="2956" t="s">
        <v>3121</v>
      </c>
      <c r="G117" s="2956" t="s">
        <v>3122</v>
      </c>
      <c r="H117" s="583"/>
      <c r="I117" s="583"/>
      <c r="J117" s="583"/>
      <c r="K117" s="584"/>
      <c r="L117" s="585"/>
      <c r="M117" s="586"/>
      <c r="N117" s="1152"/>
      <c r="O117" s="1152"/>
      <c r="P117" s="2682"/>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3"/>
      <c r="O118" s="1153"/>
      <c r="P118" s="2682"/>
      <c r="Q118" s="504"/>
    </row>
    <row r="119" spans="1:17" ht="15" thickTop="1">
      <c r="A119" s="599"/>
      <c r="B119" s="636" t="s">
        <v>2692</v>
      </c>
      <c r="C119" s="583"/>
      <c r="D119" s="583"/>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3"/>
      <c r="O120" s="1153"/>
      <c r="P120" s="2682"/>
      <c r="Q120" s="504"/>
    </row>
    <row r="121" spans="1:17" s="471" customFormat="1" ht="15" thickTop="1">
      <c r="A121" s="593"/>
      <c r="B121" s="538" t="s">
        <v>2675</v>
      </c>
      <c r="C121" s="554"/>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3"/>
      <c r="Q122" s="559"/>
    </row>
    <row r="123" spans="1:17" ht="15" thickTop="1">
      <c r="A123" s="599"/>
      <c r="B123" s="538" t="s">
        <v>2611</v>
      </c>
      <c r="C123" s="2956" t="s">
        <v>3112</v>
      </c>
      <c r="D123" s="2956" t="s">
        <v>3114</v>
      </c>
      <c r="E123" s="2956" t="s">
        <v>3115</v>
      </c>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3"/>
      <c r="O124" s="1153"/>
      <c r="P124" s="2682"/>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2"/>
      <c r="O125" s="1152"/>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2"/>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111</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111</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大连国美电器有限公司：</v>
      </c>
    </row>
    <row r="4" spans="1:1" ht="36">
      <c r="A4" s="1947" t="str">
        <f>"受贵公司委托，我公司对"&amp;项目基本情况!S1&amp;"进行了预评估。"</f>
        <v>受贵公司委托，我公司对北京市海淀区中关村大街18号六层综合用房房地产抵押价值进行了预评估。</v>
      </c>
    </row>
    <row r="5" spans="1:1" ht="18.75">
      <c r="A5" s="1948" t="s">
        <v>1606</v>
      </c>
    </row>
    <row r="6" spans="1:1" ht="18.75">
      <c r="A6" s="1949" t="s">
        <v>1607</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中关村大街18号六层综合用房房地产，为所有。根据《国有土地使用证》[京海国用（2009转）第4657号]，估价对象（分摊）出让国有建设用地使用权面积为927.85平方米。根据《房屋所有权证》[X京房权海字第065779号]，估价对象建筑面积为8276.64平方米。</v>
      </c>
    </row>
    <row r="8" spans="1:1" ht="57.75">
      <c r="A8" s="1950" t="s">
        <v>1608</v>
      </c>
    </row>
    <row r="9" spans="1:1" ht="18.75">
      <c r="A9" s="1949" t="s">
        <v>1609</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中关村大街18号六层综合用房房地产,属开发建设的办公项目，该项目尚在开发建设中。根据《国有土地使用证》[京海国用（2009转）第4657号]，估价对象（分摊）出让国有建设用地使用权面积为927.85平方米。根据《房屋所有权证》[X京房权海字第065779号]，估价对象规划建筑面积为8276.64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为估价委托人在向中国民生银行股份有限公司大连高新技术产业园区支行办理贷款手续过程中，确定房地产抵押贷款额度提供参考依据而评估房地产抵押价值。</v>
      </c>
    </row>
    <row r="14" spans="1:1" ht="18.75">
      <c r="A14" s="1952" t="s">
        <v>1612</v>
      </c>
    </row>
    <row r="15" spans="1:1" ht="18">
      <c r="A15" s="1953" t="str">
        <f>TEXT(项目基本情况!D3,"yyyy年m月d日;;")&amp;IF(项目基本情况!D3=项目基本情况!B3,"（评估专业人员实地查勘之日）","")</f>
        <v>2019年12月23日（评估专业人员实地查勘之日）</v>
      </c>
    </row>
    <row r="16" spans="1:1" ht="18.75">
      <c r="A16" s="1952" t="s">
        <v>1613</v>
      </c>
    </row>
    <row r="17" spans="1:1" ht="75">
      <c r="A17" s="1947" t="s">
        <v>1614</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12月23日，估价对象规划用途为办公，土地取得方式为出让，出让国有建设用地使用权剩余土地使用年限为办公31.52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31.52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1603</v>
      </c>
    </row>
    <row r="24" spans="1:1" ht="18">
      <c r="A24" s="1954" t="str">
        <f>"本次评估采用的主估价方法为"&amp;结果表!K4&amp;"和"&amp;结果表!L4&amp;"。"</f>
        <v>本次评估采用的主估价方法为成本法和收益法。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2519</v>
      </c>
      <c r="B1" s="2667" t="s">
        <v>2693</v>
      </c>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IF(C2="——",ROUND(C43*D3/10000,0),ROUND(C43*D3/10000,0)-D2)</f>
        <v>#DIV/0!</v>
      </c>
      <c r="C2" s="2584"/>
      <c r="D2" s="1124" t="e">
        <f ca="1">SUMIF(INDIRECT("'"&amp;F2&amp;"'"&amp;"!A:A"),"承租人权益价值",INDIRECT("'"&amp;F2&amp;"'"&amp;"!c:c"))</f>
        <v>#REF!</v>
      </c>
      <c r="E2" s="2585" t="s">
        <v>2319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2320</v>
      </c>
      <c r="B3" s="609" t="e">
        <f ca="1">IF(C2="——",C43,ROUND(B2*10000/D3,0))</f>
        <v>#DIV/0!</v>
      </c>
      <c r="C3" s="400" t="s">
        <v>2635</v>
      </c>
      <c r="D3" s="399">
        <f>IF(D1="",'数据-汇总表'!E3,SUMIF('数据-汇总表'!$C19:$C33,D1,'数据-汇总表'!$E19:$E33))</f>
        <v>8276.64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24" t="s">
        <v>2637</v>
      </c>
      <c r="D4" s="3225"/>
      <c r="E4" s="3226" t="s">
        <v>2638</v>
      </c>
      <c r="F4" s="3227"/>
      <c r="G4" s="3224" t="s">
        <v>2639</v>
      </c>
      <c r="H4" s="3225"/>
      <c r="I4" s="3224" t="s">
        <v>2640</v>
      </c>
      <c r="J4" s="3225"/>
      <c r="K4" s="610" t="s">
        <v>2641</v>
      </c>
      <c r="L4" s="1130"/>
      <c r="M4" s="1131"/>
      <c r="N4" s="1131"/>
      <c r="O4" s="1131"/>
      <c r="P4" s="3228" t="s">
        <v>2642</v>
      </c>
      <c r="Q4" s="3229"/>
      <c r="R4" s="3211" t="s">
        <v>2638</v>
      </c>
      <c r="S4" s="3212"/>
      <c r="T4" s="3211" t="s">
        <v>2639</v>
      </c>
      <c r="U4" s="3212"/>
      <c r="V4" s="3236" t="s">
        <v>2640</v>
      </c>
      <c r="W4" s="3236"/>
      <c r="X4" s="1813"/>
      <c r="Y4" s="3211" t="s">
        <v>2642</v>
      </c>
      <c r="Z4" s="3212"/>
      <c r="AA4" s="3206" t="s">
        <v>2638</v>
      </c>
      <c r="AB4" s="3207" t="s">
        <v>2639</v>
      </c>
      <c r="AC4" s="3206" t="s">
        <v>2640</v>
      </c>
    </row>
    <row r="5" spans="1:29" ht="15">
      <c r="A5" s="404"/>
      <c r="B5" s="405"/>
      <c r="C5" s="3217" t="s">
        <v>2533</v>
      </c>
      <c r="D5" s="3218"/>
      <c r="E5" s="3215" t="s">
        <v>2534</v>
      </c>
      <c r="F5" s="3216"/>
      <c r="G5" s="3217" t="s">
        <v>2535</v>
      </c>
      <c r="H5" s="3218"/>
      <c r="I5" s="3217" t="s">
        <v>2536</v>
      </c>
      <c r="J5" s="3218"/>
      <c r="K5" s="610"/>
      <c r="L5" s="1130"/>
      <c r="M5" s="1131"/>
      <c r="N5" s="1131"/>
      <c r="O5" s="1131"/>
      <c r="P5" s="3230"/>
      <c r="Q5" s="3231"/>
      <c r="R5" s="3213"/>
      <c r="S5" s="3214"/>
      <c r="T5" s="3213"/>
      <c r="U5" s="3214"/>
      <c r="V5" s="3236"/>
      <c r="W5" s="3236"/>
      <c r="X5" s="1813"/>
      <c r="Y5" s="3213"/>
      <c r="Z5" s="3214"/>
      <c r="AA5" s="3207"/>
      <c r="AB5" s="3207"/>
      <c r="AC5" s="3207"/>
    </row>
    <row r="6" spans="1:29" ht="15.75" thickBot="1">
      <c r="A6" s="406"/>
      <c r="B6" s="407"/>
      <c r="C6" s="3219" t="s">
        <v>2537</v>
      </c>
      <c r="D6" s="3220"/>
      <c r="E6" s="3221" t="s">
        <v>2537</v>
      </c>
      <c r="F6" s="3222"/>
      <c r="G6" s="3219" t="s">
        <v>2537</v>
      </c>
      <c r="H6" s="3220"/>
      <c r="I6" s="3219" t="s">
        <v>2537</v>
      </c>
      <c r="J6" s="3220"/>
      <c r="K6" s="610" t="s">
        <v>2538</v>
      </c>
      <c r="L6" s="1130"/>
      <c r="M6" s="1131"/>
      <c r="N6" s="1131"/>
      <c r="O6" s="1131"/>
      <c r="P6" s="3232"/>
      <c r="Q6" s="3233"/>
      <c r="R6" s="3213"/>
      <c r="S6" s="3214"/>
      <c r="T6" s="3234"/>
      <c r="U6" s="3235"/>
      <c r="V6" s="3236"/>
      <c r="W6" s="3236"/>
      <c r="X6" s="1813"/>
      <c r="Y6" s="3234"/>
      <c r="Z6" s="3235"/>
      <c r="AA6" s="3208"/>
      <c r="AB6" s="3208"/>
      <c r="AC6" s="3208"/>
    </row>
    <row r="7" spans="1:29" s="117" customFormat="1" ht="15.75" thickBot="1">
      <c r="A7" s="408" t="s">
        <v>2539</v>
      </c>
      <c r="B7" s="409"/>
      <c r="C7" s="410">
        <f>'数据-取费表'!B2</f>
        <v>43822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09" t="s">
        <v>2540</v>
      </c>
      <c r="Q7" s="3237"/>
      <c r="R7" s="770" t="s">
        <v>17</v>
      </c>
      <c r="S7" s="771">
        <f t="shared" ref="S7:S15" si="0">F7</f>
        <v>0</v>
      </c>
      <c r="T7" s="770" t="s">
        <v>17</v>
      </c>
      <c r="U7" s="771">
        <f t="shared" ref="U7:U15" si="1">H7</f>
        <v>0</v>
      </c>
      <c r="V7" s="770" t="s">
        <v>17</v>
      </c>
      <c r="W7" s="771">
        <f t="shared" ref="W7:W15" si="2">J7</f>
        <v>0</v>
      </c>
      <c r="X7" s="772"/>
      <c r="Y7" s="3209" t="s">
        <v>2540</v>
      </c>
      <c r="Z7" s="3210"/>
      <c r="AA7" s="773" t="e">
        <f>D7/F7</f>
        <v>#DIV/0!</v>
      </c>
      <c r="AB7" s="773" t="e">
        <f>D7/H7</f>
        <v>#DIV/0!</v>
      </c>
      <c r="AC7" s="773"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09" t="s">
        <v>2543</v>
      </c>
      <c r="Q8" s="3210"/>
      <c r="R8" s="770" t="s">
        <v>17</v>
      </c>
      <c r="S8" s="771">
        <f t="shared" si="0"/>
        <v>0</v>
      </c>
      <c r="T8" s="770" t="s">
        <v>17</v>
      </c>
      <c r="U8" s="771">
        <f t="shared" si="1"/>
        <v>0</v>
      </c>
      <c r="V8" s="770" t="s">
        <v>17</v>
      </c>
      <c r="W8" s="771">
        <f t="shared" si="2"/>
        <v>0</v>
      </c>
      <c r="X8" s="772"/>
      <c r="Y8" s="3209" t="s">
        <v>2543</v>
      </c>
      <c r="Z8" s="3210"/>
      <c r="AA8" s="773" t="e">
        <f t="shared" ref="AA8:AA40" si="3">D8/F8</f>
        <v>#DIV/0!</v>
      </c>
      <c r="AB8" s="773" t="e">
        <f t="shared" ref="AB8:AB40" si="4">D8/H8</f>
        <v>#DIV/0!</v>
      </c>
      <c r="AC8" s="773"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41" t="s">
        <v>2546</v>
      </c>
      <c r="Q9" s="1795"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773">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41"/>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41"/>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41"/>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41"/>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2550</v>
      </c>
      <c r="B15" s="69" t="s">
        <v>2694</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43" t="s">
        <v>2551</v>
      </c>
      <c r="Q15" s="1810" t="str">
        <f t="shared" si="6"/>
        <v>产业集聚程度</v>
      </c>
      <c r="R15" s="774" t="s">
        <v>17</v>
      </c>
      <c r="S15" s="775">
        <f t="shared" si="0"/>
        <v>100</v>
      </c>
      <c r="T15" s="774" t="s">
        <v>17</v>
      </c>
      <c r="U15" s="775">
        <f t="shared" si="1"/>
        <v>100</v>
      </c>
      <c r="V15" s="774" t="s">
        <v>17</v>
      </c>
      <c r="W15" s="775">
        <f t="shared" si="2"/>
        <v>100</v>
      </c>
      <c r="X15" s="1813"/>
      <c r="Y15" s="3243" t="s">
        <v>2551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44"/>
      <c r="Q16" s="1810"/>
      <c r="R16" s="774"/>
      <c r="S16" s="775"/>
      <c r="T16" s="774"/>
      <c r="U16" s="775"/>
      <c r="V16" s="774"/>
      <c r="W16" s="775"/>
      <c r="X16" s="1813"/>
      <c r="Y16" s="3244"/>
      <c r="Z16" s="1814"/>
      <c r="AA16" s="1811">
        <v>1</v>
      </c>
      <c r="AB16" s="1811">
        <v>1</v>
      </c>
      <c r="AC16" s="1811">
        <v>1</v>
      </c>
    </row>
    <row r="17" spans="1:29" ht="85.5">
      <c r="A17" s="428"/>
      <c r="B17" s="451" t="s">
        <v>2091</v>
      </c>
      <c r="C17" s="2605"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44"/>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44"/>
      <c r="Q18" s="1810"/>
      <c r="R18" s="774"/>
      <c r="S18" s="775"/>
      <c r="T18" s="774"/>
      <c r="U18" s="775"/>
      <c r="V18" s="774"/>
      <c r="W18" s="775"/>
      <c r="X18" s="1813"/>
      <c r="Y18" s="3244"/>
      <c r="Z18" s="1814"/>
      <c r="AA18" s="1811">
        <v>1</v>
      </c>
      <c r="AB18" s="1811">
        <v>1</v>
      </c>
      <c r="AC18" s="1811">
        <v>1</v>
      </c>
    </row>
    <row r="19" spans="1:29" ht="42.75">
      <c r="A19" s="428"/>
      <c r="B19" s="451" t="s">
        <v>2679</v>
      </c>
      <c r="C19" s="2605"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44"/>
      <c r="Q19" s="1810" t="str">
        <f>B19</f>
        <v>公共配套设施</v>
      </c>
      <c r="R19" s="774" t="s">
        <v>17</v>
      </c>
      <c r="S19" s="775">
        <f>F19</f>
        <v>100</v>
      </c>
      <c r="T19" s="774" t="s">
        <v>17</v>
      </c>
      <c r="U19" s="775">
        <f>H19</f>
        <v>100</v>
      </c>
      <c r="V19" s="774" t="s">
        <v>17</v>
      </c>
      <c r="W19" s="775">
        <f>J19</f>
        <v>100</v>
      </c>
      <c r="X19" s="1813"/>
      <c r="Y19" s="3244"/>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44"/>
      <c r="Q20" s="1810"/>
      <c r="R20" s="774"/>
      <c r="S20" s="775"/>
      <c r="T20" s="774"/>
      <c r="U20" s="775"/>
      <c r="V20" s="774"/>
      <c r="W20" s="775"/>
      <c r="X20" s="1813"/>
      <c r="Y20" s="3244"/>
      <c r="Z20" s="1814"/>
      <c r="AA20" s="1811">
        <v>1</v>
      </c>
      <c r="AB20" s="1811">
        <v>1</v>
      </c>
      <c r="AC20" s="1811">
        <v>1</v>
      </c>
    </row>
    <row r="21" spans="1:29" ht="28.5">
      <c r="A21" s="428"/>
      <c r="B21" s="1384" t="s">
        <v>2680</v>
      </c>
      <c r="C21" s="2605"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44"/>
      <c r="Q21" s="1810" t="str">
        <f>B21</f>
        <v>基础设施水平</v>
      </c>
      <c r="R21" s="774" t="s">
        <v>17</v>
      </c>
      <c r="S21" s="775">
        <f>F21</f>
        <v>100</v>
      </c>
      <c r="T21" s="774" t="s">
        <v>17</v>
      </c>
      <c r="U21" s="775">
        <f>H21</f>
        <v>100</v>
      </c>
      <c r="V21" s="774" t="s">
        <v>17</v>
      </c>
      <c r="W21" s="775">
        <f>J21</f>
        <v>100</v>
      </c>
      <c r="X21" s="1813"/>
      <c r="Y21" s="3244"/>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44"/>
      <c r="Q22" s="1810"/>
      <c r="R22" s="774"/>
      <c r="S22" s="775"/>
      <c r="T22" s="774"/>
      <c r="U22" s="775"/>
      <c r="V22" s="774"/>
      <c r="W22" s="775"/>
      <c r="X22" s="1813"/>
      <c r="Y22" s="3244"/>
      <c r="Z22" s="1814"/>
      <c r="AA22" s="1811">
        <v>1</v>
      </c>
      <c r="AB22" s="1811">
        <v>1</v>
      </c>
      <c r="AC22" s="1811">
        <v>1</v>
      </c>
    </row>
    <row r="23" spans="1:29" ht="71.25">
      <c r="A23" s="428"/>
      <c r="B23" s="451" t="s">
        <v>2681</v>
      </c>
      <c r="C23" s="2605"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44"/>
      <c r="Q23" s="1810" t="str">
        <f>B23</f>
        <v>环境质量</v>
      </c>
      <c r="R23" s="774" t="s">
        <v>17</v>
      </c>
      <c r="S23" s="775">
        <f>F23</f>
        <v>100</v>
      </c>
      <c r="T23" s="774" t="s">
        <v>17</v>
      </c>
      <c r="U23" s="775">
        <f>H23</f>
        <v>100</v>
      </c>
      <c r="V23" s="774" t="s">
        <v>17</v>
      </c>
      <c r="W23" s="775">
        <f>J23</f>
        <v>100</v>
      </c>
      <c r="X23" s="1813"/>
      <c r="Y23" s="3244"/>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44"/>
      <c r="Q24" s="1810"/>
      <c r="R24" s="774"/>
      <c r="S24" s="775"/>
      <c r="T24" s="774"/>
      <c r="U24" s="775"/>
      <c r="V24" s="774"/>
      <c r="W24" s="775"/>
      <c r="X24" s="1813"/>
      <c r="Y24" s="3244"/>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44"/>
      <c r="Q25" s="1810">
        <f>B25</f>
        <v>111</v>
      </c>
      <c r="R25" s="774" t="s">
        <v>17</v>
      </c>
      <c r="S25" s="775">
        <f>F25</f>
        <v>100</v>
      </c>
      <c r="T25" s="774" t="s">
        <v>17</v>
      </c>
      <c r="U25" s="775">
        <f>H25</f>
        <v>100</v>
      </c>
      <c r="V25" s="774" t="s">
        <v>17</v>
      </c>
      <c r="W25" s="775">
        <f>J25</f>
        <v>100</v>
      </c>
      <c r="X25" s="1813"/>
      <c r="Y25" s="3244"/>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44"/>
      <c r="Q26" s="1810">
        <f t="shared" ref="Q26:Q40" si="11">B26</f>
        <v>111</v>
      </c>
      <c r="R26" s="774" t="s">
        <v>17</v>
      </c>
      <c r="S26" s="775">
        <f>F26</f>
        <v>100</v>
      </c>
      <c r="T26" s="774" t="s">
        <v>17</v>
      </c>
      <c r="U26" s="775">
        <f>H26</f>
        <v>100</v>
      </c>
      <c r="V26" s="774" t="s">
        <v>17</v>
      </c>
      <c r="W26" s="775">
        <f>J26</f>
        <v>100</v>
      </c>
      <c r="X26" s="1813"/>
      <c r="Y26" s="3244"/>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44"/>
      <c r="Q27" s="1795">
        <f t="shared" si="11"/>
        <v>111</v>
      </c>
      <c r="R27" s="770" t="s">
        <v>17</v>
      </c>
      <c r="S27" s="771">
        <f>F27</f>
        <v>100</v>
      </c>
      <c r="T27" s="770" t="s">
        <v>17</v>
      </c>
      <c r="U27" s="771">
        <f>H27</f>
        <v>100</v>
      </c>
      <c r="V27" s="770" t="s">
        <v>17</v>
      </c>
      <c r="W27" s="771">
        <f>J27</f>
        <v>100</v>
      </c>
      <c r="X27" s="772"/>
      <c r="Y27" s="3244"/>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44"/>
      <c r="Q28" s="1810">
        <f t="shared" si="11"/>
        <v>111</v>
      </c>
      <c r="R28" s="774" t="s">
        <v>17</v>
      </c>
      <c r="S28" s="775">
        <f t="shared" ref="S28:S40" si="12">F28</f>
        <v>100</v>
      </c>
      <c r="T28" s="774" t="s">
        <v>17</v>
      </c>
      <c r="U28" s="775">
        <f t="shared" ref="U28:U40" si="13">H28</f>
        <v>100</v>
      </c>
      <c r="V28" s="774" t="s">
        <v>17</v>
      </c>
      <c r="W28" s="775">
        <f t="shared" ref="W28:W40" si="14">J28</f>
        <v>100</v>
      </c>
      <c r="X28" s="1813"/>
      <c r="Y28" s="3244"/>
      <c r="Z28" s="1814">
        <f t="shared" ref="Z28:Z40" si="15">Q28</f>
        <v>111</v>
      </c>
      <c r="AA28" s="1811">
        <f t="shared" si="3"/>
        <v>1</v>
      </c>
      <c r="AB28" s="1811">
        <f t="shared" si="4"/>
        <v>1</v>
      </c>
      <c r="AC28" s="1811">
        <f t="shared" si="5"/>
        <v>1</v>
      </c>
    </row>
    <row r="29" spans="1:29" ht="28.5">
      <c r="A29" s="466" t="s">
        <v>2554</v>
      </c>
      <c r="B29" s="71" t="s">
        <v>2684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9" t="s">
        <v>2556</v>
      </c>
      <c r="Q29" s="1810" t="str">
        <f t="shared" si="11"/>
        <v>建筑类型</v>
      </c>
      <c r="R29" s="774" t="s">
        <v>17</v>
      </c>
      <c r="S29" s="775">
        <f t="shared" si="12"/>
        <v>100</v>
      </c>
      <c r="T29" s="774" t="s">
        <v>17</v>
      </c>
      <c r="U29" s="775">
        <f t="shared" si="13"/>
        <v>100</v>
      </c>
      <c r="V29" s="774" t="s">
        <v>17</v>
      </c>
      <c r="W29" s="775">
        <f t="shared" si="14"/>
        <v>100</v>
      </c>
      <c r="X29" s="1813"/>
      <c r="Y29" s="3248" t="s">
        <v>2556</v>
      </c>
      <c r="Z29" s="1814" t="str">
        <f t="shared" si="15"/>
        <v>建筑类型</v>
      </c>
      <c r="AA29" s="1811">
        <f t="shared" si="3"/>
        <v>1</v>
      </c>
      <c r="AB29" s="1811">
        <f t="shared" si="4"/>
        <v>1</v>
      </c>
      <c r="AC29" s="1811">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48"/>
      <c r="Q30" s="776" t="str">
        <f t="shared" si="11"/>
        <v>项目建筑规模</v>
      </c>
      <c r="R30" s="777" t="s">
        <v>17</v>
      </c>
      <c r="S30" s="778" t="e">
        <f t="shared" si="12"/>
        <v>#N/A</v>
      </c>
      <c r="T30" s="777" t="s">
        <v>17</v>
      </c>
      <c r="U30" s="778" t="e">
        <f t="shared" si="13"/>
        <v>#N/A</v>
      </c>
      <c r="V30" s="777" t="s">
        <v>17</v>
      </c>
      <c r="W30" s="778" t="e">
        <f t="shared" si="14"/>
        <v>#N/A</v>
      </c>
      <c r="X30" s="779"/>
      <c r="Y30" s="3248"/>
      <c r="Z30" s="780" t="str">
        <f t="shared" si="15"/>
        <v>项目建筑规模</v>
      </c>
      <c r="AA30" s="1811" t="e">
        <f t="shared" si="3"/>
        <v>#N/A</v>
      </c>
      <c r="AB30" s="1811" t="e">
        <f t="shared" si="4"/>
        <v>#N/A</v>
      </c>
      <c r="AC30" s="1811"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48"/>
      <c r="Q31" s="1810" t="str">
        <f t="shared" si="11"/>
        <v>建筑结构</v>
      </c>
      <c r="R31" s="774" t="s">
        <v>17</v>
      </c>
      <c r="S31" s="775">
        <f t="shared" si="12"/>
        <v>100</v>
      </c>
      <c r="T31" s="774" t="s">
        <v>17</v>
      </c>
      <c r="U31" s="775">
        <f t="shared" si="13"/>
        <v>100</v>
      </c>
      <c r="V31" s="774" t="s">
        <v>17</v>
      </c>
      <c r="W31" s="775">
        <f t="shared" si="14"/>
        <v>100</v>
      </c>
      <c r="X31" s="1813"/>
      <c r="Y31" s="3248"/>
      <c r="Z31" s="1814" t="str">
        <f t="shared" si="15"/>
        <v>建筑结构</v>
      </c>
      <c r="AA31" s="1811">
        <f t="shared" si="3"/>
        <v>1</v>
      </c>
      <c r="AB31" s="1811">
        <f t="shared" si="4"/>
        <v>1</v>
      </c>
      <c r="AC31" s="1811">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48"/>
      <c r="Q32" s="1810" t="str">
        <f t="shared" si="11"/>
        <v>公共部分装修</v>
      </c>
      <c r="R32" s="774" t="s">
        <v>17</v>
      </c>
      <c r="S32" s="775">
        <f t="shared" si="12"/>
        <v>100</v>
      </c>
      <c r="T32" s="774" t="s">
        <v>17</v>
      </c>
      <c r="U32" s="775">
        <f t="shared" si="13"/>
        <v>100</v>
      </c>
      <c r="V32" s="774" t="s">
        <v>17</v>
      </c>
      <c r="W32" s="775">
        <f t="shared" si="14"/>
        <v>100</v>
      </c>
      <c r="X32" s="1813"/>
      <c r="Y32" s="3248"/>
      <c r="Z32" s="1814" t="str">
        <f t="shared" si="15"/>
        <v>公共部分装修</v>
      </c>
      <c r="AA32" s="1811">
        <f t="shared" si="3"/>
        <v>1</v>
      </c>
      <c r="AB32" s="1811">
        <f t="shared" si="4"/>
        <v>1</v>
      </c>
      <c r="AC32" s="1811">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48"/>
      <c r="Q33" s="1810" t="str">
        <f t="shared" si="11"/>
        <v>成新度</v>
      </c>
      <c r="R33" s="774" t="s">
        <v>17</v>
      </c>
      <c r="S33" s="775" t="e">
        <f t="shared" si="12"/>
        <v>#N/A</v>
      </c>
      <c r="T33" s="774" t="s">
        <v>17</v>
      </c>
      <c r="U33" s="775" t="e">
        <f t="shared" si="13"/>
        <v>#N/A</v>
      </c>
      <c r="V33" s="774" t="s">
        <v>17</v>
      </c>
      <c r="W33" s="775" t="e">
        <f t="shared" si="14"/>
        <v>#N/A</v>
      </c>
      <c r="X33" s="1813"/>
      <c r="Y33" s="3248"/>
      <c r="Z33" s="1814" t="str">
        <f t="shared" si="15"/>
        <v>成新度</v>
      </c>
      <c r="AA33" s="1811" t="e">
        <f t="shared" si="3"/>
        <v>#N/A</v>
      </c>
      <c r="AB33" s="1811" t="e">
        <f t="shared" si="4"/>
        <v>#N/A</v>
      </c>
      <c r="AC33" s="1811"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48"/>
      <c r="Q34" s="1795" t="str">
        <f t="shared" si="11"/>
        <v>物业管理</v>
      </c>
      <c r="R34" s="770" t="s">
        <v>17</v>
      </c>
      <c r="S34" s="771">
        <f t="shared" si="12"/>
        <v>100</v>
      </c>
      <c r="T34" s="770" t="s">
        <v>17</v>
      </c>
      <c r="U34" s="771">
        <f t="shared" si="13"/>
        <v>100</v>
      </c>
      <c r="V34" s="770" t="s">
        <v>17</v>
      </c>
      <c r="W34" s="771">
        <f t="shared" si="14"/>
        <v>100</v>
      </c>
      <c r="X34" s="772"/>
      <c r="Y34" s="3248"/>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48" t="s">
        <v>2556</v>
      </c>
      <c r="Q35" s="1810" t="str">
        <f t="shared" si="11"/>
        <v>市政基础设施</v>
      </c>
      <c r="R35" s="774" t="s">
        <v>17</v>
      </c>
      <c r="S35" s="775">
        <f t="shared" si="12"/>
        <v>100</v>
      </c>
      <c r="T35" s="774" t="s">
        <v>17</v>
      </c>
      <c r="U35" s="775">
        <f t="shared" si="13"/>
        <v>100</v>
      </c>
      <c r="V35" s="774" t="s">
        <v>17</v>
      </c>
      <c r="W35" s="775">
        <f t="shared" si="14"/>
        <v>100</v>
      </c>
      <c r="X35" s="1813"/>
      <c r="Y35" s="3248" t="s">
        <v>2556</v>
      </c>
      <c r="Z35" s="1814" t="str">
        <f t="shared" si="15"/>
        <v>市政基础设施</v>
      </c>
      <c r="AA35" s="1811">
        <f t="shared" si="3"/>
        <v>1</v>
      </c>
      <c r="AB35" s="1811">
        <f t="shared" si="4"/>
        <v>1</v>
      </c>
      <c r="AC35" s="1811">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48"/>
      <c r="Q36" s="1810" t="str">
        <f t="shared" si="11"/>
        <v>内部装修</v>
      </c>
      <c r="R36" s="774" t="s">
        <v>17</v>
      </c>
      <c r="S36" s="775">
        <f t="shared" si="12"/>
        <v>100</v>
      </c>
      <c r="T36" s="774" t="s">
        <v>17</v>
      </c>
      <c r="U36" s="775">
        <f t="shared" si="13"/>
        <v>100</v>
      </c>
      <c r="V36" s="774" t="s">
        <v>17</v>
      </c>
      <c r="W36" s="775">
        <f t="shared" si="14"/>
        <v>100</v>
      </c>
      <c r="X36" s="1813"/>
      <c r="Y36" s="3248"/>
      <c r="Z36" s="1814" t="str">
        <f t="shared" si="15"/>
        <v>内部装修</v>
      </c>
      <c r="AA36" s="1811">
        <f t="shared" si="3"/>
        <v>1</v>
      </c>
      <c r="AB36" s="1811">
        <f t="shared" si="4"/>
        <v>1</v>
      </c>
      <c r="AC36" s="1811">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48"/>
      <c r="Q37" s="1810" t="str">
        <f t="shared" si="11"/>
        <v>内部装修状况</v>
      </c>
      <c r="R37" s="774" t="s">
        <v>17</v>
      </c>
      <c r="S37" s="775">
        <f t="shared" si="12"/>
        <v>100</v>
      </c>
      <c r="T37" s="774" t="s">
        <v>17</v>
      </c>
      <c r="U37" s="775">
        <f t="shared" si="13"/>
        <v>100</v>
      </c>
      <c r="V37" s="774" t="s">
        <v>17</v>
      </c>
      <c r="W37" s="775">
        <f t="shared" si="14"/>
        <v>100</v>
      </c>
      <c r="X37" s="1813"/>
      <c r="Y37" s="3248"/>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48"/>
      <c r="Q38" s="776">
        <f t="shared" si="11"/>
        <v>111</v>
      </c>
      <c r="R38" s="777" t="s">
        <v>17</v>
      </c>
      <c r="S38" s="778">
        <f t="shared" si="12"/>
        <v>100</v>
      </c>
      <c r="T38" s="777" t="s">
        <v>17</v>
      </c>
      <c r="U38" s="778">
        <f t="shared" si="13"/>
        <v>100</v>
      </c>
      <c r="V38" s="777" t="s">
        <v>17</v>
      </c>
      <c r="W38" s="778">
        <f t="shared" si="14"/>
        <v>100</v>
      </c>
      <c r="X38" s="779"/>
      <c r="Y38" s="3248"/>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48"/>
      <c r="Q39" s="1810">
        <f t="shared" si="11"/>
        <v>111</v>
      </c>
      <c r="R39" s="774" t="s">
        <v>17</v>
      </c>
      <c r="S39" s="775">
        <f t="shared" si="12"/>
        <v>100</v>
      </c>
      <c r="T39" s="774" t="s">
        <v>17</v>
      </c>
      <c r="U39" s="775">
        <f t="shared" si="13"/>
        <v>100</v>
      </c>
      <c r="V39" s="774" t="s">
        <v>17</v>
      </c>
      <c r="W39" s="775">
        <f t="shared" si="14"/>
        <v>100</v>
      </c>
      <c r="X39" s="1813"/>
      <c r="Y39" s="3248"/>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9"/>
      <c r="Q40" s="1810">
        <f t="shared" si="11"/>
        <v>111</v>
      </c>
      <c r="R40" s="774" t="s">
        <v>17</v>
      </c>
      <c r="S40" s="775">
        <f t="shared" si="12"/>
        <v>100</v>
      </c>
      <c r="T40" s="774" t="s">
        <v>17</v>
      </c>
      <c r="U40" s="775">
        <f t="shared" si="13"/>
        <v>100</v>
      </c>
      <c r="V40" s="774" t="s">
        <v>17</v>
      </c>
      <c r="W40" s="775">
        <f t="shared" si="14"/>
        <v>100</v>
      </c>
      <c r="X40" s="1813"/>
      <c r="Y40" s="3249"/>
      <c r="Z40" s="1814">
        <f t="shared" si="15"/>
        <v>111</v>
      </c>
      <c r="AA40" s="1811">
        <f t="shared" si="3"/>
        <v>1</v>
      </c>
      <c r="AB40" s="1811">
        <f t="shared" si="4"/>
        <v>1</v>
      </c>
      <c r="AC40" s="1811">
        <f t="shared" si="5"/>
        <v>1</v>
      </c>
    </row>
    <row r="41" spans="1:29" ht="15">
      <c r="A41" s="479" t="s">
        <v>2568</v>
      </c>
      <c r="B41" s="480"/>
      <c r="C41" s="1407" t="s">
        <v>1</v>
      </c>
      <c r="D41" s="1408"/>
      <c r="E41" s="1409"/>
      <c r="F41" s="1410"/>
      <c r="G41" s="1411"/>
      <c r="H41" s="1412"/>
      <c r="I41" s="1409"/>
      <c r="J41" s="1412"/>
      <c r="K41" s="783"/>
      <c r="L41" s="1143"/>
      <c r="M41" s="1144"/>
      <c r="N41" s="1131"/>
      <c r="O41" s="1144"/>
      <c r="P41" s="3241" t="str">
        <f>A41</f>
        <v>成交单价（元/平方米）</v>
      </c>
      <c r="Q41" s="3241"/>
      <c r="R41" s="3242">
        <f>E41</f>
        <v>0</v>
      </c>
      <c r="S41" s="3242"/>
      <c r="T41" s="3242">
        <f>G41</f>
        <v>0</v>
      </c>
      <c r="U41" s="3242"/>
      <c r="V41" s="3242">
        <f>I41</f>
        <v>0</v>
      </c>
      <c r="W41" s="3242"/>
      <c r="X41" s="759"/>
      <c r="Y41" s="781"/>
      <c r="Z41" s="759"/>
      <c r="AA41" s="759"/>
      <c r="AB41" s="759"/>
      <c r="AC41" s="759"/>
    </row>
    <row r="42" spans="1:29" ht="15.75" thickBot="1">
      <c r="A42" s="486" t="s">
        <v>2660</v>
      </c>
      <c r="B42" s="487"/>
      <c r="C42" s="1413" t="e">
        <f>R43</f>
        <v>#DIV/0!</v>
      </c>
      <c r="D42" s="1414"/>
      <c r="E42" s="1415" t="e">
        <f>R42</f>
        <v>#DIV/0!</v>
      </c>
      <c r="F42" s="1415"/>
      <c r="G42" s="1413" t="e">
        <f>T42</f>
        <v>#DIV/0!</v>
      </c>
      <c r="H42" s="1414"/>
      <c r="I42" s="1415" t="e">
        <f>V42</f>
        <v>#DIV/0!</v>
      </c>
      <c r="J42" s="1414"/>
      <c r="K42" s="784"/>
      <c r="L42" s="1143"/>
      <c r="M42" s="1144"/>
      <c r="N42" s="1131"/>
      <c r="O42" s="1144"/>
      <c r="P42" s="3241" t="str">
        <f>A42</f>
        <v>比较价值（元/平方米）</v>
      </c>
      <c r="Q42" s="3241"/>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9"/>
      <c r="Y42" s="759"/>
      <c r="Z42" s="759"/>
      <c r="AA42" s="759"/>
      <c r="AB42" s="759"/>
      <c r="AC42" s="759"/>
    </row>
    <row r="43" spans="1:29" ht="15.75" thickBot="1">
      <c r="A43" s="492" t="s">
        <v>2661</v>
      </c>
      <c r="B43" s="493"/>
      <c r="C43" s="1417" t="e">
        <f>R43</f>
        <v>#DIV/0!</v>
      </c>
      <c r="D43" s="1417"/>
      <c r="E43" s="1417"/>
      <c r="F43" s="1417"/>
      <c r="G43" s="1417"/>
      <c r="H43" s="1417"/>
      <c r="I43" s="1417"/>
      <c r="J43" s="1417"/>
      <c r="K43" s="785"/>
      <c r="L43" s="1143"/>
      <c r="M43" s="1144"/>
      <c r="N43" s="1144"/>
      <c r="O43" s="1144"/>
      <c r="P43" s="3238" t="str">
        <f>A43</f>
        <v>估价对象XX用房的比较价值（楼面单价，元/平方米）</v>
      </c>
      <c r="Q43" s="3239"/>
      <c r="R43" s="3240" t="e">
        <f>IF(F1="售价",ROUND(AVERAGE(R42:V42),0),ROUND(AVERAGE(R42:V42),1))</f>
        <v>#DIV/0!</v>
      </c>
      <c r="S43" s="3240"/>
      <c r="T43" s="3240"/>
      <c r="U43" s="3240"/>
      <c r="V43" s="3240"/>
      <c r="W43" s="324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2665</v>
      </c>
      <c r="B51" s="759"/>
      <c r="C51" s="764"/>
      <c r="D51" s="764"/>
      <c r="E51" s="764"/>
      <c r="F51" s="765"/>
      <c r="G51" s="765"/>
      <c r="H51" s="764"/>
      <c r="I51" s="764"/>
      <c r="J51" s="764"/>
      <c r="K51" s="1160"/>
      <c r="L51" s="1161"/>
      <c r="M51" s="1159"/>
      <c r="N51" s="1159"/>
      <c r="O51" s="1159"/>
      <c r="P51" s="503"/>
      <c r="Q51" s="504"/>
    </row>
    <row r="52" spans="1:17" s="508" customFormat="1" ht="15">
      <c r="A52" s="505" t="s">
        <v>2539</v>
      </c>
      <c r="B52" s="506"/>
      <c r="C52" s="1574" t="str">
        <f>YEAR(C7)&amp;"-"&amp;MONTH(C7)</f>
        <v>2019-12</v>
      </c>
      <c r="D52" s="1575">
        <f>EDATE(C52,-1)</f>
        <v>43770</v>
      </c>
      <c r="E52" s="1575">
        <f t="shared" ref="E52:O52" si="16">EDATE(D52,-1)</f>
        <v>43739</v>
      </c>
      <c r="F52" s="1575">
        <f t="shared" si="16"/>
        <v>43709</v>
      </c>
      <c r="G52" s="1575">
        <f t="shared" si="16"/>
        <v>43678</v>
      </c>
      <c r="H52" s="1575">
        <f t="shared" si="16"/>
        <v>43647</v>
      </c>
      <c r="I52" s="1575">
        <f t="shared" si="16"/>
        <v>43617</v>
      </c>
      <c r="J52" s="1575">
        <f t="shared" si="16"/>
        <v>43586</v>
      </c>
      <c r="K52" s="1575">
        <f t="shared" si="16"/>
        <v>43556</v>
      </c>
      <c r="L52" s="1575">
        <f t="shared" si="16"/>
        <v>43525</v>
      </c>
      <c r="M52" s="1575">
        <f t="shared" si="16"/>
        <v>43497</v>
      </c>
      <c r="N52" s="1575">
        <f t="shared" si="16"/>
        <v>43466</v>
      </c>
      <c r="O52" s="1575">
        <f t="shared" si="16"/>
        <v>43435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2579</v>
      </c>
      <c r="B57" s="528" t="s">
        <v>2545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2554</v>
      </c>
      <c r="B88" s="528" t="s">
        <v>2603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1990</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22"/>
      <c r="F1" s="2582"/>
      <c r="G1" s="1623" t="s">
        <v>2634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2318</v>
      </c>
      <c r="B2" s="1418" t="e">
        <f ca="1">IF(C2="——",IF(B37="元/平方米",ROUND(C39*D3/10000,0),ROUND(F3*C39/10000,0)),IF(B37="元/平方米",ROUND(C39*D3/10000,0),ROUND(F3*C39/10000,0))-D2)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2636</v>
      </c>
      <c r="B4" s="402"/>
      <c r="C4" s="3224" t="s">
        <v>2637</v>
      </c>
      <c r="D4" s="3225"/>
      <c r="E4" s="3226" t="s">
        <v>2638</v>
      </c>
      <c r="F4" s="3227"/>
      <c r="G4" s="3224" t="s">
        <v>2639</v>
      </c>
      <c r="H4" s="3225"/>
      <c r="I4" s="3224" t="s">
        <v>2640</v>
      </c>
      <c r="J4" s="3225"/>
      <c r="K4" s="610" t="s">
        <v>2641</v>
      </c>
      <c r="L4" s="1130"/>
      <c r="M4" s="1131"/>
      <c r="N4" s="1131"/>
      <c r="O4" s="1131"/>
      <c r="P4" s="3228" t="s">
        <v>2642</v>
      </c>
      <c r="Q4" s="3229"/>
      <c r="R4" s="3211" t="s">
        <v>2638</v>
      </c>
      <c r="S4" s="3212"/>
      <c r="T4" s="3211" t="s">
        <v>2639</v>
      </c>
      <c r="U4" s="3212"/>
      <c r="V4" s="3236" t="s">
        <v>2640</v>
      </c>
      <c r="W4" s="3236"/>
      <c r="X4" s="1813"/>
      <c r="Y4" s="3211" t="s">
        <v>2642</v>
      </c>
      <c r="Z4" s="3212"/>
      <c r="AA4" s="3206" t="s">
        <v>2638</v>
      </c>
      <c r="AB4" s="3207" t="s">
        <v>2639</v>
      </c>
      <c r="AC4" s="3206" t="s">
        <v>2640</v>
      </c>
    </row>
    <row r="5" spans="1:29" ht="15">
      <c r="A5" s="404"/>
      <c r="B5" s="405"/>
      <c r="C5" s="3217" t="s">
        <v>2533</v>
      </c>
      <c r="D5" s="3218"/>
      <c r="E5" s="3215" t="s">
        <v>2534</v>
      </c>
      <c r="F5" s="3216"/>
      <c r="G5" s="3217" t="s">
        <v>2535</v>
      </c>
      <c r="H5" s="3218"/>
      <c r="I5" s="3217" t="s">
        <v>2536</v>
      </c>
      <c r="J5" s="3218"/>
      <c r="K5" s="610"/>
      <c r="L5" s="1130"/>
      <c r="M5" s="1131"/>
      <c r="N5" s="1131"/>
      <c r="O5" s="1131"/>
      <c r="P5" s="3230"/>
      <c r="Q5" s="3231"/>
      <c r="R5" s="3213"/>
      <c r="S5" s="3214"/>
      <c r="T5" s="3213"/>
      <c r="U5" s="3214"/>
      <c r="V5" s="3236"/>
      <c r="W5" s="3236"/>
      <c r="X5" s="1813"/>
      <c r="Y5" s="3213"/>
      <c r="Z5" s="3214"/>
      <c r="AA5" s="3207"/>
      <c r="AB5" s="3207"/>
      <c r="AC5" s="3207"/>
    </row>
    <row r="6" spans="1:29" ht="15.75" thickBot="1">
      <c r="A6" s="406"/>
      <c r="B6" s="407"/>
      <c r="C6" s="3219" t="s">
        <v>2537</v>
      </c>
      <c r="D6" s="3220"/>
      <c r="E6" s="3221" t="s">
        <v>2537</v>
      </c>
      <c r="F6" s="3222"/>
      <c r="G6" s="3219" t="s">
        <v>2537</v>
      </c>
      <c r="H6" s="3220"/>
      <c r="I6" s="3219" t="s">
        <v>2537</v>
      </c>
      <c r="J6" s="3220"/>
      <c r="K6" s="610" t="s">
        <v>2538</v>
      </c>
      <c r="L6" s="1130"/>
      <c r="M6" s="1131"/>
      <c r="N6" s="1131"/>
      <c r="O6" s="1131"/>
      <c r="P6" s="3232"/>
      <c r="Q6" s="3233"/>
      <c r="R6" s="3213"/>
      <c r="S6" s="3214"/>
      <c r="T6" s="3234"/>
      <c r="U6" s="3235"/>
      <c r="V6" s="3236"/>
      <c r="W6" s="3236"/>
      <c r="X6" s="1813"/>
      <c r="Y6" s="3234"/>
      <c r="Z6" s="3235"/>
      <c r="AA6" s="3208"/>
      <c r="AB6" s="3208"/>
      <c r="AC6" s="3208"/>
    </row>
    <row r="7" spans="1:29" s="117" customFormat="1" ht="15.75" thickBot="1">
      <c r="A7" s="408" t="s">
        <v>2539</v>
      </c>
      <c r="B7" s="409"/>
      <c r="C7" s="410">
        <f>'数据-取费表'!B2</f>
        <v>43822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09" t="s">
        <v>2540</v>
      </c>
      <c r="Q7" s="3237"/>
      <c r="R7" s="770" t="s">
        <v>17</v>
      </c>
      <c r="S7" s="771">
        <f t="shared" ref="S7:S14" si="0">F7</f>
        <v>0</v>
      </c>
      <c r="T7" s="770" t="s">
        <v>17</v>
      </c>
      <c r="U7" s="771">
        <f t="shared" ref="U7:U14" si="1">H7</f>
        <v>0</v>
      </c>
      <c r="V7" s="770" t="s">
        <v>17</v>
      </c>
      <c r="W7" s="771">
        <f t="shared" ref="W7:W14" si="2">J7</f>
        <v>0</v>
      </c>
      <c r="X7" s="772"/>
      <c r="Y7" s="3209" t="s">
        <v>2540</v>
      </c>
      <c r="Z7" s="3210"/>
      <c r="AA7" s="773" t="e">
        <f>D7/F7</f>
        <v>#DIV/0!</v>
      </c>
      <c r="AB7" s="773" t="e">
        <f>D7/H7</f>
        <v>#DIV/0!</v>
      </c>
      <c r="AC7" s="773"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09" t="s">
        <v>2543</v>
      </c>
      <c r="Q8" s="3210"/>
      <c r="R8" s="770" t="s">
        <v>17</v>
      </c>
      <c r="S8" s="771">
        <f t="shared" si="0"/>
        <v>0</v>
      </c>
      <c r="T8" s="770" t="s">
        <v>17</v>
      </c>
      <c r="U8" s="771">
        <f t="shared" si="1"/>
        <v>0</v>
      </c>
      <c r="V8" s="770" t="s">
        <v>17</v>
      </c>
      <c r="W8" s="771">
        <f t="shared" si="2"/>
        <v>0</v>
      </c>
      <c r="X8" s="772"/>
      <c r="Y8" s="3209" t="s">
        <v>2543</v>
      </c>
      <c r="Z8" s="3210"/>
      <c r="AA8" s="773" t="e">
        <f t="shared" ref="AA8:AA36" si="3">D8/F8</f>
        <v>#DIV/0!</v>
      </c>
      <c r="AB8" s="773" t="e">
        <f t="shared" ref="AB8:AB36" si="4">D8/H8</f>
        <v>#DIV/0!</v>
      </c>
      <c r="AC8" s="773"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41" t="s">
        <v>2546</v>
      </c>
      <c r="Q9" s="1795" t="str">
        <f t="shared" ref="Q9:Q14" si="6">B9</f>
        <v>用途</v>
      </c>
      <c r="R9" s="770" t="s">
        <v>17</v>
      </c>
      <c r="S9" s="771">
        <f t="shared" si="0"/>
        <v>100</v>
      </c>
      <c r="T9" s="770" t="s">
        <v>17</v>
      </c>
      <c r="U9" s="771">
        <f t="shared" si="1"/>
        <v>100</v>
      </c>
      <c r="V9" s="770" t="s">
        <v>17</v>
      </c>
      <c r="W9" s="771">
        <f t="shared" si="2"/>
        <v>100</v>
      </c>
      <c r="X9" s="772"/>
      <c r="Y9" s="3033" t="s">
        <v>2547</v>
      </c>
      <c r="Z9" s="55" t="str">
        <f t="shared" ref="Z9:Z14" si="7">Q9</f>
        <v>用途</v>
      </c>
      <c r="AA9" s="773">
        <f t="shared" si="3"/>
        <v>1</v>
      </c>
      <c r="AB9" s="773">
        <f t="shared" si="4"/>
        <v>1</v>
      </c>
      <c r="AC9" s="773">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41"/>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41"/>
      <c r="Q11" s="1795">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41"/>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41"/>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
      <c r="A14" s="401" t="s">
        <v>2550</v>
      </c>
      <c r="B14" s="629" t="s">
        <v>2700</v>
      </c>
      <c r="C14" s="2691"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43" t="s">
        <v>2551</v>
      </c>
      <c r="Q14" s="1810" t="str">
        <f t="shared" si="6"/>
        <v>交通便捷度</v>
      </c>
      <c r="R14" s="774" t="s">
        <v>17</v>
      </c>
      <c r="S14" s="775">
        <f t="shared" si="0"/>
        <v>100</v>
      </c>
      <c r="T14" s="774" t="s">
        <v>17</v>
      </c>
      <c r="U14" s="775">
        <f t="shared" si="1"/>
        <v>100</v>
      </c>
      <c r="V14" s="774" t="s">
        <v>17</v>
      </c>
      <c r="W14" s="775">
        <f t="shared" si="2"/>
        <v>100</v>
      </c>
      <c r="X14" s="1813"/>
      <c r="Y14" s="3243" t="s">
        <v>2551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44"/>
      <c r="Q15" s="1810"/>
      <c r="R15" s="774"/>
      <c r="S15" s="775"/>
      <c r="T15" s="774"/>
      <c r="U15" s="775"/>
      <c r="V15" s="774"/>
      <c r="W15" s="775"/>
      <c r="X15" s="1813"/>
      <c r="Y15" s="3244"/>
      <c r="Z15" s="1814"/>
      <c r="AA15" s="1811">
        <v>1</v>
      </c>
      <c r="AB15" s="1811">
        <v>1</v>
      </c>
      <c r="AC15" s="1811">
        <v>1</v>
      </c>
    </row>
    <row r="16" spans="1:29" ht="15">
      <c r="A16" s="404"/>
      <c r="B16" s="631" t="s">
        <v>2679</v>
      </c>
      <c r="C16" s="2605"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44"/>
      <c r="Q16" s="1810" t="str">
        <f>B16</f>
        <v>公共配套设施</v>
      </c>
      <c r="R16" s="774" t="s">
        <v>17</v>
      </c>
      <c r="S16" s="775">
        <f>F16</f>
        <v>100</v>
      </c>
      <c r="T16" s="774" t="s">
        <v>17</v>
      </c>
      <c r="U16" s="775">
        <f>H16</f>
        <v>100</v>
      </c>
      <c r="V16" s="774" t="s">
        <v>17</v>
      </c>
      <c r="W16" s="775">
        <f>J16</f>
        <v>100</v>
      </c>
      <c r="X16" s="1813"/>
      <c r="Y16" s="3244"/>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44"/>
      <c r="Q17" s="1810"/>
      <c r="R17" s="774"/>
      <c r="S17" s="775"/>
      <c r="T17" s="774"/>
      <c r="U17" s="775"/>
      <c r="V17" s="774"/>
      <c r="W17" s="775"/>
      <c r="X17" s="1813"/>
      <c r="Y17" s="3244"/>
      <c r="Z17" s="1814"/>
      <c r="AA17" s="1811">
        <v>1</v>
      </c>
      <c r="AB17" s="1811">
        <v>1</v>
      </c>
      <c r="AC17" s="1811">
        <v>1</v>
      </c>
    </row>
    <row r="18" spans="1:29" ht="15">
      <c r="A18" s="404"/>
      <c r="B18" s="633" t="s">
        <v>2680</v>
      </c>
      <c r="C18" s="2605"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44"/>
      <c r="Q18" s="1810" t="str">
        <f>B18</f>
        <v>基础设施水平</v>
      </c>
      <c r="R18" s="774" t="s">
        <v>17</v>
      </c>
      <c r="S18" s="775">
        <f>F18</f>
        <v>100</v>
      </c>
      <c r="T18" s="774" t="s">
        <v>17</v>
      </c>
      <c r="U18" s="775">
        <f>H18</f>
        <v>100</v>
      </c>
      <c r="V18" s="774" t="s">
        <v>17</v>
      </c>
      <c r="W18" s="775">
        <f>J18</f>
        <v>100</v>
      </c>
      <c r="X18" s="1813"/>
      <c r="Y18" s="3244"/>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44"/>
      <c r="Q19" s="1810"/>
      <c r="R19" s="774"/>
      <c r="S19" s="775"/>
      <c r="T19" s="774"/>
      <c r="U19" s="775"/>
      <c r="V19" s="774"/>
      <c r="W19" s="775"/>
      <c r="X19" s="1813"/>
      <c r="Y19" s="3244"/>
      <c r="Z19" s="1814"/>
      <c r="AA19" s="1811">
        <v>1</v>
      </c>
      <c r="AB19" s="1811">
        <v>1</v>
      </c>
      <c r="AC19" s="1811">
        <v>1</v>
      </c>
    </row>
    <row r="20" spans="1:29" ht="15">
      <c r="A20" s="404"/>
      <c r="B20" s="631" t="s">
        <v>2701</v>
      </c>
      <c r="C20" s="2605"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44"/>
      <c r="Q20" s="1810" t="str">
        <f>B20</f>
        <v>自然及人文环境</v>
      </c>
      <c r="R20" s="774" t="s">
        <v>17</v>
      </c>
      <c r="S20" s="775">
        <f>F20</f>
        <v>100</v>
      </c>
      <c r="T20" s="774" t="s">
        <v>17</v>
      </c>
      <c r="U20" s="775">
        <f>H20</f>
        <v>100</v>
      </c>
      <c r="V20" s="774" t="s">
        <v>17</v>
      </c>
      <c r="W20" s="775">
        <f>J20</f>
        <v>100</v>
      </c>
      <c r="X20" s="1813"/>
      <c r="Y20" s="3244"/>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44"/>
      <c r="Q21" s="1810"/>
      <c r="R21" s="774"/>
      <c r="S21" s="775"/>
      <c r="T21" s="774"/>
      <c r="U21" s="775"/>
      <c r="V21" s="774"/>
      <c r="W21" s="775"/>
      <c r="X21" s="1813"/>
      <c r="Y21" s="3244"/>
      <c r="Z21" s="1814"/>
      <c r="AA21" s="1811">
        <v>1</v>
      </c>
      <c r="AB21" s="1811">
        <v>1</v>
      </c>
      <c r="AC21" s="1811">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44"/>
      <c r="Q22" s="1810" t="str">
        <f>B22</f>
        <v>楼层</v>
      </c>
      <c r="R22" s="774" t="s">
        <v>17</v>
      </c>
      <c r="S22" s="775">
        <f>F22</f>
        <v>100</v>
      </c>
      <c r="T22" s="774" t="s">
        <v>17</v>
      </c>
      <c r="U22" s="775">
        <f>H22</f>
        <v>100</v>
      </c>
      <c r="V22" s="774" t="s">
        <v>17</v>
      </c>
      <c r="W22" s="775">
        <f>J22</f>
        <v>100</v>
      </c>
      <c r="X22" s="1813"/>
      <c r="Y22" s="3244"/>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44"/>
      <c r="Q23" s="1810">
        <f>B23</f>
        <v>111</v>
      </c>
      <c r="R23" s="774" t="s">
        <v>17</v>
      </c>
      <c r="S23" s="775">
        <f>F23</f>
        <v>100</v>
      </c>
      <c r="T23" s="774" t="s">
        <v>17</v>
      </c>
      <c r="U23" s="775">
        <f>H23</f>
        <v>100</v>
      </c>
      <c r="V23" s="774" t="s">
        <v>17</v>
      </c>
      <c r="W23" s="775">
        <f>J23</f>
        <v>100</v>
      </c>
      <c r="X23" s="1813"/>
      <c r="Y23" s="3244"/>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44"/>
      <c r="Q24" s="1810">
        <f t="shared" ref="Q24:Q36" si="11">B24</f>
        <v>111</v>
      </c>
      <c r="R24" s="774" t="s">
        <v>17</v>
      </c>
      <c r="S24" s="775">
        <f>F24</f>
        <v>100</v>
      </c>
      <c r="T24" s="774" t="s">
        <v>17</v>
      </c>
      <c r="U24" s="775">
        <f>H24</f>
        <v>100</v>
      </c>
      <c r="V24" s="774" t="s">
        <v>17</v>
      </c>
      <c r="W24" s="775">
        <f>J24</f>
        <v>100</v>
      </c>
      <c r="X24" s="1813"/>
      <c r="Y24" s="3244"/>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44"/>
      <c r="Q25" s="1795">
        <f t="shared" si="11"/>
        <v>111</v>
      </c>
      <c r="R25" s="770" t="s">
        <v>17</v>
      </c>
      <c r="S25" s="771">
        <f>F25</f>
        <v>100</v>
      </c>
      <c r="T25" s="770" t="s">
        <v>17</v>
      </c>
      <c r="U25" s="771">
        <f>H25</f>
        <v>100</v>
      </c>
      <c r="V25" s="770" t="s">
        <v>17</v>
      </c>
      <c r="W25" s="771">
        <f>J25</f>
        <v>100</v>
      </c>
      <c r="X25" s="772"/>
      <c r="Y25" s="3244"/>
      <c r="Z25" s="55">
        <f>Q25</f>
        <v>111</v>
      </c>
      <c r="AA25" s="1811">
        <f>D25/F25</f>
        <v>1</v>
      </c>
      <c r="AB25" s="1811">
        <f>D25/H25</f>
        <v>1</v>
      </c>
      <c r="AC25" s="1811">
        <f>D25/J25</f>
        <v>1</v>
      </c>
    </row>
    <row r="26" spans="1:29" ht="28.5">
      <c r="A26" s="652" t="s">
        <v>2554</v>
      </c>
      <c r="B26" s="70" t="s">
        <v>2703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9" t="s">
        <v>2556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48" t="s">
        <v>2556</v>
      </c>
      <c r="Z26" s="1814" t="str">
        <f t="shared" ref="Z26:Z36" si="15">Q26</f>
        <v>配套类型</v>
      </c>
      <c r="AA26" s="1811">
        <f t="shared" si="3"/>
        <v>1</v>
      </c>
      <c r="AB26" s="1811">
        <f t="shared" si="4"/>
        <v>1</v>
      </c>
      <c r="AC26" s="1811">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48"/>
      <c r="Q27" s="776" t="str">
        <f t="shared" si="11"/>
        <v>项目停车位配比</v>
      </c>
      <c r="R27" s="777" t="s">
        <v>17</v>
      </c>
      <c r="S27" s="778">
        <f t="shared" si="12"/>
        <v>100</v>
      </c>
      <c r="T27" s="777" t="s">
        <v>17</v>
      </c>
      <c r="U27" s="778">
        <f t="shared" si="13"/>
        <v>100</v>
      </c>
      <c r="V27" s="777" t="s">
        <v>17</v>
      </c>
      <c r="W27" s="778">
        <f t="shared" si="14"/>
        <v>100</v>
      </c>
      <c r="X27" s="779"/>
      <c r="Y27" s="3248"/>
      <c r="Z27" s="780" t="str">
        <f t="shared" si="15"/>
        <v>项目停车位配比</v>
      </c>
      <c r="AA27" s="1811">
        <f t="shared" si="3"/>
        <v>1</v>
      </c>
      <c r="AB27" s="1811">
        <f t="shared" si="4"/>
        <v>1</v>
      </c>
      <c r="AC27" s="1811">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48"/>
      <c r="Q28" s="1810" t="str">
        <f t="shared" si="11"/>
        <v>公共部分装修</v>
      </c>
      <c r="R28" s="774" t="s">
        <v>17</v>
      </c>
      <c r="S28" s="775">
        <f t="shared" si="12"/>
        <v>100</v>
      </c>
      <c r="T28" s="774" t="s">
        <v>17</v>
      </c>
      <c r="U28" s="775">
        <f t="shared" si="13"/>
        <v>100</v>
      </c>
      <c r="V28" s="774" t="s">
        <v>17</v>
      </c>
      <c r="W28" s="775">
        <f t="shared" si="14"/>
        <v>100</v>
      </c>
      <c r="X28" s="1813"/>
      <c r="Y28" s="3248"/>
      <c r="Z28" s="1814" t="str">
        <f t="shared" si="15"/>
        <v>公共部分装修</v>
      </c>
      <c r="AA28" s="1811">
        <f t="shared" si="3"/>
        <v>1</v>
      </c>
      <c r="AB28" s="1811">
        <f t="shared" si="4"/>
        <v>1</v>
      </c>
      <c r="AC28" s="1811">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48"/>
      <c r="Q29" s="1810" t="str">
        <f t="shared" si="11"/>
        <v>成新率</v>
      </c>
      <c r="R29" s="774" t="s">
        <v>17</v>
      </c>
      <c r="S29" s="775" t="e">
        <f t="shared" si="12"/>
        <v>#N/A</v>
      </c>
      <c r="T29" s="774" t="s">
        <v>17</v>
      </c>
      <c r="U29" s="775" t="e">
        <f t="shared" si="13"/>
        <v>#N/A</v>
      </c>
      <c r="V29" s="774" t="s">
        <v>17</v>
      </c>
      <c r="W29" s="775" t="e">
        <f t="shared" si="14"/>
        <v>#N/A</v>
      </c>
      <c r="X29" s="1813"/>
      <c r="Y29" s="3248"/>
      <c r="Z29" s="1814" t="str">
        <f t="shared" si="15"/>
        <v>成新率</v>
      </c>
      <c r="AA29" s="1811" t="e">
        <f t="shared" si="3"/>
        <v>#N/A</v>
      </c>
      <c r="AB29" s="1811" t="e">
        <f t="shared" si="4"/>
        <v>#N/A</v>
      </c>
      <c r="AC29" s="1811"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48"/>
      <c r="Q30" s="1810" t="str">
        <f t="shared" si="11"/>
        <v>物业等级</v>
      </c>
      <c r="R30" s="774" t="s">
        <v>17</v>
      </c>
      <c r="S30" s="775">
        <f t="shared" si="12"/>
        <v>100</v>
      </c>
      <c r="T30" s="774" t="s">
        <v>17</v>
      </c>
      <c r="U30" s="775">
        <f t="shared" si="13"/>
        <v>100</v>
      </c>
      <c r="V30" s="774" t="s">
        <v>17</v>
      </c>
      <c r="W30" s="775">
        <f t="shared" si="14"/>
        <v>100</v>
      </c>
      <c r="X30" s="1813"/>
      <c r="Y30" s="3248"/>
      <c r="Z30" s="1814" t="str">
        <f t="shared" si="15"/>
        <v>物业等级</v>
      </c>
      <c r="AA30" s="1811">
        <f t="shared" si="3"/>
        <v>1</v>
      </c>
      <c r="AB30" s="1811">
        <f t="shared" si="4"/>
        <v>1</v>
      </c>
      <c r="AC30" s="1811">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48"/>
      <c r="Q31" s="1795" t="str">
        <f t="shared" si="11"/>
        <v>停车位面积</v>
      </c>
      <c r="R31" s="770" t="s">
        <v>17</v>
      </c>
      <c r="S31" s="771" t="e">
        <f t="shared" si="12"/>
        <v>#N/A</v>
      </c>
      <c r="T31" s="770" t="s">
        <v>17</v>
      </c>
      <c r="U31" s="771" t="e">
        <f t="shared" si="13"/>
        <v>#N/A</v>
      </c>
      <c r="V31" s="770" t="s">
        <v>17</v>
      </c>
      <c r="W31" s="771" t="e">
        <f t="shared" si="14"/>
        <v>#N/A</v>
      </c>
      <c r="X31" s="772"/>
      <c r="Y31" s="3248"/>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48" t="s">
        <v>2556</v>
      </c>
      <c r="Q32" s="1810" t="str">
        <f t="shared" si="11"/>
        <v>车位类型</v>
      </c>
      <c r="R32" s="774" t="s">
        <v>17</v>
      </c>
      <c r="S32" s="775">
        <f t="shared" si="12"/>
        <v>100</v>
      </c>
      <c r="T32" s="774" t="s">
        <v>17</v>
      </c>
      <c r="U32" s="775">
        <f t="shared" si="13"/>
        <v>100</v>
      </c>
      <c r="V32" s="774" t="s">
        <v>17</v>
      </c>
      <c r="W32" s="775">
        <f t="shared" si="14"/>
        <v>100</v>
      </c>
      <c r="X32" s="1813"/>
      <c r="Y32" s="3248" t="s">
        <v>2556</v>
      </c>
      <c r="Z32" s="1814" t="str">
        <f t="shared" si="15"/>
        <v>车位类型</v>
      </c>
      <c r="AA32" s="1811">
        <f t="shared" si="3"/>
        <v>1</v>
      </c>
      <c r="AB32" s="1811">
        <f t="shared" si="4"/>
        <v>1</v>
      </c>
      <c r="AC32" s="1811">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48"/>
      <c r="Q33" s="1810" t="str">
        <f t="shared" si="11"/>
        <v>是否直接入户</v>
      </c>
      <c r="R33" s="774" t="s">
        <v>17</v>
      </c>
      <c r="S33" s="775">
        <f t="shared" si="12"/>
        <v>100</v>
      </c>
      <c r="T33" s="774" t="s">
        <v>17</v>
      </c>
      <c r="U33" s="775">
        <f t="shared" si="13"/>
        <v>100</v>
      </c>
      <c r="V33" s="774" t="s">
        <v>17</v>
      </c>
      <c r="W33" s="775">
        <f t="shared" si="14"/>
        <v>100</v>
      </c>
      <c r="X33" s="1813"/>
      <c r="Y33" s="3248"/>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48"/>
      <c r="Q34" s="1810">
        <f t="shared" si="11"/>
        <v>111</v>
      </c>
      <c r="R34" s="774" t="s">
        <v>17</v>
      </c>
      <c r="S34" s="775">
        <f t="shared" si="12"/>
        <v>100</v>
      </c>
      <c r="T34" s="774" t="s">
        <v>17</v>
      </c>
      <c r="U34" s="775">
        <f t="shared" si="13"/>
        <v>100</v>
      </c>
      <c r="V34" s="774" t="s">
        <v>17</v>
      </c>
      <c r="W34" s="775">
        <f t="shared" si="14"/>
        <v>100</v>
      </c>
      <c r="X34" s="1813"/>
      <c r="Y34" s="3248"/>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48"/>
      <c r="Q35" s="776">
        <f t="shared" si="11"/>
        <v>111</v>
      </c>
      <c r="R35" s="777" t="s">
        <v>17</v>
      </c>
      <c r="S35" s="778">
        <f t="shared" si="12"/>
        <v>100</v>
      </c>
      <c r="T35" s="777" t="s">
        <v>17</v>
      </c>
      <c r="U35" s="778">
        <f t="shared" si="13"/>
        <v>100</v>
      </c>
      <c r="V35" s="777" t="s">
        <v>17</v>
      </c>
      <c r="W35" s="778">
        <f t="shared" si="14"/>
        <v>100</v>
      </c>
      <c r="X35" s="779"/>
      <c r="Y35" s="3248"/>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48"/>
      <c r="Q36" s="1810">
        <f t="shared" si="11"/>
        <v>111</v>
      </c>
      <c r="R36" s="774" t="s">
        <v>17</v>
      </c>
      <c r="S36" s="775">
        <f t="shared" si="12"/>
        <v>100</v>
      </c>
      <c r="T36" s="774" t="s">
        <v>17</v>
      </c>
      <c r="U36" s="775">
        <f t="shared" si="13"/>
        <v>100</v>
      </c>
      <c r="V36" s="774" t="s">
        <v>17</v>
      </c>
      <c r="W36" s="775">
        <f t="shared" si="14"/>
        <v>100</v>
      </c>
      <c r="X36" s="1813"/>
      <c r="Y36" s="3248"/>
      <c r="Z36" s="1814">
        <f t="shared" si="15"/>
        <v>111</v>
      </c>
      <c r="AA36" s="1811">
        <f t="shared" si="3"/>
        <v>1</v>
      </c>
      <c r="AB36" s="1811">
        <f t="shared" si="4"/>
        <v>1</v>
      </c>
      <c r="AC36" s="1811">
        <f t="shared" si="5"/>
        <v>1</v>
      </c>
    </row>
    <row r="37" spans="1:29" ht="15">
      <c r="A37" s="479" t="s">
        <v>2711</v>
      </c>
      <c r="B37" s="2693" t="s">
        <v>2712</v>
      </c>
      <c r="C37" s="1407" t="s">
        <v>1</v>
      </c>
      <c r="D37" s="1408"/>
      <c r="E37" s="1409"/>
      <c r="F37" s="1410"/>
      <c r="G37" s="1411"/>
      <c r="H37" s="1412"/>
      <c r="I37" s="1409"/>
      <c r="J37" s="1412"/>
      <c r="K37" s="619"/>
      <c r="L37" s="1143"/>
      <c r="M37" s="1144"/>
      <c r="N37" s="1131"/>
      <c r="O37" s="1144"/>
      <c r="P37" s="3241" t="str">
        <f>A37</f>
        <v>成交单价</v>
      </c>
      <c r="Q37" s="3241"/>
      <c r="R37" s="3242">
        <f>E37</f>
        <v>0</v>
      </c>
      <c r="S37" s="3242"/>
      <c r="T37" s="3242">
        <f>G37</f>
        <v>0</v>
      </c>
      <c r="U37" s="3242"/>
      <c r="V37" s="3242">
        <f>I37</f>
        <v>0</v>
      </c>
      <c r="W37" s="3242"/>
      <c r="X37" s="759"/>
      <c r="Y37" s="781"/>
      <c r="Z37" s="759"/>
      <c r="AA37" s="759"/>
      <c r="AB37" s="759"/>
      <c r="AC37" s="759"/>
    </row>
    <row r="38" spans="1:29" ht="15.75" thickBot="1">
      <c r="A38" s="486" t="s">
        <v>2713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41" t="str">
        <f>A38</f>
        <v>比较价值（元/平方米）</v>
      </c>
      <c r="Q38" s="3241"/>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9"/>
      <c r="Y38" s="759"/>
      <c r="Z38" s="759"/>
      <c r="AA38" s="759"/>
      <c r="AB38" s="759"/>
      <c r="AC38" s="759"/>
    </row>
    <row r="39" spans="1:29" ht="15.75" thickBot="1">
      <c r="A39" s="492" t="s">
        <v>2714</v>
      </c>
      <c r="B39" s="493"/>
      <c r="C39" s="1417" t="e">
        <f>R39</f>
        <v>#DIV/0!</v>
      </c>
      <c r="D39" s="1417"/>
      <c r="E39" s="1417"/>
      <c r="F39" s="1417"/>
      <c r="G39" s="1417"/>
      <c r="H39" s="1417"/>
      <c r="I39" s="1417"/>
      <c r="J39" s="1417"/>
      <c r="K39" s="621"/>
      <c r="L39" s="1143"/>
      <c r="M39" s="1144"/>
      <c r="N39" s="1144"/>
      <c r="O39" s="1144"/>
      <c r="P39" s="3238" t="str">
        <f>A39</f>
        <v>估价对象XX用房的比较价值（楼面单价，元/平方米）</v>
      </c>
      <c r="Q39" s="3239"/>
      <c r="R39" s="3240" t="e">
        <f>IF(F1="售价",ROUND(AVERAGE(R38:V38),0),ROUND(AVERAGE(R38:V38),1))</f>
        <v>#DIV/0!</v>
      </c>
      <c r="S39" s="3240"/>
      <c r="T39" s="3240"/>
      <c r="U39" s="3240"/>
      <c r="V39" s="3240"/>
      <c r="W39" s="324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2719</v>
      </c>
      <c r="B48" s="506"/>
      <c r="C48" s="1574" t="str">
        <f>YEAR(C7)&amp;"-"&amp;MONTH(C7)</f>
        <v>2019-12</v>
      </c>
      <c r="D48" s="1575">
        <f>EDATE(C48,-1)</f>
        <v>43770</v>
      </c>
      <c r="E48" s="1575">
        <f t="shared" ref="E48:O48" si="16">EDATE(D48,-1)</f>
        <v>43739</v>
      </c>
      <c r="F48" s="1575">
        <f t="shared" si="16"/>
        <v>43709</v>
      </c>
      <c r="G48" s="1575">
        <f t="shared" si="16"/>
        <v>43678</v>
      </c>
      <c r="H48" s="1575">
        <f t="shared" si="16"/>
        <v>43647</v>
      </c>
      <c r="I48" s="1575">
        <f t="shared" si="16"/>
        <v>43617</v>
      </c>
      <c r="J48" s="1575">
        <f t="shared" si="16"/>
        <v>43586</v>
      </c>
      <c r="K48" s="1575">
        <f t="shared" si="16"/>
        <v>43556</v>
      </c>
      <c r="L48" s="1575">
        <f t="shared" si="16"/>
        <v>43525</v>
      </c>
      <c r="M48" s="1575">
        <f t="shared" si="16"/>
        <v>43497</v>
      </c>
      <c r="N48" s="1575">
        <f t="shared" si="16"/>
        <v>43466</v>
      </c>
      <c r="O48" s="1575">
        <f t="shared" si="16"/>
        <v>43435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2541</v>
      </c>
      <c r="B51" s="510"/>
      <c r="C51" s="522" t="s">
        <v>2643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2579</v>
      </c>
      <c r="B53" s="528" t="s">
        <v>2545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2594</v>
      </c>
      <c r="C65" s="578" t="s">
        <v>2588</v>
      </c>
      <c r="D65" s="578" t="s">
        <v>2589</v>
      </c>
      <c r="E65" s="578" t="s">
        <v>2590</v>
      </c>
      <c r="F65" s="578" t="s">
        <v>2591</v>
      </c>
      <c r="G65" s="578" t="s">
        <v>2592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2680</v>
      </c>
      <c r="C67" s="660" t="s">
        <v>2666</v>
      </c>
      <c r="D67" s="660" t="s">
        <v>2667</v>
      </c>
      <c r="E67" s="660" t="s">
        <v>2668</v>
      </c>
      <c r="F67" s="660" t="s">
        <v>2669</v>
      </c>
      <c r="G67" s="660" t="s">
        <v>2670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2600</v>
      </c>
      <c r="C69" s="578" t="s">
        <v>2588</v>
      </c>
      <c r="D69" s="578" t="s">
        <v>2589</v>
      </c>
      <c r="E69" s="578" t="s">
        <v>2590</v>
      </c>
      <c r="F69" s="578" t="s">
        <v>2591</v>
      </c>
      <c r="G69" s="578" t="s">
        <v>2592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2554</v>
      </c>
      <c r="B79" s="528" t="s">
        <v>2721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2724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2698</v>
      </c>
      <c r="B1" s="1619"/>
      <c r="C1" s="1620" t="s">
        <v>2521</v>
      </c>
      <c r="D1" s="1621"/>
      <c r="E1" s="1630"/>
      <c r="F1" s="2582"/>
      <c r="G1" s="1631" t="s">
        <v>2634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2318</v>
      </c>
      <c r="B2" s="1418" t="e">
        <f ca="1">IF(C2="——",ROUND(C37*D3/10000,0),ROUND(C37*D3/10000,0)-D2)</f>
        <v>#DIV/0!</v>
      </c>
      <c r="C2" s="2584"/>
      <c r="D2" s="1124" t="e">
        <f ca="1">SUMIF(INDIRECT("'"&amp;F2&amp;"'"&amp;"!A:A"),"承租人权益价值",INDIRECT("'"&amp;F2&amp;"'"&amp;"!c:c"))</f>
        <v>#REF!</v>
      </c>
      <c r="E2" s="2585" t="s">
        <v>2319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 ca="1">IF(C2="——",C37,ROUND(B2*10000/D3,0))</f>
        <v>#DIV/0!</v>
      </c>
      <c r="C3" s="400" t="s">
        <v>2635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24" t="s">
        <v>2637</v>
      </c>
      <c r="D4" s="3225"/>
      <c r="E4" s="3226" t="s">
        <v>2638</v>
      </c>
      <c r="F4" s="3227"/>
      <c r="G4" s="3224" t="s">
        <v>2639</v>
      </c>
      <c r="H4" s="3225"/>
      <c r="I4" s="3224" t="s">
        <v>2640</v>
      </c>
      <c r="J4" s="3225"/>
      <c r="K4" s="610" t="s">
        <v>2641</v>
      </c>
      <c r="L4" s="1130"/>
      <c r="M4" s="1131"/>
      <c r="N4" s="1131"/>
      <c r="O4" s="1131"/>
      <c r="P4" s="3228" t="s">
        <v>2642</v>
      </c>
      <c r="Q4" s="3229"/>
      <c r="R4" s="3211" t="s">
        <v>2638</v>
      </c>
      <c r="S4" s="3212"/>
      <c r="T4" s="3211" t="s">
        <v>2639</v>
      </c>
      <c r="U4" s="3212"/>
      <c r="V4" s="3236" t="s">
        <v>2640</v>
      </c>
      <c r="W4" s="3236"/>
      <c r="X4" s="1813"/>
      <c r="Y4" s="3211" t="s">
        <v>2642</v>
      </c>
      <c r="Z4" s="3212"/>
      <c r="AA4" s="3206" t="s">
        <v>2638</v>
      </c>
      <c r="AB4" s="3207" t="s">
        <v>2639</v>
      </c>
      <c r="AC4" s="3206" t="s">
        <v>2640</v>
      </c>
    </row>
    <row r="5" spans="1:29" ht="15">
      <c r="A5" s="404"/>
      <c r="B5" s="405"/>
      <c r="C5" s="3217" t="s">
        <v>2533</v>
      </c>
      <c r="D5" s="3218"/>
      <c r="E5" s="3215" t="s">
        <v>2534</v>
      </c>
      <c r="F5" s="3216"/>
      <c r="G5" s="3217" t="s">
        <v>2535</v>
      </c>
      <c r="H5" s="3218"/>
      <c r="I5" s="3217" t="s">
        <v>2536</v>
      </c>
      <c r="J5" s="3218"/>
      <c r="K5" s="610"/>
      <c r="L5" s="1130"/>
      <c r="M5" s="1131"/>
      <c r="N5" s="1131"/>
      <c r="O5" s="1131"/>
      <c r="P5" s="3230"/>
      <c r="Q5" s="3231"/>
      <c r="R5" s="3213"/>
      <c r="S5" s="3214"/>
      <c r="T5" s="3213"/>
      <c r="U5" s="3214"/>
      <c r="V5" s="3236"/>
      <c r="W5" s="3236"/>
      <c r="X5" s="1813"/>
      <c r="Y5" s="3213"/>
      <c r="Z5" s="3214"/>
      <c r="AA5" s="3207"/>
      <c r="AB5" s="3207"/>
      <c r="AC5" s="3207"/>
    </row>
    <row r="6" spans="1:29" ht="15.75" thickBot="1">
      <c r="A6" s="406"/>
      <c r="B6" s="407"/>
      <c r="C6" s="3219" t="s">
        <v>2537</v>
      </c>
      <c r="D6" s="3220"/>
      <c r="E6" s="3221" t="s">
        <v>2537</v>
      </c>
      <c r="F6" s="3222"/>
      <c r="G6" s="3219" t="s">
        <v>2537</v>
      </c>
      <c r="H6" s="3220"/>
      <c r="I6" s="3219" t="s">
        <v>2537</v>
      </c>
      <c r="J6" s="3220"/>
      <c r="K6" s="610" t="s">
        <v>2538</v>
      </c>
      <c r="L6" s="1130"/>
      <c r="M6" s="1131"/>
      <c r="N6" s="1131"/>
      <c r="O6" s="1131"/>
      <c r="P6" s="3232"/>
      <c r="Q6" s="3233"/>
      <c r="R6" s="3213"/>
      <c r="S6" s="3214"/>
      <c r="T6" s="3234"/>
      <c r="U6" s="3235"/>
      <c r="V6" s="3236"/>
      <c r="W6" s="3236"/>
      <c r="X6" s="1813"/>
      <c r="Y6" s="3234"/>
      <c r="Z6" s="3235"/>
      <c r="AA6" s="3208"/>
      <c r="AB6" s="3208"/>
      <c r="AC6" s="3208"/>
    </row>
    <row r="7" spans="1:29" s="117" customFormat="1" ht="15.75" thickBot="1">
      <c r="A7" s="408" t="s">
        <v>2539</v>
      </c>
      <c r="B7" s="409"/>
      <c r="C7" s="410">
        <f>'数据-取费表'!B2</f>
        <v>43822</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209" t="s">
        <v>2540</v>
      </c>
      <c r="Q7" s="3237"/>
      <c r="R7" s="770" t="s">
        <v>17</v>
      </c>
      <c r="S7" s="771">
        <f t="shared" ref="S7:S14" si="0">F7</f>
        <v>0</v>
      </c>
      <c r="T7" s="770" t="s">
        <v>17</v>
      </c>
      <c r="U7" s="771">
        <f t="shared" ref="U7:U14" si="1">H7</f>
        <v>0</v>
      </c>
      <c r="V7" s="770" t="s">
        <v>17</v>
      </c>
      <c r="W7" s="771">
        <f t="shared" ref="W7:W14" si="2">J7</f>
        <v>0</v>
      </c>
      <c r="X7" s="772"/>
      <c r="Y7" s="3209" t="s">
        <v>2540</v>
      </c>
      <c r="Z7" s="3210"/>
      <c r="AA7" s="773" t="e">
        <f>D7/F7</f>
        <v>#DIV/0!</v>
      </c>
      <c r="AB7" s="773" t="e">
        <f>D7/H7</f>
        <v>#DIV/0!</v>
      </c>
      <c r="AC7" s="773"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09" t="s">
        <v>2543</v>
      </c>
      <c r="Q8" s="3210"/>
      <c r="R8" s="770" t="s">
        <v>17</v>
      </c>
      <c r="S8" s="771">
        <f t="shared" si="0"/>
        <v>0</v>
      </c>
      <c r="T8" s="770" t="s">
        <v>17</v>
      </c>
      <c r="U8" s="771">
        <f t="shared" si="1"/>
        <v>0</v>
      </c>
      <c r="V8" s="770" t="s">
        <v>17</v>
      </c>
      <c r="W8" s="771">
        <f t="shared" si="2"/>
        <v>0</v>
      </c>
      <c r="X8" s="772"/>
      <c r="Y8" s="3209" t="s">
        <v>2543</v>
      </c>
      <c r="Z8" s="3210"/>
      <c r="AA8" s="773" t="e">
        <f t="shared" ref="AA8:AA34" si="3">D8/F8</f>
        <v>#DIV/0!</v>
      </c>
      <c r="AB8" s="773" t="e">
        <f t="shared" ref="AB8:AB34" si="4">D8/H8</f>
        <v>#DIV/0!</v>
      </c>
      <c r="AC8" s="773"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41" t="s">
        <v>2546</v>
      </c>
      <c r="Q9" s="1795" t="str">
        <f t="shared" ref="Q9:Q14" si="6">B9</f>
        <v>用途</v>
      </c>
      <c r="R9" s="770" t="s">
        <v>17</v>
      </c>
      <c r="S9" s="771">
        <f t="shared" si="0"/>
        <v>100</v>
      </c>
      <c r="T9" s="770" t="s">
        <v>17</v>
      </c>
      <c r="U9" s="771">
        <f t="shared" si="1"/>
        <v>100</v>
      </c>
      <c r="V9" s="770" t="s">
        <v>17</v>
      </c>
      <c r="W9" s="771">
        <f t="shared" si="2"/>
        <v>100</v>
      </c>
      <c r="X9" s="772"/>
      <c r="Y9" s="3033" t="s">
        <v>2547</v>
      </c>
      <c r="Z9" s="55" t="str">
        <f t="shared" ref="Z9:Z14" si="7">Q9</f>
        <v>用途</v>
      </c>
      <c r="AA9" s="773">
        <f t="shared" si="3"/>
        <v>1</v>
      </c>
      <c r="AB9" s="773">
        <f t="shared" si="4"/>
        <v>1</v>
      </c>
      <c r="AC9" s="773">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41"/>
      <c r="Q10" s="1795"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41"/>
      <c r="Q11" s="1795">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41"/>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
      <c r="A14" s="440" t="s">
        <v>2550</v>
      </c>
      <c r="B14" s="69" t="s">
        <v>2700</v>
      </c>
      <c r="C14" s="2691"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43" t="s">
        <v>2551</v>
      </c>
      <c r="Q14" s="1810" t="str">
        <f t="shared" si="6"/>
        <v>交通便捷度</v>
      </c>
      <c r="R14" s="774" t="s">
        <v>17</v>
      </c>
      <c r="S14" s="775">
        <f t="shared" si="0"/>
        <v>100</v>
      </c>
      <c r="T14" s="774" t="s">
        <v>17</v>
      </c>
      <c r="U14" s="775">
        <f t="shared" si="1"/>
        <v>100</v>
      </c>
      <c r="V14" s="774" t="s">
        <v>17</v>
      </c>
      <c r="W14" s="775">
        <f t="shared" si="2"/>
        <v>100</v>
      </c>
      <c r="X14" s="1813"/>
      <c r="Y14" s="3243" t="s">
        <v>2551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44"/>
      <c r="Q15" s="1810"/>
      <c r="R15" s="774"/>
      <c r="S15" s="775"/>
      <c r="T15" s="774"/>
      <c r="U15" s="775"/>
      <c r="V15" s="774"/>
      <c r="W15" s="775"/>
      <c r="X15" s="1813"/>
      <c r="Y15" s="3244"/>
      <c r="Z15" s="1814"/>
      <c r="AA15" s="1811">
        <v>1</v>
      </c>
      <c r="AB15" s="1811">
        <v>1</v>
      </c>
      <c r="AC15" s="1811">
        <v>1</v>
      </c>
    </row>
    <row r="16" spans="1:29" ht="15">
      <c r="A16" s="428"/>
      <c r="B16" s="451" t="s">
        <v>2679</v>
      </c>
      <c r="C16" s="2605"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44"/>
      <c r="Q16" s="1810" t="str">
        <f>B16</f>
        <v>公共配套设施</v>
      </c>
      <c r="R16" s="774" t="s">
        <v>17</v>
      </c>
      <c r="S16" s="775">
        <f>F16</f>
        <v>100</v>
      </c>
      <c r="T16" s="774" t="s">
        <v>17</v>
      </c>
      <c r="U16" s="775">
        <f>H16</f>
        <v>100</v>
      </c>
      <c r="V16" s="774" t="s">
        <v>17</v>
      </c>
      <c r="W16" s="775">
        <f>J16</f>
        <v>100</v>
      </c>
      <c r="X16" s="1813"/>
      <c r="Y16" s="3244"/>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44"/>
      <c r="Q17" s="1810"/>
      <c r="R17" s="774"/>
      <c r="S17" s="775"/>
      <c r="T17" s="774"/>
      <c r="U17" s="775"/>
      <c r="V17" s="774"/>
      <c r="W17" s="775"/>
      <c r="X17" s="1813"/>
      <c r="Y17" s="3244"/>
      <c r="Z17" s="1814"/>
      <c r="AA17" s="1811">
        <v>1</v>
      </c>
      <c r="AB17" s="1811">
        <v>1</v>
      </c>
      <c r="AC17" s="1811">
        <v>1</v>
      </c>
    </row>
    <row r="18" spans="1:29" ht="15">
      <c r="A18" s="428"/>
      <c r="B18" s="1384" t="s">
        <v>2680</v>
      </c>
      <c r="C18" s="2605"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44"/>
      <c r="Q18" s="1810" t="str">
        <f>B18</f>
        <v>基础设施水平</v>
      </c>
      <c r="R18" s="774" t="s">
        <v>17</v>
      </c>
      <c r="S18" s="775">
        <f>F18</f>
        <v>100</v>
      </c>
      <c r="T18" s="774" t="s">
        <v>17</v>
      </c>
      <c r="U18" s="775">
        <f>H18</f>
        <v>100</v>
      </c>
      <c r="V18" s="774" t="s">
        <v>17</v>
      </c>
      <c r="W18" s="775">
        <f>J18</f>
        <v>100</v>
      </c>
      <c r="X18" s="1813"/>
      <c r="Y18" s="3244"/>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44"/>
      <c r="Q19" s="1810"/>
      <c r="R19" s="774"/>
      <c r="S19" s="775"/>
      <c r="T19" s="774"/>
      <c r="U19" s="775"/>
      <c r="V19" s="774"/>
      <c r="W19" s="775"/>
      <c r="X19" s="1813"/>
      <c r="Y19" s="3244"/>
      <c r="Z19" s="1814"/>
      <c r="AA19" s="1811">
        <v>1</v>
      </c>
      <c r="AB19" s="1811">
        <v>1</v>
      </c>
      <c r="AC19" s="1811">
        <v>1</v>
      </c>
    </row>
    <row r="20" spans="1:29" ht="15">
      <c r="A20" s="428"/>
      <c r="B20" s="451" t="s">
        <v>2701</v>
      </c>
      <c r="C20" s="2605"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44"/>
      <c r="Q20" s="1810" t="str">
        <f>B20</f>
        <v>自然及人文环境</v>
      </c>
      <c r="R20" s="774" t="s">
        <v>17</v>
      </c>
      <c r="S20" s="775">
        <f>F20</f>
        <v>100</v>
      </c>
      <c r="T20" s="774" t="s">
        <v>17</v>
      </c>
      <c r="U20" s="775">
        <f>H20</f>
        <v>100</v>
      </c>
      <c r="V20" s="774" t="s">
        <v>17</v>
      </c>
      <c r="W20" s="775">
        <f>J20</f>
        <v>100</v>
      </c>
      <c r="X20" s="1813"/>
      <c r="Y20" s="3244"/>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44"/>
      <c r="Q21" s="1810"/>
      <c r="R21" s="774"/>
      <c r="S21" s="775"/>
      <c r="T21" s="774"/>
      <c r="U21" s="775"/>
      <c r="V21" s="774"/>
      <c r="W21" s="775"/>
      <c r="X21" s="1813"/>
      <c r="Y21" s="3244"/>
      <c r="Z21" s="1814"/>
      <c r="AA21" s="1811">
        <v>1</v>
      </c>
      <c r="AB21" s="1811">
        <v>1</v>
      </c>
      <c r="AC21" s="1811">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44"/>
      <c r="Q22" s="1810" t="str">
        <f>B22</f>
        <v>楼层</v>
      </c>
      <c r="R22" s="774" t="s">
        <v>17</v>
      </c>
      <c r="S22" s="775">
        <f>F22</f>
        <v>100</v>
      </c>
      <c r="T22" s="774" t="s">
        <v>17</v>
      </c>
      <c r="U22" s="775">
        <f>H22</f>
        <v>100</v>
      </c>
      <c r="V22" s="774" t="s">
        <v>17</v>
      </c>
      <c r="W22" s="775">
        <f>J22</f>
        <v>100</v>
      </c>
      <c r="X22" s="1813"/>
      <c r="Y22" s="3244"/>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44"/>
      <c r="Q23" s="1810">
        <f>B23</f>
        <v>111</v>
      </c>
      <c r="R23" s="774" t="s">
        <v>17</v>
      </c>
      <c r="S23" s="775">
        <f>F23</f>
        <v>100</v>
      </c>
      <c r="T23" s="774" t="s">
        <v>17</v>
      </c>
      <c r="U23" s="775">
        <f>H23</f>
        <v>100</v>
      </c>
      <c r="V23" s="774" t="s">
        <v>17</v>
      </c>
      <c r="W23" s="775">
        <f>J23</f>
        <v>100</v>
      </c>
      <c r="X23" s="1813"/>
      <c r="Y23" s="3244"/>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44"/>
      <c r="Q24" s="1810">
        <f t="shared" ref="Q24:Q34" si="11">B24</f>
        <v>111</v>
      </c>
      <c r="R24" s="774" t="s">
        <v>17</v>
      </c>
      <c r="S24" s="775">
        <f>F24</f>
        <v>100</v>
      </c>
      <c r="T24" s="774" t="s">
        <v>17</v>
      </c>
      <c r="U24" s="775">
        <f>H24</f>
        <v>100</v>
      </c>
      <c r="V24" s="774" t="s">
        <v>17</v>
      </c>
      <c r="W24" s="775">
        <f>J24</f>
        <v>100</v>
      </c>
      <c r="X24" s="1813"/>
      <c r="Y24" s="3244"/>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44"/>
      <c r="Q25" s="1795">
        <f t="shared" si="11"/>
        <v>111</v>
      </c>
      <c r="R25" s="770" t="s">
        <v>17</v>
      </c>
      <c r="S25" s="771">
        <f>F25</f>
        <v>100</v>
      </c>
      <c r="T25" s="770" t="s">
        <v>17</v>
      </c>
      <c r="U25" s="771">
        <f>H25</f>
        <v>100</v>
      </c>
      <c r="V25" s="770" t="s">
        <v>17</v>
      </c>
      <c r="W25" s="771">
        <f>J25</f>
        <v>100</v>
      </c>
      <c r="X25" s="772"/>
      <c r="Y25" s="3244"/>
      <c r="Z25" s="55">
        <f>Q25</f>
        <v>111</v>
      </c>
      <c r="AA25" s="1811">
        <f>D25/F25</f>
        <v>1</v>
      </c>
      <c r="AB25" s="1811">
        <f>D25/H25</f>
        <v>1</v>
      </c>
      <c r="AC25" s="1811">
        <f>D25/J25</f>
        <v>1</v>
      </c>
    </row>
    <row r="26" spans="1:29" ht="28.5">
      <c r="A26" s="466" t="s">
        <v>2554</v>
      </c>
      <c r="B26" s="71" t="s">
        <v>2705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9" t="s">
        <v>2556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48" t="s">
        <v>2556</v>
      </c>
      <c r="Z26" s="1814" t="str">
        <f t="shared" ref="Z26:Z34" si="15">Q26</f>
        <v>公共部分装修</v>
      </c>
      <c r="AA26" s="1811">
        <f t="shared" si="3"/>
        <v>1</v>
      </c>
      <c r="AB26" s="1811">
        <f t="shared" si="4"/>
        <v>1</v>
      </c>
      <c r="AC26" s="1811">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48"/>
      <c r="Q27" s="776" t="str">
        <f t="shared" si="11"/>
        <v>成新率</v>
      </c>
      <c r="R27" s="777" t="s">
        <v>17</v>
      </c>
      <c r="S27" s="778" t="e">
        <f t="shared" si="12"/>
        <v>#N/A</v>
      </c>
      <c r="T27" s="777" t="s">
        <v>17</v>
      </c>
      <c r="U27" s="778" t="e">
        <f t="shared" si="13"/>
        <v>#N/A</v>
      </c>
      <c r="V27" s="777" t="s">
        <v>17</v>
      </c>
      <c r="W27" s="778" t="e">
        <f t="shared" si="14"/>
        <v>#N/A</v>
      </c>
      <c r="X27" s="779"/>
      <c r="Y27" s="3248"/>
      <c r="Z27" s="780" t="str">
        <f t="shared" si="15"/>
        <v>成新率</v>
      </c>
      <c r="AA27" s="1811" t="e">
        <f t="shared" si="3"/>
        <v>#N/A</v>
      </c>
      <c r="AB27" s="1811" t="e">
        <f t="shared" si="4"/>
        <v>#N/A</v>
      </c>
      <c r="AC27" s="1811"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48"/>
      <c r="Q28" s="1810" t="str">
        <f t="shared" si="11"/>
        <v>物业等级</v>
      </c>
      <c r="R28" s="774" t="s">
        <v>17</v>
      </c>
      <c r="S28" s="775">
        <f t="shared" si="12"/>
        <v>100</v>
      </c>
      <c r="T28" s="774" t="s">
        <v>17</v>
      </c>
      <c r="U28" s="775">
        <f t="shared" si="13"/>
        <v>100</v>
      </c>
      <c r="V28" s="774" t="s">
        <v>17</v>
      </c>
      <c r="W28" s="775">
        <f t="shared" si="14"/>
        <v>100</v>
      </c>
      <c r="X28" s="1813"/>
      <c r="Y28" s="3248"/>
      <c r="Z28" s="1814" t="str">
        <f t="shared" si="15"/>
        <v>物业等级</v>
      </c>
      <c r="AA28" s="1811">
        <f t="shared" si="3"/>
        <v>1</v>
      </c>
      <c r="AB28" s="1811">
        <f t="shared" si="4"/>
        <v>1</v>
      </c>
      <c r="AC28" s="1811">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48"/>
      <c r="Q29" s="1810" t="str">
        <f t="shared" si="11"/>
        <v>有无电梯</v>
      </c>
      <c r="R29" s="774" t="s">
        <v>17</v>
      </c>
      <c r="S29" s="775">
        <f t="shared" si="12"/>
        <v>100</v>
      </c>
      <c r="T29" s="774" t="s">
        <v>17</v>
      </c>
      <c r="U29" s="775">
        <f t="shared" si="13"/>
        <v>100</v>
      </c>
      <c r="V29" s="774" t="s">
        <v>17</v>
      </c>
      <c r="W29" s="775">
        <f t="shared" si="14"/>
        <v>100</v>
      </c>
      <c r="X29" s="1813"/>
      <c r="Y29" s="3248"/>
      <c r="Z29" s="1814" t="str">
        <f t="shared" si="15"/>
        <v>有无电梯</v>
      </c>
      <c r="AA29" s="1811">
        <f t="shared" si="3"/>
        <v>1</v>
      </c>
      <c r="AB29" s="1811">
        <f t="shared" si="4"/>
        <v>1</v>
      </c>
      <c r="AC29" s="1811">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48"/>
      <c r="Q30" s="1810" t="str">
        <f t="shared" si="11"/>
        <v>建筑面积</v>
      </c>
      <c r="R30" s="774" t="s">
        <v>17</v>
      </c>
      <c r="S30" s="775" t="e">
        <f t="shared" si="12"/>
        <v>#N/A</v>
      </c>
      <c r="T30" s="774" t="s">
        <v>17</v>
      </c>
      <c r="U30" s="775" t="e">
        <f t="shared" si="13"/>
        <v>#N/A</v>
      </c>
      <c r="V30" s="774" t="s">
        <v>17</v>
      </c>
      <c r="W30" s="775" t="e">
        <f t="shared" si="14"/>
        <v>#N/A</v>
      </c>
      <c r="X30" s="1813"/>
      <c r="Y30" s="3248"/>
      <c r="Z30" s="1814" t="str">
        <f t="shared" si="15"/>
        <v>建筑面积</v>
      </c>
      <c r="AA30" s="1811" t="e">
        <f t="shared" si="3"/>
        <v>#N/A</v>
      </c>
      <c r="AB30" s="1811" t="e">
        <f t="shared" si="4"/>
        <v>#N/A</v>
      </c>
      <c r="AC30" s="1811"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48"/>
      <c r="Q31" s="1795" t="str">
        <f t="shared" si="11"/>
        <v>是否封闭</v>
      </c>
      <c r="R31" s="770" t="s">
        <v>17</v>
      </c>
      <c r="S31" s="771">
        <f t="shared" si="12"/>
        <v>100</v>
      </c>
      <c r="T31" s="770" t="s">
        <v>17</v>
      </c>
      <c r="U31" s="771">
        <f t="shared" si="13"/>
        <v>100</v>
      </c>
      <c r="V31" s="770" t="s">
        <v>17</v>
      </c>
      <c r="W31" s="771">
        <f t="shared" si="14"/>
        <v>100</v>
      </c>
      <c r="X31" s="772"/>
      <c r="Y31" s="3248"/>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48" t="s">
        <v>2556</v>
      </c>
      <c r="Q32" s="1810">
        <f t="shared" si="11"/>
        <v>111</v>
      </c>
      <c r="R32" s="774" t="s">
        <v>17</v>
      </c>
      <c r="S32" s="775">
        <f t="shared" si="12"/>
        <v>100</v>
      </c>
      <c r="T32" s="774" t="s">
        <v>17</v>
      </c>
      <c r="U32" s="775">
        <f t="shared" si="13"/>
        <v>100</v>
      </c>
      <c r="V32" s="774" t="s">
        <v>17</v>
      </c>
      <c r="W32" s="775">
        <f t="shared" si="14"/>
        <v>100</v>
      </c>
      <c r="X32" s="1813"/>
      <c r="Y32" s="3248" t="s">
        <v>2556</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48"/>
      <c r="Q33" s="1810">
        <f t="shared" si="11"/>
        <v>111</v>
      </c>
      <c r="R33" s="774" t="s">
        <v>17</v>
      </c>
      <c r="S33" s="775">
        <f t="shared" si="12"/>
        <v>100</v>
      </c>
      <c r="T33" s="774" t="s">
        <v>17</v>
      </c>
      <c r="U33" s="775">
        <f t="shared" si="13"/>
        <v>100</v>
      </c>
      <c r="V33" s="774" t="s">
        <v>17</v>
      </c>
      <c r="W33" s="775">
        <f t="shared" si="14"/>
        <v>100</v>
      </c>
      <c r="X33" s="1813"/>
      <c r="Y33" s="3248"/>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48"/>
      <c r="Q34" s="1810">
        <f t="shared" si="11"/>
        <v>111</v>
      </c>
      <c r="R34" s="774" t="s">
        <v>17</v>
      </c>
      <c r="S34" s="775">
        <f t="shared" si="12"/>
        <v>100</v>
      </c>
      <c r="T34" s="774" t="s">
        <v>17</v>
      </c>
      <c r="U34" s="775">
        <f t="shared" si="13"/>
        <v>100</v>
      </c>
      <c r="V34" s="774" t="s">
        <v>17</v>
      </c>
      <c r="W34" s="775">
        <f t="shared" si="14"/>
        <v>100</v>
      </c>
      <c r="X34" s="1813"/>
      <c r="Y34" s="3248"/>
      <c r="Z34" s="1814">
        <f t="shared" si="15"/>
        <v>111</v>
      </c>
      <c r="AA34" s="1811">
        <f t="shared" si="3"/>
        <v>1</v>
      </c>
      <c r="AB34" s="1811">
        <f t="shared" si="4"/>
        <v>1</v>
      </c>
      <c r="AC34" s="1811">
        <f t="shared" si="5"/>
        <v>1</v>
      </c>
    </row>
    <row r="35" spans="1:29" ht="15">
      <c r="A35" s="479" t="s">
        <v>2568</v>
      </c>
      <c r="B35" s="480"/>
      <c r="C35" s="1407" t="s">
        <v>1</v>
      </c>
      <c r="D35" s="1408"/>
      <c r="E35" s="1409"/>
      <c r="F35" s="1410"/>
      <c r="G35" s="1411"/>
      <c r="H35" s="1412"/>
      <c r="I35" s="1409"/>
      <c r="J35" s="1412"/>
      <c r="K35" s="783"/>
      <c r="L35" s="1143"/>
      <c r="M35" s="1144"/>
      <c r="N35" s="1131"/>
      <c r="O35" s="1144"/>
      <c r="P35" s="3241" t="str">
        <f>A35</f>
        <v>成交单价（元/平方米）</v>
      </c>
      <c r="Q35" s="3241"/>
      <c r="R35" s="3242">
        <f>E35</f>
        <v>0</v>
      </c>
      <c r="S35" s="3242"/>
      <c r="T35" s="3242">
        <f>G35</f>
        <v>0</v>
      </c>
      <c r="U35" s="3242"/>
      <c r="V35" s="3242">
        <f>I35</f>
        <v>0</v>
      </c>
      <c r="W35" s="3242"/>
      <c r="X35" s="759"/>
      <c r="Y35" s="781"/>
      <c r="Z35" s="759"/>
      <c r="AA35" s="759"/>
      <c r="AB35" s="759"/>
      <c r="AC35" s="759"/>
    </row>
    <row r="36" spans="1:29" ht="15.75" thickBot="1">
      <c r="A36" s="486" t="s">
        <v>2660</v>
      </c>
      <c r="B36" s="487"/>
      <c r="C36" s="1413" t="e">
        <f>R37</f>
        <v>#DIV/0!</v>
      </c>
      <c r="D36" s="1414"/>
      <c r="E36" s="1415" t="e">
        <f>R36</f>
        <v>#DIV/0!</v>
      </c>
      <c r="F36" s="1415"/>
      <c r="G36" s="1413" t="e">
        <f>T36</f>
        <v>#DIV/0!</v>
      </c>
      <c r="H36" s="1414"/>
      <c r="I36" s="1415" t="e">
        <f>V36</f>
        <v>#DIV/0!</v>
      </c>
      <c r="J36" s="1414"/>
      <c r="K36" s="784"/>
      <c r="L36" s="1143"/>
      <c r="M36" s="1144"/>
      <c r="N36" s="1131"/>
      <c r="O36" s="1144"/>
      <c r="P36" s="3241" t="str">
        <f>A36</f>
        <v>比较价值（元/平方米）</v>
      </c>
      <c r="Q36" s="3241"/>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9"/>
      <c r="Y36" s="759"/>
      <c r="Z36" s="759"/>
      <c r="AA36" s="759"/>
      <c r="AB36" s="759"/>
      <c r="AC36" s="759"/>
    </row>
    <row r="37" spans="1:29" ht="15.75" thickBot="1">
      <c r="A37" s="492" t="s">
        <v>2661</v>
      </c>
      <c r="B37" s="493"/>
      <c r="C37" s="1417" t="e">
        <f>R37</f>
        <v>#DIV/0!</v>
      </c>
      <c r="D37" s="1417"/>
      <c r="E37" s="1417"/>
      <c r="F37" s="1417"/>
      <c r="G37" s="1417"/>
      <c r="H37" s="1417"/>
      <c r="I37" s="1417"/>
      <c r="J37" s="1417"/>
      <c r="K37" s="785"/>
      <c r="L37" s="1143"/>
      <c r="M37" s="1144"/>
      <c r="N37" s="1144"/>
      <c r="O37" s="1144"/>
      <c r="P37" s="3238" t="str">
        <f>A37</f>
        <v>估价对象XX用房的比较价值（楼面单价，元/平方米）</v>
      </c>
      <c r="Q37" s="3239"/>
      <c r="R37" s="3240" t="e">
        <f>IF(F1="售价",ROUND(AVERAGE(R36:V36),0),ROUND(AVERAGE(R36:V36),1))</f>
        <v>#DIV/0!</v>
      </c>
      <c r="S37" s="3240"/>
      <c r="T37" s="3240"/>
      <c r="U37" s="3240"/>
      <c r="V37" s="3240"/>
      <c r="W37" s="324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2665</v>
      </c>
      <c r="B45" s="759"/>
      <c r="C45" s="764"/>
      <c r="D45" s="764"/>
      <c r="E45" s="764"/>
      <c r="F45" s="765"/>
      <c r="G45" s="765"/>
      <c r="H45" s="764"/>
      <c r="I45" s="764"/>
      <c r="J45" s="764"/>
      <c r="K45" s="766"/>
      <c r="L45" s="767"/>
      <c r="M45" s="764"/>
      <c r="N45" s="764"/>
      <c r="O45" s="764"/>
      <c r="P45" s="503"/>
      <c r="Q45" s="504"/>
    </row>
    <row r="46" spans="1:29" s="508" customFormat="1" ht="15">
      <c r="A46" s="505" t="s">
        <v>2539</v>
      </c>
      <c r="B46" s="506"/>
      <c r="C46" s="1574" t="str">
        <f>YEAR(C7)&amp;"-"&amp;MONTH(C7)</f>
        <v>2019-12</v>
      </c>
      <c r="D46" s="1575">
        <f>EDATE(C46,-1)</f>
        <v>43770</v>
      </c>
      <c r="E46" s="1575">
        <f t="shared" ref="E46:O46" si="16">EDATE(D46,-1)</f>
        <v>43739</v>
      </c>
      <c r="F46" s="1575">
        <f t="shared" si="16"/>
        <v>43709</v>
      </c>
      <c r="G46" s="1575">
        <f t="shared" si="16"/>
        <v>43678</v>
      </c>
      <c r="H46" s="1575">
        <f t="shared" si="16"/>
        <v>43647</v>
      </c>
      <c r="I46" s="1575">
        <f t="shared" si="16"/>
        <v>43617</v>
      </c>
      <c r="J46" s="1575">
        <f t="shared" si="16"/>
        <v>43586</v>
      </c>
      <c r="K46" s="1575">
        <f t="shared" si="16"/>
        <v>43556</v>
      </c>
      <c r="L46" s="1575">
        <f t="shared" si="16"/>
        <v>43525</v>
      </c>
      <c r="M46" s="1575">
        <f t="shared" si="16"/>
        <v>43497</v>
      </c>
      <c r="N46" s="1575">
        <f t="shared" si="16"/>
        <v>43466</v>
      </c>
      <c r="O46" s="1575">
        <f t="shared" si="16"/>
        <v>43435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2579</v>
      </c>
      <c r="B51" s="528" t="s">
        <v>2545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2554</v>
      </c>
      <c r="B77" s="528" t="s">
        <v>2607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2724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2734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2636</v>
      </c>
      <c r="B4" s="402"/>
      <c r="C4" s="3224" t="s">
        <v>2637</v>
      </c>
      <c r="D4" s="3225"/>
      <c r="E4" s="3226" t="s">
        <v>2638</v>
      </c>
      <c r="F4" s="3227"/>
      <c r="G4" s="3224" t="s">
        <v>2639</v>
      </c>
      <c r="H4" s="3225"/>
      <c r="I4" s="3224" t="s">
        <v>2640</v>
      </c>
      <c r="J4" s="3225"/>
      <c r="K4" s="610" t="s">
        <v>2641</v>
      </c>
      <c r="L4" s="1130"/>
      <c r="M4" s="1131"/>
      <c r="N4" s="1131"/>
      <c r="O4" s="1131"/>
      <c r="P4" s="3228" t="s">
        <v>2642</v>
      </c>
      <c r="Q4" s="3229"/>
      <c r="R4" s="3211" t="s">
        <v>2638</v>
      </c>
      <c r="S4" s="3212"/>
      <c r="T4" s="3211" t="s">
        <v>2639</v>
      </c>
      <c r="U4" s="3212"/>
      <c r="V4" s="3236" t="s">
        <v>2640</v>
      </c>
      <c r="W4" s="3236"/>
      <c r="X4" s="1813"/>
      <c r="Y4" s="3211" t="s">
        <v>2642</v>
      </c>
      <c r="Z4" s="3212"/>
      <c r="AA4" s="3206" t="s">
        <v>2638</v>
      </c>
      <c r="AB4" s="3207" t="s">
        <v>2639</v>
      </c>
      <c r="AC4" s="3206" t="s">
        <v>2640</v>
      </c>
    </row>
    <row r="5" spans="1:30" ht="15">
      <c r="A5" s="404"/>
      <c r="B5" s="405"/>
      <c r="C5" s="3217" t="s">
        <v>2533</v>
      </c>
      <c r="D5" s="3218"/>
      <c r="E5" s="3215" t="s">
        <v>2534</v>
      </c>
      <c r="F5" s="3216"/>
      <c r="G5" s="3217" t="s">
        <v>2535</v>
      </c>
      <c r="H5" s="3218"/>
      <c r="I5" s="3217" t="s">
        <v>2536</v>
      </c>
      <c r="J5" s="3218"/>
      <c r="K5" s="610"/>
      <c r="L5" s="1130"/>
      <c r="M5" s="1131"/>
      <c r="N5" s="1131"/>
      <c r="O5" s="1131"/>
      <c r="P5" s="3230"/>
      <c r="Q5" s="3231"/>
      <c r="R5" s="3213"/>
      <c r="S5" s="3214"/>
      <c r="T5" s="3213"/>
      <c r="U5" s="3214"/>
      <c r="V5" s="3236"/>
      <c r="W5" s="3236"/>
      <c r="X5" s="1813"/>
      <c r="Y5" s="3213"/>
      <c r="Z5" s="3214"/>
      <c r="AA5" s="3207"/>
      <c r="AB5" s="3207"/>
      <c r="AC5" s="3207"/>
    </row>
    <row r="6" spans="1:30" ht="15.75" thickBot="1">
      <c r="A6" s="406"/>
      <c r="B6" s="407"/>
      <c r="C6" s="3219" t="s">
        <v>2537</v>
      </c>
      <c r="D6" s="3220"/>
      <c r="E6" s="3221" t="s">
        <v>2537</v>
      </c>
      <c r="F6" s="3222"/>
      <c r="G6" s="3219" t="s">
        <v>2537</v>
      </c>
      <c r="H6" s="3220"/>
      <c r="I6" s="3219" t="s">
        <v>2537</v>
      </c>
      <c r="J6" s="3220"/>
      <c r="K6" s="610" t="s">
        <v>2538</v>
      </c>
      <c r="L6" s="1130"/>
      <c r="M6" s="1131"/>
      <c r="N6" s="1131"/>
      <c r="O6" s="1131"/>
      <c r="P6" s="3232"/>
      <c r="Q6" s="3233"/>
      <c r="R6" s="3213"/>
      <c r="S6" s="3214"/>
      <c r="T6" s="3234"/>
      <c r="U6" s="3235"/>
      <c r="V6" s="3236"/>
      <c r="W6" s="3236"/>
      <c r="X6" s="1813"/>
      <c r="Y6" s="3234"/>
      <c r="Z6" s="3235"/>
      <c r="AA6" s="3208"/>
      <c r="AB6" s="3208"/>
      <c r="AC6" s="3208"/>
    </row>
    <row r="7" spans="1:30" s="117" customFormat="1" ht="15.75" thickBot="1">
      <c r="A7" s="408" t="s">
        <v>2539</v>
      </c>
      <c r="B7" s="409"/>
      <c r="C7" s="410">
        <f>'数据-取费表'!B2</f>
        <v>43822</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209" t="s">
        <v>2540</v>
      </c>
      <c r="Q7" s="3237"/>
      <c r="R7" s="770" t="s">
        <v>17</v>
      </c>
      <c r="S7" s="771">
        <f t="shared" ref="S7:S15" si="0">F7</f>
        <v>0</v>
      </c>
      <c r="T7" s="770" t="s">
        <v>17</v>
      </c>
      <c r="U7" s="771">
        <f t="shared" ref="U7:U15" si="1">H7</f>
        <v>0</v>
      </c>
      <c r="V7" s="770" t="s">
        <v>17</v>
      </c>
      <c r="W7" s="771">
        <f t="shared" ref="W7:W15" si="2">J7</f>
        <v>0</v>
      </c>
      <c r="X7" s="772"/>
      <c r="Y7" s="3209" t="s">
        <v>2540</v>
      </c>
      <c r="Z7" s="3210"/>
      <c r="AA7" s="773" t="e">
        <f>D7/F7</f>
        <v>#DIV/0!</v>
      </c>
      <c r="AB7" s="773" t="e">
        <f>D7/H7</f>
        <v>#DIV/0!</v>
      </c>
      <c r="AC7" s="773"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09" t="s">
        <v>2543</v>
      </c>
      <c r="Q8" s="3210"/>
      <c r="R8" s="770" t="s">
        <v>17</v>
      </c>
      <c r="S8" s="771">
        <f t="shared" si="0"/>
        <v>0</v>
      </c>
      <c r="T8" s="770" t="s">
        <v>17</v>
      </c>
      <c r="U8" s="771">
        <f t="shared" si="1"/>
        <v>0</v>
      </c>
      <c r="V8" s="770" t="s">
        <v>17</v>
      </c>
      <c r="W8" s="771">
        <f t="shared" si="2"/>
        <v>0</v>
      </c>
      <c r="X8" s="772"/>
      <c r="Y8" s="3209" t="s">
        <v>2543</v>
      </c>
      <c r="Z8" s="3210"/>
      <c r="AA8" s="773" t="e">
        <f t="shared" ref="AA8:AA45" si="3">D8/F8</f>
        <v>#DIV/0!</v>
      </c>
      <c r="AB8" s="773" t="e">
        <f t="shared" ref="AB8:AB45" si="4">D8/H8</f>
        <v>#DIV/0!</v>
      </c>
      <c r="AC8" s="773" t="e">
        <f t="shared" ref="AC8:AC45" si="5">D8/J8</f>
        <v>#DIV/0!</v>
      </c>
    </row>
    <row r="9" spans="1:30" s="117" customFormat="1">
      <c r="A9" s="415" t="s">
        <v>2544</v>
      </c>
      <c r="B9" s="71" t="s">
        <v>2545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41" t="s">
        <v>2546</v>
      </c>
      <c r="Q9" s="1795"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773">
        <f t="shared" si="5"/>
        <v>1</v>
      </c>
    </row>
    <row r="10" spans="1:30" s="427" customFormat="1" ht="27">
      <c r="A10" s="421"/>
      <c r="B10" s="422" t="s">
        <v>2548</v>
      </c>
      <c r="C10" s="432"/>
      <c r="D10" s="136">
        <v>100</v>
      </c>
      <c r="E10" s="465"/>
      <c r="F10" s="136">
        <f ca="1">ROUND(100/'数据-取费表'!G16,0)</f>
        <v>115</v>
      </c>
      <c r="G10" s="463"/>
      <c r="H10" s="136">
        <f ca="1">ROUND(100/'数据-取费表'!G16,0)</f>
        <v>115</v>
      </c>
      <c r="I10" s="463"/>
      <c r="J10" s="136">
        <f ca="1">ROUND(100/'数据-取费表'!G16,0)</f>
        <v>115</v>
      </c>
      <c r="K10" s="672"/>
      <c r="L10" s="1135"/>
      <c r="M10" s="1136"/>
      <c r="N10" s="1136"/>
      <c r="O10" s="1137"/>
      <c r="P10" s="3241"/>
      <c r="Q10" s="1795" t="str">
        <f t="shared" si="6"/>
        <v>土地使用年限（年）</v>
      </c>
      <c r="R10" s="770" t="s">
        <v>17</v>
      </c>
      <c r="S10" s="771">
        <f t="shared" ca="1" si="0"/>
        <v>115</v>
      </c>
      <c r="T10" s="770" t="s">
        <v>17</v>
      </c>
      <c r="U10" s="771">
        <f t="shared" ca="1" si="1"/>
        <v>115</v>
      </c>
      <c r="V10" s="770" t="s">
        <v>17</v>
      </c>
      <c r="W10" s="771">
        <f t="shared" ca="1" si="2"/>
        <v>115</v>
      </c>
      <c r="X10" s="772"/>
      <c r="Y10" s="3033"/>
      <c r="Z10" s="55" t="str">
        <f t="shared" si="7"/>
        <v>土地使用年限（年）</v>
      </c>
      <c r="AA10" s="773">
        <f t="shared" ca="1" si="3"/>
        <v>0.86956521739130432</v>
      </c>
      <c r="AB10" s="773">
        <f t="shared" ca="1" si="4"/>
        <v>0.86956521739130432</v>
      </c>
      <c r="AC10" s="773">
        <f t="shared" ca="1" si="5"/>
        <v>0.86956521739130432</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41"/>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598" t="s">
        <v>2738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41"/>
      <c r="Q12" s="1795"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41"/>
      <c r="Q14" s="1795">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c r="A15" s="440" t="s">
        <v>2550</v>
      </c>
      <c r="B15" s="69" t="s">
        <v>2080</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43" t="s">
        <v>2551</v>
      </c>
      <c r="Q15" s="1810" t="str">
        <f t="shared" si="6"/>
        <v>居住社区成熟度</v>
      </c>
      <c r="R15" s="774" t="s">
        <v>17</v>
      </c>
      <c r="S15" s="775">
        <f t="shared" si="0"/>
        <v>100</v>
      </c>
      <c r="T15" s="774" t="s">
        <v>17</v>
      </c>
      <c r="U15" s="775">
        <f t="shared" si="1"/>
        <v>100</v>
      </c>
      <c r="V15" s="774" t="s">
        <v>17</v>
      </c>
      <c r="W15" s="775">
        <f t="shared" si="2"/>
        <v>100</v>
      </c>
      <c r="X15" s="1813"/>
      <c r="Y15" s="3243" t="s">
        <v>2551</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44"/>
      <c r="Q16" s="1810"/>
      <c r="R16" s="774"/>
      <c r="S16" s="775"/>
      <c r="T16" s="774"/>
      <c r="U16" s="775"/>
      <c r="V16" s="774"/>
      <c r="W16" s="775"/>
      <c r="X16" s="1813"/>
      <c r="Y16" s="3244"/>
      <c r="Z16" s="1814"/>
      <c r="AA16" s="1811">
        <v>1</v>
      </c>
      <c r="AB16" s="1811">
        <v>1</v>
      </c>
      <c r="AC16" s="1811">
        <v>1</v>
      </c>
    </row>
    <row r="17" spans="1:29" ht="71.25">
      <c r="A17" s="428"/>
      <c r="B17" s="451" t="s">
        <v>2644</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44"/>
      <c r="Q17" s="1810" t="str">
        <f>B17</f>
        <v>商业繁华度</v>
      </c>
      <c r="R17" s="774" t="s">
        <v>17</v>
      </c>
      <c r="S17" s="775">
        <f>F17</f>
        <v>100</v>
      </c>
      <c r="T17" s="774" t="s">
        <v>17</v>
      </c>
      <c r="U17" s="775">
        <f>H17</f>
        <v>100</v>
      </c>
      <c r="V17" s="774" t="s">
        <v>17</v>
      </c>
      <c r="W17" s="775">
        <f>J17</f>
        <v>100</v>
      </c>
      <c r="X17" s="1813"/>
      <c r="Y17" s="3244"/>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44"/>
      <c r="Q18" s="1810"/>
      <c r="R18" s="774"/>
      <c r="S18" s="775"/>
      <c r="T18" s="774"/>
      <c r="U18" s="775"/>
      <c r="V18" s="774"/>
      <c r="W18" s="775"/>
      <c r="X18" s="1813"/>
      <c r="Y18" s="3244"/>
      <c r="Z18" s="1814"/>
      <c r="AA18" s="1811">
        <v>1</v>
      </c>
      <c r="AB18" s="1811">
        <v>1</v>
      </c>
      <c r="AC18" s="1811">
        <v>1</v>
      </c>
    </row>
    <row r="19" spans="1:29" ht="15">
      <c r="A19" s="428"/>
      <c r="B19" s="451" t="s">
        <v>2678</v>
      </c>
      <c r="C19" s="2662" t="str">
        <f>估价对象房地状况!C17</f>
        <v>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44"/>
      <c r="Q19" s="1810" t="str">
        <f>B19</f>
        <v>办公集聚程度</v>
      </c>
      <c r="R19" s="774" t="s">
        <v>17</v>
      </c>
      <c r="S19" s="775">
        <f>F19</f>
        <v>100</v>
      </c>
      <c r="T19" s="774" t="s">
        <v>17</v>
      </c>
      <c r="U19" s="775">
        <f>H19</f>
        <v>100</v>
      </c>
      <c r="V19" s="774" t="s">
        <v>17</v>
      </c>
      <c r="W19" s="775">
        <f>J19</f>
        <v>100</v>
      </c>
      <c r="X19" s="1813"/>
      <c r="Y19" s="3244"/>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44"/>
      <c r="Q20" s="1810"/>
      <c r="R20" s="774"/>
      <c r="S20" s="775"/>
      <c r="T20" s="774"/>
      <c r="U20" s="775"/>
      <c r="V20" s="774"/>
      <c r="W20" s="775"/>
      <c r="X20" s="1813"/>
      <c r="Y20" s="3244"/>
      <c r="Z20" s="1814"/>
      <c r="AA20" s="1811">
        <v>1</v>
      </c>
      <c r="AB20" s="1811">
        <v>1</v>
      </c>
      <c r="AC20" s="1811">
        <v>1</v>
      </c>
    </row>
    <row r="21" spans="1:29" ht="15">
      <c r="A21" s="428"/>
      <c r="B21" s="451" t="s">
        <v>2700</v>
      </c>
      <c r="C21" s="2605"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44"/>
      <c r="Q21" s="1810" t="str">
        <f>B21</f>
        <v>交通便捷度</v>
      </c>
      <c r="R21" s="774" t="s">
        <v>17</v>
      </c>
      <c r="S21" s="775">
        <f>F21</f>
        <v>100</v>
      </c>
      <c r="T21" s="774" t="s">
        <v>17</v>
      </c>
      <c r="U21" s="775">
        <f>H21</f>
        <v>100</v>
      </c>
      <c r="V21" s="774" t="s">
        <v>17</v>
      </c>
      <c r="W21" s="775">
        <f>J21</f>
        <v>100</v>
      </c>
      <c r="X21" s="1813"/>
      <c r="Y21" s="3244"/>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44"/>
      <c r="Q22" s="1810"/>
      <c r="R22" s="774"/>
      <c r="S22" s="775"/>
      <c r="T22" s="774"/>
      <c r="U22" s="775"/>
      <c r="V22" s="774"/>
      <c r="W22" s="775"/>
      <c r="X22" s="1813"/>
      <c r="Y22" s="3244"/>
      <c r="Z22" s="1814"/>
      <c r="AA22" s="1811">
        <v>1</v>
      </c>
      <c r="AB22" s="1811">
        <v>1</v>
      </c>
      <c r="AC22" s="1811">
        <v>1</v>
      </c>
    </row>
    <row r="23" spans="1:29" ht="15">
      <c r="A23" s="404"/>
      <c r="B23" s="451" t="s">
        <v>2739</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44"/>
      <c r="Q23" s="1810" t="str">
        <f t="shared" ref="Q23:Q37" si="8">B23</f>
        <v>区域土地利用方向</v>
      </c>
      <c r="R23" s="774" t="s">
        <v>17</v>
      </c>
      <c r="S23" s="775">
        <f>F23</f>
        <v>100</v>
      </c>
      <c r="T23" s="774" t="s">
        <v>17</v>
      </c>
      <c r="U23" s="775">
        <f>H23</f>
        <v>100</v>
      </c>
      <c r="V23" s="774" t="s">
        <v>17</v>
      </c>
      <c r="W23" s="775">
        <f>J23</f>
        <v>100</v>
      </c>
      <c r="X23" s="1813"/>
      <c r="Y23" s="3244"/>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44"/>
      <c r="Q24" s="1810"/>
      <c r="R24" s="774"/>
      <c r="S24" s="775"/>
      <c r="T24" s="774"/>
      <c r="U24" s="775"/>
      <c r="V24" s="774"/>
      <c r="W24" s="775"/>
      <c r="X24" s="1813"/>
      <c r="Y24" s="3244"/>
      <c r="Z24" s="1814"/>
      <c r="AA24" s="1811"/>
      <c r="AB24" s="1811"/>
      <c r="AC24" s="1811"/>
    </row>
    <row r="25" spans="1:29" ht="27">
      <c r="A25" s="404"/>
      <c r="B25" s="1384" t="s">
        <v>2740</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44"/>
      <c r="Q25" s="1810" t="str">
        <f t="shared" si="8"/>
        <v>自然及人文环境状况</v>
      </c>
      <c r="R25" s="774" t="s">
        <v>17</v>
      </c>
      <c r="S25" s="775">
        <f>F25</f>
        <v>100</v>
      </c>
      <c r="T25" s="774" t="s">
        <v>17</v>
      </c>
      <c r="U25" s="775">
        <f>H25</f>
        <v>100</v>
      </c>
      <c r="V25" s="774" t="s">
        <v>17</v>
      </c>
      <c r="W25" s="775">
        <f>J25</f>
        <v>100</v>
      </c>
      <c r="X25" s="1813"/>
      <c r="Y25" s="3244"/>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44"/>
      <c r="Q26" s="1810"/>
      <c r="R26" s="774"/>
      <c r="S26" s="775"/>
      <c r="T26" s="774"/>
      <c r="U26" s="775"/>
      <c r="V26" s="774"/>
      <c r="W26" s="775"/>
      <c r="X26" s="1813"/>
      <c r="Y26" s="3244"/>
      <c r="Z26" s="1814"/>
      <c r="AA26" s="1811">
        <v>1</v>
      </c>
      <c r="AB26" s="1811">
        <v>1</v>
      </c>
      <c r="AC26" s="1811">
        <v>1</v>
      </c>
    </row>
    <row r="27" spans="1:29" s="117" customFormat="1" ht="15">
      <c r="A27" s="649"/>
      <c r="B27" s="1384" t="s">
        <v>2645</v>
      </c>
      <c r="C27" s="2605"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44"/>
      <c r="Q27" s="1795" t="str">
        <f t="shared" si="8"/>
        <v>公共配套设施</v>
      </c>
      <c r="R27" s="770" t="s">
        <v>17</v>
      </c>
      <c r="S27" s="771">
        <f>F27</f>
        <v>100</v>
      </c>
      <c r="T27" s="770" t="s">
        <v>17</v>
      </c>
      <c r="U27" s="771">
        <f>H27</f>
        <v>100</v>
      </c>
      <c r="V27" s="770" t="s">
        <v>17</v>
      </c>
      <c r="W27" s="771">
        <f>J27</f>
        <v>100</v>
      </c>
      <c r="X27" s="772"/>
      <c r="Y27" s="3244"/>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44"/>
      <c r="Q28" s="1795"/>
      <c r="R28" s="770"/>
      <c r="S28" s="771"/>
      <c r="T28" s="770"/>
      <c r="U28" s="771"/>
      <c r="V28" s="770"/>
      <c r="W28" s="771"/>
      <c r="X28" s="772"/>
      <c r="Y28" s="3244"/>
      <c r="Z28" s="55"/>
      <c r="AA28" s="1811">
        <v>1</v>
      </c>
      <c r="AB28" s="1811">
        <v>1</v>
      </c>
      <c r="AC28" s="1811">
        <v>1</v>
      </c>
    </row>
    <row r="29" spans="1:29" s="117" customFormat="1" ht="15">
      <c r="A29" s="649"/>
      <c r="B29" s="1384" t="s">
        <v>2646</v>
      </c>
      <c r="C29" s="2605"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44"/>
      <c r="Q29" s="1795" t="str">
        <f t="shared" ref="Q29" si="9">B29</f>
        <v>基础设施水平</v>
      </c>
      <c r="R29" s="770" t="s">
        <v>17</v>
      </c>
      <c r="S29" s="771">
        <f>F29</f>
        <v>100</v>
      </c>
      <c r="T29" s="770" t="s">
        <v>17</v>
      </c>
      <c r="U29" s="771">
        <f>H29</f>
        <v>100</v>
      </c>
      <c r="V29" s="770" t="s">
        <v>17</v>
      </c>
      <c r="W29" s="771">
        <f>J29</f>
        <v>100</v>
      </c>
      <c r="X29" s="772"/>
      <c r="Y29" s="3244"/>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44"/>
      <c r="Q30" s="1795"/>
      <c r="R30" s="770"/>
      <c r="S30" s="771"/>
      <c r="T30" s="770"/>
      <c r="U30" s="771"/>
      <c r="V30" s="770"/>
      <c r="W30" s="771"/>
      <c r="X30" s="772"/>
      <c r="Y30" s="3244"/>
      <c r="Z30" s="55"/>
      <c r="AA30" s="1811">
        <v>1</v>
      </c>
      <c r="AB30" s="1811">
        <v>1</v>
      </c>
      <c r="AC30" s="1811">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44"/>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44"/>
      <c r="Z31" s="1814" t="str">
        <f t="shared" ref="Z31:Z45" si="13">Q31</f>
        <v>临街状况</v>
      </c>
      <c r="AA31" s="1811">
        <f t="shared" si="3"/>
        <v>1</v>
      </c>
      <c r="AB31" s="1811">
        <f t="shared" si="4"/>
        <v>1</v>
      </c>
      <c r="AC31" s="1811">
        <f t="shared" si="5"/>
        <v>1</v>
      </c>
    </row>
    <row r="32" spans="1:29" ht="27">
      <c r="A32" s="428"/>
      <c r="B32" s="1384"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44"/>
      <c r="Q32" s="1810" t="str">
        <f t="shared" si="8"/>
        <v>毗邻道路的类型与等级</v>
      </c>
      <c r="R32" s="774" t="s">
        <v>17</v>
      </c>
      <c r="S32" s="775">
        <f t="shared" si="10"/>
        <v>100</v>
      </c>
      <c r="T32" s="774" t="s">
        <v>17</v>
      </c>
      <c r="U32" s="775">
        <f t="shared" si="11"/>
        <v>100</v>
      </c>
      <c r="V32" s="774" t="s">
        <v>17</v>
      </c>
      <c r="W32" s="775">
        <f t="shared" si="12"/>
        <v>100</v>
      </c>
      <c r="X32" s="1813"/>
      <c r="Y32" s="3244"/>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44"/>
      <c r="Q33" s="1810"/>
      <c r="R33" s="774"/>
      <c r="S33" s="775"/>
      <c r="T33" s="774"/>
      <c r="U33" s="775"/>
      <c r="V33" s="774"/>
      <c r="W33" s="775"/>
      <c r="X33" s="1813"/>
      <c r="Y33" s="3244"/>
      <c r="Z33" s="1814"/>
      <c r="AA33" s="1811">
        <v>1</v>
      </c>
      <c r="AB33" s="1811">
        <v>1</v>
      </c>
      <c r="AC33" s="1811">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44"/>
      <c r="Q34" s="1810" t="str">
        <f t="shared" si="8"/>
        <v>土地级别</v>
      </c>
      <c r="R34" s="774" t="s">
        <v>17</v>
      </c>
      <c r="S34" s="775">
        <f t="shared" si="10"/>
        <v>100</v>
      </c>
      <c r="T34" s="774" t="s">
        <v>17</v>
      </c>
      <c r="U34" s="775">
        <f t="shared" si="11"/>
        <v>100</v>
      </c>
      <c r="V34" s="774" t="s">
        <v>17</v>
      </c>
      <c r="W34" s="775">
        <f t="shared" si="12"/>
        <v>100</v>
      </c>
      <c r="X34" s="1813"/>
      <c r="Y34" s="3244"/>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44"/>
      <c r="Q35" s="1810">
        <f t="shared" si="8"/>
        <v>111</v>
      </c>
      <c r="R35" s="774" t="s">
        <v>17</v>
      </c>
      <c r="S35" s="775">
        <f t="shared" si="10"/>
        <v>100</v>
      </c>
      <c r="T35" s="774" t="s">
        <v>17</v>
      </c>
      <c r="U35" s="775">
        <f t="shared" si="11"/>
        <v>100</v>
      </c>
      <c r="V35" s="774" t="s">
        <v>17</v>
      </c>
      <c r="W35" s="775">
        <f t="shared" si="12"/>
        <v>100</v>
      </c>
      <c r="X35" s="1813"/>
      <c r="Y35" s="3244"/>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9" t="s">
        <v>2556</v>
      </c>
      <c r="Q36" s="1810">
        <f t="shared" si="8"/>
        <v>111</v>
      </c>
      <c r="R36" s="774" t="s">
        <v>17</v>
      </c>
      <c r="S36" s="775">
        <f t="shared" si="10"/>
        <v>100</v>
      </c>
      <c r="T36" s="774" t="s">
        <v>17</v>
      </c>
      <c r="U36" s="775">
        <f t="shared" si="11"/>
        <v>100</v>
      </c>
      <c r="V36" s="774" t="s">
        <v>17</v>
      </c>
      <c r="W36" s="775">
        <f t="shared" si="12"/>
        <v>100</v>
      </c>
      <c r="X36" s="1813"/>
      <c r="Y36" s="3248" t="s">
        <v>2556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48"/>
      <c r="Q37" s="1810">
        <f t="shared" si="8"/>
        <v>111</v>
      </c>
      <c r="R37" s="777" t="s">
        <v>17</v>
      </c>
      <c r="S37" s="778">
        <f t="shared" si="10"/>
        <v>100</v>
      </c>
      <c r="T37" s="777" t="s">
        <v>17</v>
      </c>
      <c r="U37" s="778">
        <f t="shared" si="11"/>
        <v>100</v>
      </c>
      <c r="V37" s="777" t="s">
        <v>17</v>
      </c>
      <c r="W37" s="778">
        <f t="shared" si="12"/>
        <v>100</v>
      </c>
      <c r="X37" s="779"/>
      <c r="Y37" s="3248"/>
      <c r="Z37" s="780">
        <f t="shared" si="13"/>
        <v>111</v>
      </c>
      <c r="AA37" s="1811">
        <f t="shared" si="3"/>
        <v>1</v>
      </c>
      <c r="AB37" s="1811">
        <f t="shared" si="4"/>
        <v>1</v>
      </c>
      <c r="AC37" s="1811">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48"/>
      <c r="Q38" s="1810" t="str">
        <f>B38</f>
        <v>宗地面积</v>
      </c>
      <c r="R38" s="774" t="s">
        <v>17</v>
      </c>
      <c r="S38" s="775" t="e">
        <f t="shared" si="10"/>
        <v>#N/A</v>
      </c>
      <c r="T38" s="774" t="s">
        <v>17</v>
      </c>
      <c r="U38" s="775" t="e">
        <f t="shared" si="11"/>
        <v>#N/A</v>
      </c>
      <c r="V38" s="774" t="s">
        <v>17</v>
      </c>
      <c r="W38" s="775" t="e">
        <f t="shared" si="12"/>
        <v>#N/A</v>
      </c>
      <c r="X38" s="1813"/>
      <c r="Y38" s="3248"/>
      <c r="Z38" s="1814" t="str">
        <f t="shared" si="13"/>
        <v>宗地面积</v>
      </c>
      <c r="AA38" s="1811" t="e">
        <f t="shared" si="3"/>
        <v>#N/A</v>
      </c>
      <c r="AB38" s="1811" t="e">
        <f t="shared" si="4"/>
        <v>#N/A</v>
      </c>
      <c r="AC38" s="1811" t="e">
        <f t="shared" si="5"/>
        <v>#N/A</v>
      </c>
    </row>
    <row r="39" spans="1:29" ht="15">
      <c r="A39" s="472"/>
      <c r="B39" s="422" t="s">
        <v>2743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48"/>
      <c r="Q39" s="1810" t="str">
        <f t="shared" ref="Q39:Q45" si="14">B39</f>
        <v>宗地形状</v>
      </c>
      <c r="R39" s="774" t="s">
        <v>17</v>
      </c>
      <c r="S39" s="775">
        <f t="shared" si="10"/>
        <v>100</v>
      </c>
      <c r="T39" s="774" t="s">
        <v>17</v>
      </c>
      <c r="U39" s="775">
        <f t="shared" si="11"/>
        <v>100</v>
      </c>
      <c r="V39" s="774" t="s">
        <v>17</v>
      </c>
      <c r="W39" s="775">
        <f t="shared" si="12"/>
        <v>100</v>
      </c>
      <c r="X39" s="1813"/>
      <c r="Y39" s="3248"/>
      <c r="Z39" s="1814" t="str">
        <f t="shared" si="13"/>
        <v>宗地形状</v>
      </c>
      <c r="AA39" s="1811">
        <f t="shared" si="3"/>
        <v>1</v>
      </c>
      <c r="AB39" s="1811">
        <f t="shared" si="4"/>
        <v>1</v>
      </c>
      <c r="AC39" s="1811">
        <f t="shared" si="5"/>
        <v>1</v>
      </c>
    </row>
    <row r="40" spans="1:29" ht="15">
      <c r="A40" s="472"/>
      <c r="B40" s="422" t="s">
        <v>2744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48"/>
      <c r="Q40" s="1810" t="str">
        <f t="shared" si="14"/>
        <v>临街宽度及深度</v>
      </c>
      <c r="R40" s="774" t="s">
        <v>17</v>
      </c>
      <c r="S40" s="775">
        <f t="shared" si="10"/>
        <v>100</v>
      </c>
      <c r="T40" s="774" t="s">
        <v>17</v>
      </c>
      <c r="U40" s="775">
        <f t="shared" si="11"/>
        <v>100</v>
      </c>
      <c r="V40" s="774" t="s">
        <v>17</v>
      </c>
      <c r="W40" s="775">
        <f t="shared" si="12"/>
        <v>100</v>
      </c>
      <c r="X40" s="1813"/>
      <c r="Y40" s="3248"/>
      <c r="Z40" s="1814" t="str">
        <f t="shared" si="13"/>
        <v>临街宽度及深度</v>
      </c>
      <c r="AA40" s="1811">
        <f t="shared" si="3"/>
        <v>1</v>
      </c>
      <c r="AB40" s="1811">
        <f t="shared" si="4"/>
        <v>1</v>
      </c>
      <c r="AC40" s="1811">
        <f t="shared" si="5"/>
        <v>1</v>
      </c>
    </row>
    <row r="41" spans="1:29" s="117" customFormat="1" ht="15">
      <c r="A41" s="473"/>
      <c r="B41" s="422" t="s">
        <v>2745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48"/>
      <c r="Q41" s="1810" t="str">
        <f t="shared" si="14"/>
        <v>宗地开发程度</v>
      </c>
      <c r="R41" s="770" t="s">
        <v>17</v>
      </c>
      <c r="S41" s="771">
        <f t="shared" si="10"/>
        <v>100</v>
      </c>
      <c r="T41" s="770" t="s">
        <v>17</v>
      </c>
      <c r="U41" s="771">
        <f t="shared" si="11"/>
        <v>100</v>
      </c>
      <c r="V41" s="770" t="s">
        <v>17</v>
      </c>
      <c r="W41" s="771">
        <f t="shared" si="12"/>
        <v>100</v>
      </c>
      <c r="X41" s="772"/>
      <c r="Y41" s="3248"/>
      <c r="Z41" s="55" t="str">
        <f t="shared" si="13"/>
        <v>宗地开发程度</v>
      </c>
      <c r="AA41" s="773">
        <f t="shared" si="3"/>
        <v>1</v>
      </c>
      <c r="AB41" s="773">
        <f t="shared" si="4"/>
        <v>1</v>
      </c>
      <c r="AC41" s="773">
        <f t="shared" si="5"/>
        <v>1</v>
      </c>
    </row>
    <row r="42" spans="1:29" ht="15">
      <c r="A42" s="472"/>
      <c r="B42" s="422" t="s">
        <v>2746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48" t="s">
        <v>2556</v>
      </c>
      <c r="Q42" s="1810" t="str">
        <f t="shared" si="14"/>
        <v>工程地质条件</v>
      </c>
      <c r="R42" s="774" t="s">
        <v>17</v>
      </c>
      <c r="S42" s="775">
        <f t="shared" si="10"/>
        <v>100</v>
      </c>
      <c r="T42" s="774" t="s">
        <v>17</v>
      </c>
      <c r="U42" s="775">
        <f t="shared" si="11"/>
        <v>100</v>
      </c>
      <c r="V42" s="774" t="s">
        <v>17</v>
      </c>
      <c r="W42" s="775">
        <f t="shared" si="12"/>
        <v>100</v>
      </c>
      <c r="X42" s="1813"/>
      <c r="Y42" s="3248" t="s">
        <v>2556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48"/>
      <c r="Q43" s="1810">
        <f t="shared" si="14"/>
        <v>111</v>
      </c>
      <c r="R43" s="774" t="s">
        <v>17</v>
      </c>
      <c r="S43" s="775">
        <f t="shared" si="10"/>
        <v>100</v>
      </c>
      <c r="T43" s="774" t="s">
        <v>17</v>
      </c>
      <c r="U43" s="775">
        <f t="shared" si="11"/>
        <v>100</v>
      </c>
      <c r="V43" s="774" t="s">
        <v>17</v>
      </c>
      <c r="W43" s="775">
        <f t="shared" si="12"/>
        <v>100</v>
      </c>
      <c r="X43" s="1813"/>
      <c r="Y43" s="3248"/>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48"/>
      <c r="Q44" s="1810">
        <f t="shared" si="14"/>
        <v>111</v>
      </c>
      <c r="R44" s="774" t="s">
        <v>17</v>
      </c>
      <c r="S44" s="775">
        <f t="shared" si="10"/>
        <v>100</v>
      </c>
      <c r="T44" s="774" t="s">
        <v>17</v>
      </c>
      <c r="U44" s="775">
        <f t="shared" si="11"/>
        <v>100</v>
      </c>
      <c r="V44" s="774" t="s">
        <v>17</v>
      </c>
      <c r="W44" s="775">
        <f t="shared" si="12"/>
        <v>100</v>
      </c>
      <c r="X44" s="1813"/>
      <c r="Y44" s="3248"/>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48"/>
      <c r="Q45" s="1810">
        <f t="shared" si="14"/>
        <v>111</v>
      </c>
      <c r="R45" s="777" t="s">
        <v>17</v>
      </c>
      <c r="S45" s="778">
        <f t="shared" si="10"/>
        <v>100</v>
      </c>
      <c r="T45" s="777" t="s">
        <v>17</v>
      </c>
      <c r="U45" s="778">
        <f t="shared" si="11"/>
        <v>100</v>
      </c>
      <c r="V45" s="777" t="s">
        <v>17</v>
      </c>
      <c r="W45" s="778">
        <f t="shared" si="12"/>
        <v>100</v>
      </c>
      <c r="X45" s="779"/>
      <c r="Y45" s="3248"/>
      <c r="Z45" s="780">
        <f t="shared" si="13"/>
        <v>111</v>
      </c>
      <c r="AA45" s="1811">
        <f t="shared" si="3"/>
        <v>1</v>
      </c>
      <c r="AB45" s="1811">
        <f t="shared" si="4"/>
        <v>1</v>
      </c>
      <c r="AC45" s="1811">
        <f t="shared" si="5"/>
        <v>1</v>
      </c>
    </row>
    <row r="46" spans="1:29" ht="15">
      <c r="A46" s="479" t="s">
        <v>2711</v>
      </c>
      <c r="B46" s="2702" t="s">
        <v>2747</v>
      </c>
      <c r="C46" s="682" t="s">
        <v>1</v>
      </c>
      <c r="D46" s="481"/>
      <c r="E46" s="482"/>
      <c r="F46" s="483"/>
      <c r="G46" s="484"/>
      <c r="H46" s="485"/>
      <c r="I46" s="482"/>
      <c r="J46" s="485"/>
      <c r="K46" s="783"/>
      <c r="L46" s="1143"/>
      <c r="M46" s="1144"/>
      <c r="N46" s="1131"/>
      <c r="O46" s="1144"/>
      <c r="P46" s="3241" t="str">
        <f>A46</f>
        <v>成交单价</v>
      </c>
      <c r="Q46" s="3241"/>
      <c r="R46" s="3236">
        <f>E46</f>
        <v>0</v>
      </c>
      <c r="S46" s="3236"/>
      <c r="T46" s="3236">
        <f>G46</f>
        <v>0</v>
      </c>
      <c r="U46" s="3236"/>
      <c r="V46" s="3236">
        <f>I46</f>
        <v>0</v>
      </c>
      <c r="W46" s="3236"/>
      <c r="X46" s="759"/>
      <c r="Y46" s="781"/>
      <c r="Z46" s="759"/>
      <c r="AA46" s="759"/>
      <c r="AB46" s="759"/>
      <c r="AC46" s="759"/>
    </row>
    <row r="47" spans="1:29" ht="15.75" thickBot="1">
      <c r="A47" s="486" t="s">
        <v>2660</v>
      </c>
      <c r="B47" s="683"/>
      <c r="C47" s="490" t="e">
        <f>R48</f>
        <v>#DIV/0!</v>
      </c>
      <c r="D47" s="489"/>
      <c r="E47" s="490" t="e">
        <f>R47</f>
        <v>#DIV/0!</v>
      </c>
      <c r="F47" s="491"/>
      <c r="G47" s="488" t="e">
        <f>T47</f>
        <v>#DIV/0!</v>
      </c>
      <c r="H47" s="489"/>
      <c r="I47" s="490" t="e">
        <f>V47</f>
        <v>#DIV/0!</v>
      </c>
      <c r="J47" s="489"/>
      <c r="K47" s="784"/>
      <c r="L47" s="1143"/>
      <c r="M47" s="1144"/>
      <c r="N47" s="1144"/>
      <c r="O47" s="1144"/>
      <c r="P47" s="3241" t="str">
        <f>A47</f>
        <v>比较价值（元/平方米）</v>
      </c>
      <c r="Q47" s="3241"/>
      <c r="R47" s="3270" t="e">
        <f>ROUND(PRODUCT(R46,AA7:AA45),0)</f>
        <v>#DIV/0!</v>
      </c>
      <c r="S47" s="3270"/>
      <c r="T47" s="3270" t="e">
        <f>ROUND(PRODUCT(T46,AB7:AB45),0)</f>
        <v>#DIV/0!</v>
      </c>
      <c r="U47" s="3270"/>
      <c r="V47" s="3270" t="e">
        <f>ROUND(PRODUCT(V46,AC7:AC45),0)</f>
        <v>#DIV/0!</v>
      </c>
      <c r="W47" s="3270"/>
      <c r="X47" s="759"/>
      <c r="Y47" s="759"/>
      <c r="Z47" s="759"/>
      <c r="AA47" s="759"/>
      <c r="AB47" s="759"/>
      <c r="AC47" s="759"/>
    </row>
    <row r="48" spans="1:29" ht="15.75" thickBot="1">
      <c r="A48" s="492" t="s">
        <v>2748</v>
      </c>
      <c r="B48" s="493"/>
      <c r="C48" s="494" t="e">
        <f>R48</f>
        <v>#DIV/0!</v>
      </c>
      <c r="D48" s="494"/>
      <c r="E48" s="494"/>
      <c r="F48" s="494"/>
      <c r="G48" s="494"/>
      <c r="H48" s="494"/>
      <c r="I48" s="494"/>
      <c r="J48" s="494"/>
      <c r="K48" s="785"/>
      <c r="L48" s="1143"/>
      <c r="M48" s="1144"/>
      <c r="N48" s="1144"/>
      <c r="O48" s="1144"/>
      <c r="P48" s="3238" t="str">
        <f>A48</f>
        <v>估价对象XX用房的比较价值（楼面单价，元/平方米）</v>
      </c>
      <c r="Q48" s="3239"/>
      <c r="R48" s="3271" t="e">
        <f>ROUND(AVERAGE(R47:V47),0)</f>
        <v>#DIV/0!</v>
      </c>
      <c r="S48" s="3271"/>
      <c r="T48" s="3271"/>
      <c r="U48" s="3271"/>
      <c r="V48" s="3271"/>
      <c r="W48" s="327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2749</v>
      </c>
      <c r="B55" s="685" t="s">
        <v>2750</v>
      </c>
      <c r="C55" s="2703" t="s">
        <v>2751</v>
      </c>
      <c r="D55" s="2704" t="s">
        <v>2752</v>
      </c>
      <c r="E55" s="686" t="s">
        <v>2753</v>
      </c>
      <c r="F55" s="1107" t="s">
        <v>2754</v>
      </c>
      <c r="G55" s="3224" t="s">
        <v>2755</v>
      </c>
      <c r="H55" s="3272"/>
      <c r="I55" s="144" t="s">
        <v>2756</v>
      </c>
      <c r="J55" s="2705">
        <f>项目基本情况!F35</f>
        <v>0</v>
      </c>
      <c r="K55" s="2706" t="s">
        <v>2757</v>
      </c>
      <c r="L55" s="1106"/>
      <c r="M55" s="1144"/>
      <c r="N55" s="1144"/>
      <c r="O55" s="1144"/>
    </row>
    <row r="56" spans="1:15" s="692" customFormat="1">
      <c r="A56" s="688" t="s">
        <v>2758</v>
      </c>
      <c r="B56" s="689" t="e">
        <f>C48</f>
        <v>#DIV/0!</v>
      </c>
      <c r="C56" s="690">
        <v>1</v>
      </c>
      <c r="D56" s="1163">
        <v>1</v>
      </c>
      <c r="E56" s="690">
        <f>'数据-汇总表'!E8+'数据-汇总表'!E9</f>
        <v>8276.64</v>
      </c>
      <c r="F56" s="1103" t="e">
        <f t="shared" ref="F56:F65" si="15">ROUND(B56*E56/10000,0)</f>
        <v>#DIV/0!</v>
      </c>
      <c r="G56" s="3223"/>
      <c r="H56" s="3241"/>
      <c r="I56" s="1108">
        <v>1</v>
      </c>
      <c r="J56" s="1111">
        <v>1</v>
      </c>
      <c r="K56" s="1145"/>
      <c r="L56" s="941"/>
      <c r="M56" s="941"/>
      <c r="N56" s="941"/>
      <c r="O56" s="941"/>
    </row>
    <row r="57" spans="1:15" s="692" customFormat="1">
      <c r="A57" s="693" t="s">
        <v>2759</v>
      </c>
      <c r="B57" s="262" t="e">
        <f>ROUND($C$48*C57*D57,0)</f>
        <v>#DIV/0!</v>
      </c>
      <c r="C57" s="200">
        <f t="shared" ref="C57:C65" si="16">IF($C$55="北京市系数",I57,J57)</f>
        <v>0</v>
      </c>
      <c r="D57" s="1164">
        <v>0.25</v>
      </c>
      <c r="E57" s="694"/>
      <c r="F57" s="1103" t="e">
        <f t="shared" si="15"/>
        <v>#DIV/0!</v>
      </c>
      <c r="G57" s="3273" t="s">
        <v>2760</v>
      </c>
      <c r="H57" s="1104">
        <f>项目基本情况!B37</f>
        <v>0</v>
      </c>
      <c r="I57" s="1108">
        <f>SUMIF(修正!A45:A56,H57,修正!B45:B56)</f>
        <v>0</v>
      </c>
      <c r="J57" s="1112"/>
      <c r="K57" s="1144"/>
      <c r="L57" s="941"/>
      <c r="M57" s="941"/>
      <c r="N57" s="941"/>
      <c r="O57" s="941"/>
    </row>
    <row r="58" spans="1:15" s="692" customFormat="1">
      <c r="A58" s="693" t="s">
        <v>2761</v>
      </c>
      <c r="B58" s="262" t="e">
        <f t="shared" ref="B58:B65" si="17">ROUND($C$48*C58*D58,0)</f>
        <v>#DIV/0!</v>
      </c>
      <c r="C58" s="200">
        <f t="shared" si="16"/>
        <v>0</v>
      </c>
      <c r="D58" s="1164">
        <v>0.25</v>
      </c>
      <c r="E58" s="694"/>
      <c r="F58" s="1103" t="e">
        <f t="shared" si="15"/>
        <v>#DIV/0!</v>
      </c>
      <c r="G58" s="3273"/>
      <c r="H58" s="1104">
        <f>项目基本情况!B37</f>
        <v>0</v>
      </c>
      <c r="I58" s="1108">
        <f>SUMIF(修正!A45:A56,H58,修正!C45:C56)</f>
        <v>0</v>
      </c>
      <c r="J58" s="1112"/>
      <c r="K58" s="1145"/>
      <c r="L58" s="941"/>
      <c r="M58" s="941"/>
      <c r="N58" s="941"/>
      <c r="O58" s="941"/>
    </row>
    <row r="59" spans="1:15" s="692" customFormat="1">
      <c r="A59" s="693" t="s">
        <v>2762</v>
      </c>
      <c r="B59" s="262" t="e">
        <f t="shared" si="17"/>
        <v>#DIV/0!</v>
      </c>
      <c r="C59" s="200">
        <f t="shared" si="16"/>
        <v>0</v>
      </c>
      <c r="D59" s="1164">
        <v>0.25</v>
      </c>
      <c r="E59" s="694"/>
      <c r="F59" s="1103" t="e">
        <f t="shared" si="15"/>
        <v>#DIV/0!</v>
      </c>
      <c r="G59" s="3273"/>
      <c r="H59" s="1104">
        <f>项目基本情况!B37</f>
        <v>0</v>
      </c>
      <c r="I59" s="1108">
        <f>SUMIF(修正!A45:A56,H59,修正!D45:D56)</f>
        <v>0</v>
      </c>
      <c r="J59" s="1112"/>
      <c r="K59" s="1144"/>
      <c r="L59" s="941"/>
      <c r="M59" s="941"/>
      <c r="N59" s="941"/>
      <c r="O59" s="941"/>
    </row>
    <row r="60" spans="1:15" s="692" customFormat="1">
      <c r="A60" s="693" t="s">
        <v>2763</v>
      </c>
      <c r="B60" s="262" t="e">
        <f t="shared" si="17"/>
        <v>#DIV/0!</v>
      </c>
      <c r="C60" s="200">
        <f t="shared" si="16"/>
        <v>0</v>
      </c>
      <c r="D60" s="1164">
        <v>0.25</v>
      </c>
      <c r="E60" s="694"/>
      <c r="F60" s="1103" t="e">
        <f t="shared" si="15"/>
        <v>#DIV/0!</v>
      </c>
      <c r="G60" s="3273"/>
      <c r="H60" s="1104">
        <f>项目基本情况!B37</f>
        <v>0</v>
      </c>
      <c r="I60" s="1108">
        <f>SUMIF(修正!A45:A56,H60,修正!E45:E56)</f>
        <v>0</v>
      </c>
      <c r="J60" s="1112"/>
      <c r="K60" s="1145"/>
      <c r="L60" s="941"/>
      <c r="M60" s="941"/>
      <c r="N60" s="941"/>
      <c r="O60" s="941"/>
    </row>
    <row r="61" spans="1:15" s="692" customFormat="1">
      <c r="A61" s="693" t="s">
        <v>2764</v>
      </c>
      <c r="B61" s="262" t="e">
        <f t="shared" si="17"/>
        <v>#DIV/0!</v>
      </c>
      <c r="C61" s="200">
        <f t="shared" si="16"/>
        <v>0.3</v>
      </c>
      <c r="D61" s="1164">
        <v>0.25</v>
      </c>
      <c r="E61" s="261">
        <f>'数据-汇总表'!E11</f>
        <v>0</v>
      </c>
      <c r="F61" s="1103" t="e">
        <f t="shared" si="15"/>
        <v>#DIV/0!</v>
      </c>
      <c r="G61" s="2707" t="s">
        <v>2765</v>
      </c>
      <c r="H61" s="1104" t="str">
        <f>项目基本情况!C37</f>
        <v>二级</v>
      </c>
      <c r="I61" s="1108">
        <f>SUMIF(修正!A45:A56,H61,修正!F45:F56)</f>
        <v>0.3</v>
      </c>
      <c r="J61" s="1112"/>
      <c r="K61" s="1144"/>
      <c r="L61" s="941"/>
      <c r="M61" s="941"/>
      <c r="N61" s="941"/>
      <c r="O61" s="941"/>
    </row>
    <row r="62" spans="1:15" s="692" customFormat="1">
      <c r="A62" s="693" t="s">
        <v>2766</v>
      </c>
      <c r="B62" s="262" t="e">
        <f t="shared" si="17"/>
        <v>#DIV/0!</v>
      </c>
      <c r="C62" s="200">
        <f t="shared" si="16"/>
        <v>0.3</v>
      </c>
      <c r="D62" s="1164">
        <v>0.25</v>
      </c>
      <c r="E62" s="261">
        <f>'数据-汇总表'!E12</f>
        <v>0</v>
      </c>
      <c r="F62" s="1103" t="e">
        <f t="shared" si="15"/>
        <v>#DIV/0!</v>
      </c>
      <c r="G62" s="1109" t="s">
        <v>2767</v>
      </c>
      <c r="H62" s="1104" t="str">
        <f>IF(G62="商业",项目基本情况!B37,IF(G62="办公",项目基本情况!C37,IF(G62="住宅",项目基本情况!D37,项目基本情况!E37)))</f>
        <v>二级</v>
      </c>
      <c r="I62" s="1108">
        <f>SUMIF(修正!A45:A56,H62,修正!G45:G56)</f>
        <v>0.3</v>
      </c>
      <c r="J62" s="1112"/>
      <c r="K62" s="1145"/>
      <c r="L62" s="941"/>
      <c r="M62" s="941"/>
      <c r="N62" s="941"/>
      <c r="O62" s="941"/>
    </row>
    <row r="63" spans="1:15" s="692" customFormat="1">
      <c r="A63" s="693" t="s">
        <v>2768</v>
      </c>
      <c r="B63" s="262" t="e">
        <f t="shared" si="17"/>
        <v>#DIV/0!</v>
      </c>
      <c r="C63" s="200">
        <f t="shared" si="16"/>
        <v>0.25</v>
      </c>
      <c r="D63" s="1164">
        <v>0.25</v>
      </c>
      <c r="E63" s="261">
        <f>'数据-汇总表'!E13</f>
        <v>0</v>
      </c>
      <c r="F63" s="1103" t="e">
        <f t="shared" si="15"/>
        <v>#DIV/0!</v>
      </c>
      <c r="G63" s="1109" t="s">
        <v>2769</v>
      </c>
      <c r="H63" s="1104" t="str">
        <f>IF(G63="商业",项目基本情况!B37,IF(G63="办公",项目基本情况!C37,IF(G63="住宅",项目基本情况!D37,项目基本情况!E37)))</f>
        <v>二级</v>
      </c>
      <c r="I63" s="1108">
        <f>SUMIF(修正!A45:A56,H63,修正!H45:H56)</f>
        <v>0.25</v>
      </c>
      <c r="J63" s="1112"/>
      <c r="K63" s="1144"/>
      <c r="L63" s="941"/>
      <c r="M63" s="941"/>
      <c r="N63" s="941"/>
      <c r="O63" s="941"/>
    </row>
    <row r="64" spans="1:15" s="692" customFormat="1">
      <c r="A64" s="693" t="s">
        <v>2770</v>
      </c>
      <c r="B64" s="262" t="e">
        <f t="shared" si="17"/>
        <v>#DIV/0!</v>
      </c>
      <c r="C64" s="200">
        <f t="shared" si="16"/>
        <v>0</v>
      </c>
      <c r="D64" s="1164">
        <v>0.25</v>
      </c>
      <c r="E64" s="261">
        <f>'数据-汇总表'!E14</f>
        <v>0</v>
      </c>
      <c r="F64" s="1103" t="e">
        <f t="shared" si="15"/>
        <v>#DIV/0!</v>
      </c>
      <c r="G64" s="2707" t="s">
        <v>2760</v>
      </c>
      <c r="H64" s="1104">
        <f>项目基本情况!B37</f>
        <v>0</v>
      </c>
      <c r="I64" s="1108">
        <f>SUMIF(修正!A45:A56,H64,修正!H45:H56)</f>
        <v>0</v>
      </c>
      <c r="J64" s="1112"/>
      <c r="K64" s="1145"/>
      <c r="L64" s="941"/>
      <c r="M64" s="941"/>
      <c r="N64" s="941"/>
      <c r="O64" s="941"/>
    </row>
    <row r="65" spans="1:17" s="692" customFormat="1" ht="15" thickBot="1">
      <c r="A65" s="693" t="s">
        <v>2771</v>
      </c>
      <c r="B65" s="262" t="e">
        <f t="shared" si="17"/>
        <v>#DIV/0!</v>
      </c>
      <c r="C65" s="200">
        <f t="shared" si="16"/>
        <v>0.25</v>
      </c>
      <c r="D65" s="1164">
        <v>0.25</v>
      </c>
      <c r="E65" s="261">
        <f>'数据-汇总表'!E15</f>
        <v>0</v>
      </c>
      <c r="F65" s="1103" t="e">
        <f t="shared" si="15"/>
        <v>#DIV/0!</v>
      </c>
      <c r="G65" s="2708" t="s">
        <v>2765</v>
      </c>
      <c r="H65" s="1114" t="str">
        <f>项目基本情况!C37</f>
        <v>二级</v>
      </c>
      <c r="I65" s="1110">
        <f>SUMIF(修正!A45:A56,H65,修正!H45:H56)</f>
        <v>0.25</v>
      </c>
      <c r="J65" s="1113"/>
      <c r="K65" s="1144"/>
      <c r="L65" s="941"/>
      <c r="M65" s="941"/>
      <c r="N65" s="941"/>
      <c r="O65" s="941"/>
    </row>
    <row r="66" spans="1:17" s="692" customFormat="1" ht="13.5" thickBot="1">
      <c r="A66" s="695" t="s">
        <v>2772</v>
      </c>
      <c r="B66" s="696" t="s">
        <v>28</v>
      </c>
      <c r="C66" s="696" t="s">
        <v>29</v>
      </c>
      <c r="D66" s="696" t="s">
        <v>1026</v>
      </c>
      <c r="E66" s="696">
        <f>IF(B46="楼面地价",SUM(E56:E65),'数据-汇总表'!D3)</f>
        <v>8276.64</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2019-12-1</v>
      </c>
      <c r="D68" s="761">
        <f>EDATE(C68,-3)</f>
        <v>43709</v>
      </c>
      <c r="E68" s="761">
        <f>EDATE(D68,-3)</f>
        <v>43617</v>
      </c>
      <c r="F68" s="761">
        <f t="shared" ref="F68:O68" si="18">EDATE(E68,-3)</f>
        <v>43525</v>
      </c>
      <c r="G68" s="761">
        <f t="shared" si="18"/>
        <v>43435</v>
      </c>
      <c r="H68" s="761">
        <f t="shared" si="18"/>
        <v>43344</v>
      </c>
      <c r="I68" s="761">
        <f t="shared" si="18"/>
        <v>43252</v>
      </c>
      <c r="J68" s="761">
        <f t="shared" si="18"/>
        <v>43160</v>
      </c>
      <c r="K68" s="761">
        <f t="shared" si="18"/>
        <v>43070</v>
      </c>
      <c r="L68" s="761">
        <f t="shared" si="18"/>
        <v>42979</v>
      </c>
      <c r="M68" s="761">
        <f t="shared" si="18"/>
        <v>42887</v>
      </c>
      <c r="N68" s="761">
        <f t="shared" si="18"/>
        <v>42795</v>
      </c>
      <c r="O68" s="761">
        <f t="shared" si="18"/>
        <v>42705</v>
      </c>
    </row>
    <row r="69" spans="1:17" ht="21.75" thickBot="1">
      <c r="A69" s="763" t="s">
        <v>2665</v>
      </c>
      <c r="B69" s="759"/>
      <c r="C69" s="764"/>
      <c r="D69" s="764"/>
      <c r="E69" s="764"/>
      <c r="F69" s="765"/>
      <c r="G69" s="765"/>
      <c r="H69" s="764"/>
      <c r="I69" s="764"/>
      <c r="J69" s="1159"/>
      <c r="K69" s="1160"/>
      <c r="L69" s="1161"/>
      <c r="M69" s="1159"/>
      <c r="N69" s="1159"/>
      <c r="O69" s="1159"/>
      <c r="P69" s="503"/>
      <c r="Q69" s="504"/>
    </row>
    <row r="70" spans="1:17" s="508" customFormat="1" ht="15">
      <c r="A70" s="2709" t="s">
        <v>2773</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2774</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2576</v>
      </c>
      <c r="B72" s="516"/>
      <c r="C72" s="517"/>
      <c r="D72" s="518"/>
      <c r="E72" s="518"/>
      <c r="F72" s="518"/>
      <c r="G72" s="518"/>
      <c r="H72" s="518"/>
      <c r="I72" s="518"/>
      <c r="J72" s="518"/>
      <c r="K72" s="518"/>
      <c r="L72" s="518"/>
      <c r="M72" s="519"/>
      <c r="N72" s="518"/>
      <c r="O72" s="1162"/>
      <c r="P72" s="504"/>
      <c r="Q72" s="504"/>
    </row>
    <row r="73" spans="1:17" s="117" customFormat="1" ht="15">
      <c r="A73" s="521" t="s">
        <v>2541</v>
      </c>
      <c r="B73" s="510"/>
      <c r="C73" s="522" t="s">
        <v>2643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2579</v>
      </c>
      <c r="B75" s="528" t="s">
        <v>2545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2548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2682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2783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2784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2785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2786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2320</v>
      </c>
      <c r="B3" s="609" t="e">
        <f>ROUND(IF(D3="",B2*10000/'数据-汇总表'!E3,B2*10000/D3),0)</f>
        <v>#DIV/0!</v>
      </c>
      <c r="C3" s="247" t="s">
        <v>2737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2636</v>
      </c>
      <c r="B4" s="402"/>
      <c r="C4" s="3224" t="s">
        <v>2637</v>
      </c>
      <c r="D4" s="3225"/>
      <c r="E4" s="3226" t="s">
        <v>2638</v>
      </c>
      <c r="F4" s="3227"/>
      <c r="G4" s="3224" t="s">
        <v>2639</v>
      </c>
      <c r="H4" s="3225"/>
      <c r="I4" s="3224" t="s">
        <v>2640</v>
      </c>
      <c r="J4" s="3225"/>
      <c r="K4" s="610" t="s">
        <v>2641</v>
      </c>
      <c r="L4" s="1130"/>
      <c r="M4" s="1131"/>
      <c r="N4" s="1131"/>
      <c r="O4" s="1131"/>
      <c r="P4" s="3228" t="s">
        <v>2642</v>
      </c>
      <c r="Q4" s="3229"/>
      <c r="R4" s="3211" t="s">
        <v>2638</v>
      </c>
      <c r="S4" s="3212"/>
      <c r="T4" s="3211" t="s">
        <v>2639</v>
      </c>
      <c r="U4" s="3212"/>
      <c r="V4" s="3236" t="s">
        <v>2640</v>
      </c>
      <c r="W4" s="3236"/>
      <c r="X4" s="1813"/>
      <c r="Y4" s="3211" t="s">
        <v>2642</v>
      </c>
      <c r="Z4" s="3212"/>
      <c r="AA4" s="3206" t="s">
        <v>2638</v>
      </c>
      <c r="AB4" s="3207" t="s">
        <v>2639</v>
      </c>
      <c r="AC4" s="3206" t="s">
        <v>2640</v>
      </c>
    </row>
    <row r="5" spans="1:29" ht="15">
      <c r="A5" s="404"/>
      <c r="B5" s="405"/>
      <c r="C5" s="3217" t="s">
        <v>2533</v>
      </c>
      <c r="D5" s="3218"/>
      <c r="E5" s="3215" t="s">
        <v>2534</v>
      </c>
      <c r="F5" s="3216"/>
      <c r="G5" s="3217" t="s">
        <v>2535</v>
      </c>
      <c r="H5" s="3218"/>
      <c r="I5" s="3217" t="s">
        <v>2536</v>
      </c>
      <c r="J5" s="3218"/>
      <c r="K5" s="610"/>
      <c r="L5" s="1130"/>
      <c r="M5" s="1131"/>
      <c r="N5" s="1131"/>
      <c r="O5" s="1131"/>
      <c r="P5" s="3230"/>
      <c r="Q5" s="3231"/>
      <c r="R5" s="3213"/>
      <c r="S5" s="3214"/>
      <c r="T5" s="3213"/>
      <c r="U5" s="3214"/>
      <c r="V5" s="3236"/>
      <c r="W5" s="3236"/>
      <c r="X5" s="1813"/>
      <c r="Y5" s="3213"/>
      <c r="Z5" s="3214"/>
      <c r="AA5" s="3207"/>
      <c r="AB5" s="3207"/>
      <c r="AC5" s="3207"/>
    </row>
    <row r="6" spans="1:29" ht="15.75" thickBot="1">
      <c r="A6" s="406"/>
      <c r="B6" s="407"/>
      <c r="C6" s="3274" t="s">
        <v>2788</v>
      </c>
      <c r="D6" s="3275"/>
      <c r="E6" s="3276" t="s">
        <v>2788</v>
      </c>
      <c r="F6" s="3277"/>
      <c r="G6" s="3274" t="s">
        <v>2788</v>
      </c>
      <c r="H6" s="3275"/>
      <c r="I6" s="3274" t="s">
        <v>2788</v>
      </c>
      <c r="J6" s="3275"/>
      <c r="K6" s="610" t="s">
        <v>2538</v>
      </c>
      <c r="L6" s="1130"/>
      <c r="M6" s="1131"/>
      <c r="N6" s="1131"/>
      <c r="O6" s="1131"/>
      <c r="P6" s="3232"/>
      <c r="Q6" s="3233"/>
      <c r="R6" s="3213"/>
      <c r="S6" s="3214"/>
      <c r="T6" s="3234"/>
      <c r="U6" s="3235"/>
      <c r="V6" s="3236"/>
      <c r="W6" s="3236"/>
      <c r="X6" s="1813"/>
      <c r="Y6" s="3234"/>
      <c r="Z6" s="3235"/>
      <c r="AA6" s="3208"/>
      <c r="AB6" s="3208"/>
      <c r="AC6" s="3208"/>
    </row>
    <row r="7" spans="1:29" s="117" customFormat="1" ht="15.75" thickBot="1">
      <c r="A7" s="408" t="s">
        <v>2539</v>
      </c>
      <c r="B7" s="409"/>
      <c r="C7" s="410">
        <f>'数据-取费表'!B2</f>
        <v>43822</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209" t="s">
        <v>2540</v>
      </c>
      <c r="Q7" s="3237"/>
      <c r="R7" s="770" t="s">
        <v>17</v>
      </c>
      <c r="S7" s="771">
        <f t="shared" ref="S7:S15" si="0">F7</f>
        <v>0</v>
      </c>
      <c r="T7" s="770" t="s">
        <v>17</v>
      </c>
      <c r="U7" s="771">
        <f t="shared" ref="U7:U15" si="1">H7</f>
        <v>0</v>
      </c>
      <c r="V7" s="770" t="s">
        <v>17</v>
      </c>
      <c r="W7" s="771">
        <f t="shared" ref="W7:W15" si="2">J7</f>
        <v>0</v>
      </c>
      <c r="X7" s="772"/>
      <c r="Y7" s="3209" t="s">
        <v>2540</v>
      </c>
      <c r="Z7" s="3210"/>
      <c r="AA7" s="773" t="e">
        <f>D7/F7</f>
        <v>#DIV/0!</v>
      </c>
      <c r="AB7" s="773" t="e">
        <f>D7/H7</f>
        <v>#DIV/0!</v>
      </c>
      <c r="AC7" s="773"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09" t="s">
        <v>2543</v>
      </c>
      <c r="Q8" s="3210"/>
      <c r="R8" s="770" t="s">
        <v>17</v>
      </c>
      <c r="S8" s="771">
        <f t="shared" si="0"/>
        <v>0</v>
      </c>
      <c r="T8" s="770" t="s">
        <v>17</v>
      </c>
      <c r="U8" s="771">
        <f t="shared" si="1"/>
        <v>0</v>
      </c>
      <c r="V8" s="770" t="s">
        <v>17</v>
      </c>
      <c r="W8" s="771">
        <f t="shared" si="2"/>
        <v>0</v>
      </c>
      <c r="X8" s="772"/>
      <c r="Y8" s="3209" t="s">
        <v>2543</v>
      </c>
      <c r="Z8" s="3210"/>
      <c r="AA8" s="773" t="e">
        <f t="shared" ref="AA8:AA40" si="3">D8/F8</f>
        <v>#DIV/0!</v>
      </c>
      <c r="AB8" s="773" t="e">
        <f t="shared" ref="AB8:AB40" si="4">D8/H8</f>
        <v>#DIV/0!</v>
      </c>
      <c r="AC8" s="773" t="e">
        <f t="shared" ref="AC8:AC40" si="5">D8/J8</f>
        <v>#DIV/0!</v>
      </c>
    </row>
    <row r="9" spans="1:29" s="117" customFormat="1">
      <c r="A9" s="415" t="s">
        <v>2544</v>
      </c>
      <c r="B9" s="71" t="s">
        <v>2545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41" t="s">
        <v>2546</v>
      </c>
      <c r="Q9" s="1795" t="str">
        <f t="shared" ref="Q9:Q15" si="6">B9</f>
        <v>用途</v>
      </c>
      <c r="R9" s="770" t="s">
        <v>17</v>
      </c>
      <c r="S9" s="771">
        <f t="shared" si="0"/>
        <v>100</v>
      </c>
      <c r="T9" s="770" t="s">
        <v>17</v>
      </c>
      <c r="U9" s="771">
        <f t="shared" si="1"/>
        <v>100</v>
      </c>
      <c r="V9" s="770" t="s">
        <v>17</v>
      </c>
      <c r="W9" s="771">
        <f t="shared" si="2"/>
        <v>100</v>
      </c>
      <c r="X9" s="772"/>
      <c r="Y9" s="3033" t="s">
        <v>2547</v>
      </c>
      <c r="Z9" s="55" t="str">
        <f t="shared" ref="Z9:Z15" si="7">Q9</f>
        <v>用途</v>
      </c>
      <c r="AA9" s="773">
        <f t="shared" si="3"/>
        <v>1</v>
      </c>
      <c r="AB9" s="773">
        <f t="shared" si="4"/>
        <v>1</v>
      </c>
      <c r="AC9" s="773">
        <f t="shared" si="5"/>
        <v>1</v>
      </c>
    </row>
    <row r="10" spans="1:29" s="427" customFormat="1" ht="27">
      <c r="A10" s="421"/>
      <c r="B10" s="422" t="s">
        <v>2548</v>
      </c>
      <c r="C10" s="432"/>
      <c r="D10" s="136">
        <v>100</v>
      </c>
      <c r="E10" s="432"/>
      <c r="F10" s="136">
        <f ca="1">ROUND(100/'数据-取费表'!G16,0)</f>
        <v>115</v>
      </c>
      <c r="G10" s="432"/>
      <c r="H10" s="136">
        <f ca="1">ROUND(100/'数据-取费表'!G16,0)</f>
        <v>115</v>
      </c>
      <c r="I10" s="432"/>
      <c r="J10" s="136">
        <f ca="1">ROUND(100/'数据-取费表'!G16,0)</f>
        <v>115</v>
      </c>
      <c r="K10" s="672"/>
      <c r="L10" s="1135"/>
      <c r="M10" s="1136"/>
      <c r="N10" s="1136"/>
      <c r="O10" s="1137"/>
      <c r="P10" s="3241"/>
      <c r="Q10" s="1795" t="str">
        <f t="shared" si="6"/>
        <v>土地使用年限（年）</v>
      </c>
      <c r="R10" s="770" t="s">
        <v>17</v>
      </c>
      <c r="S10" s="771">
        <f t="shared" ca="1" si="0"/>
        <v>115</v>
      </c>
      <c r="T10" s="770" t="s">
        <v>17</v>
      </c>
      <c r="U10" s="771">
        <f t="shared" ca="1" si="1"/>
        <v>115</v>
      </c>
      <c r="V10" s="770" t="s">
        <v>17</v>
      </c>
      <c r="W10" s="771">
        <f t="shared" ca="1" si="2"/>
        <v>115</v>
      </c>
      <c r="X10" s="772"/>
      <c r="Y10" s="3033"/>
      <c r="Z10" s="55" t="str">
        <f t="shared" si="7"/>
        <v>土地使用年限（年）</v>
      </c>
      <c r="AA10" s="773">
        <f t="shared" ca="1" si="3"/>
        <v>0.86956521739130432</v>
      </c>
      <c r="AB10" s="773">
        <f t="shared" ca="1" si="4"/>
        <v>0.86956521739130432</v>
      </c>
      <c r="AC10" s="773">
        <f t="shared" ca="1" si="5"/>
        <v>0.86956521739130432</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41"/>
      <c r="Q11" s="1795"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41"/>
      <c r="Q12" s="1795">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41"/>
      <c r="Q13" s="1795">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41"/>
      <c r="Q14" s="1795">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2550</v>
      </c>
      <c r="B15" s="629" t="s">
        <v>2789</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43" t="s">
        <v>2551</v>
      </c>
      <c r="Q15" s="1810" t="str">
        <f t="shared" si="6"/>
        <v>产业集聚程度</v>
      </c>
      <c r="R15" s="774" t="s">
        <v>17</v>
      </c>
      <c r="S15" s="775">
        <f t="shared" si="0"/>
        <v>100</v>
      </c>
      <c r="T15" s="774" t="s">
        <v>17</v>
      </c>
      <c r="U15" s="775">
        <f t="shared" si="1"/>
        <v>100</v>
      </c>
      <c r="V15" s="774" t="s">
        <v>17</v>
      </c>
      <c r="W15" s="775">
        <f t="shared" si="2"/>
        <v>100</v>
      </c>
      <c r="X15" s="1813"/>
      <c r="Y15" s="3243" t="s">
        <v>2551</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44"/>
      <c r="Q16" s="1810"/>
      <c r="R16" s="774"/>
      <c r="S16" s="775"/>
      <c r="T16" s="774"/>
      <c r="U16" s="775"/>
      <c r="V16" s="774"/>
      <c r="W16" s="775"/>
      <c r="X16" s="1813"/>
      <c r="Y16" s="3244"/>
      <c r="Z16" s="1814"/>
      <c r="AA16" s="1811">
        <v>1</v>
      </c>
      <c r="AB16" s="1811">
        <v>1</v>
      </c>
      <c r="AC16" s="1811">
        <v>1</v>
      </c>
    </row>
    <row r="17" spans="1:29" ht="85.5">
      <c r="A17" s="428"/>
      <c r="B17" s="631" t="s">
        <v>2700</v>
      </c>
      <c r="C17" s="2605"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44"/>
      <c r="Q17" s="1810" t="str">
        <f>B17</f>
        <v>交通便捷度</v>
      </c>
      <c r="R17" s="774" t="s">
        <v>17</v>
      </c>
      <c r="S17" s="775">
        <f>F17</f>
        <v>100</v>
      </c>
      <c r="T17" s="774" t="s">
        <v>17</v>
      </c>
      <c r="U17" s="775">
        <f>H17</f>
        <v>100</v>
      </c>
      <c r="V17" s="774" t="s">
        <v>17</v>
      </c>
      <c r="W17" s="775">
        <f>J17</f>
        <v>100</v>
      </c>
      <c r="X17" s="1813"/>
      <c r="Y17" s="3244"/>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44"/>
      <c r="Q18" s="1810"/>
      <c r="R18" s="774"/>
      <c r="S18" s="775"/>
      <c r="T18" s="774"/>
      <c r="U18" s="775"/>
      <c r="V18" s="774"/>
      <c r="W18" s="775"/>
      <c r="X18" s="1813"/>
      <c r="Y18" s="3244"/>
      <c r="Z18" s="1814"/>
      <c r="AA18" s="1811">
        <v>1</v>
      </c>
      <c r="AB18" s="1811">
        <v>1</v>
      </c>
      <c r="AC18" s="1811">
        <v>1</v>
      </c>
    </row>
    <row r="19" spans="1:29" ht="15">
      <c r="A19" s="428"/>
      <c r="B19" s="631" t="s">
        <v>2739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44"/>
      <c r="Q19" s="1810" t="str">
        <f t="shared" ref="Q19:Q33" si="8">B19</f>
        <v>区域土地利用方向</v>
      </c>
      <c r="R19" s="774" t="s">
        <v>17</v>
      </c>
      <c r="S19" s="775">
        <f>F19</f>
        <v>100</v>
      </c>
      <c r="T19" s="774" t="s">
        <v>17</v>
      </c>
      <c r="U19" s="775">
        <f>H19</f>
        <v>100</v>
      </c>
      <c r="V19" s="774" t="s">
        <v>17</v>
      </c>
      <c r="W19" s="775">
        <f>J19</f>
        <v>100</v>
      </c>
      <c r="X19" s="1813"/>
      <c r="Y19" s="3244"/>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44"/>
      <c r="Q20" s="1810"/>
      <c r="R20" s="774"/>
      <c r="S20" s="775"/>
      <c r="T20" s="774"/>
      <c r="U20" s="775"/>
      <c r="V20" s="774"/>
      <c r="W20" s="775"/>
      <c r="X20" s="1813"/>
      <c r="Y20" s="3244"/>
      <c r="Z20" s="1814"/>
      <c r="AA20" s="1811"/>
      <c r="AB20" s="1811"/>
      <c r="AC20" s="1811"/>
    </row>
    <row r="21" spans="1:29" ht="71.25">
      <c r="A21" s="404"/>
      <c r="B21" s="631" t="s">
        <v>2790</v>
      </c>
      <c r="C21" s="2605"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44"/>
      <c r="Q21" s="1810" t="str">
        <f t="shared" si="8"/>
        <v>环境状况</v>
      </c>
      <c r="R21" s="774" t="s">
        <v>17</v>
      </c>
      <c r="S21" s="775">
        <f>F21</f>
        <v>100</v>
      </c>
      <c r="T21" s="774" t="s">
        <v>17</v>
      </c>
      <c r="U21" s="775">
        <f>H21</f>
        <v>100</v>
      </c>
      <c r="V21" s="774" t="s">
        <v>17</v>
      </c>
      <c r="W21" s="775">
        <f>J21</f>
        <v>100</v>
      </c>
      <c r="X21" s="1813"/>
      <c r="Y21" s="3244"/>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44"/>
      <c r="Q22" s="1810"/>
      <c r="R22" s="774"/>
      <c r="S22" s="775"/>
      <c r="T22" s="774"/>
      <c r="U22" s="775"/>
      <c r="V22" s="774"/>
      <c r="W22" s="775"/>
      <c r="X22" s="1813"/>
      <c r="Y22" s="3244"/>
      <c r="Z22" s="1814"/>
      <c r="AA22" s="1811">
        <v>1</v>
      </c>
      <c r="AB22" s="1811">
        <v>1</v>
      </c>
      <c r="AC22" s="1811">
        <v>1</v>
      </c>
    </row>
    <row r="23" spans="1:29" s="117" customFormat="1" ht="42.75">
      <c r="A23" s="649"/>
      <c r="B23" s="633" t="s">
        <v>2645</v>
      </c>
      <c r="C23" s="2605"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44"/>
      <c r="Q23" s="1795" t="str">
        <f t="shared" si="8"/>
        <v>公共配套设施</v>
      </c>
      <c r="R23" s="770" t="s">
        <v>17</v>
      </c>
      <c r="S23" s="771">
        <f>F23</f>
        <v>100</v>
      </c>
      <c r="T23" s="770" t="s">
        <v>17</v>
      </c>
      <c r="U23" s="771">
        <f>H23</f>
        <v>100</v>
      </c>
      <c r="V23" s="770" t="s">
        <v>17</v>
      </c>
      <c r="W23" s="771">
        <f>J23</f>
        <v>100</v>
      </c>
      <c r="X23" s="772"/>
      <c r="Y23" s="3244"/>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44"/>
      <c r="Q24" s="1795"/>
      <c r="R24" s="770"/>
      <c r="S24" s="771"/>
      <c r="T24" s="770"/>
      <c r="U24" s="771"/>
      <c r="V24" s="770"/>
      <c r="W24" s="771"/>
      <c r="X24" s="772"/>
      <c r="Y24" s="3244"/>
      <c r="Z24" s="55"/>
      <c r="AA24" s="773">
        <v>1</v>
      </c>
      <c r="AB24" s="773">
        <v>1</v>
      </c>
      <c r="AC24" s="773">
        <v>1</v>
      </c>
    </row>
    <row r="25" spans="1:29" s="117" customFormat="1" ht="28.5">
      <c r="A25" s="649"/>
      <c r="B25" s="633" t="s">
        <v>2646</v>
      </c>
      <c r="C25" s="2605"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44"/>
      <c r="Q25" s="1795" t="str">
        <f t="shared" ref="Q25" si="9">B25</f>
        <v>基础设施水平</v>
      </c>
      <c r="R25" s="770" t="s">
        <v>17</v>
      </c>
      <c r="S25" s="771">
        <f>F25</f>
        <v>100</v>
      </c>
      <c r="T25" s="770" t="s">
        <v>17</v>
      </c>
      <c r="U25" s="771">
        <f>H25</f>
        <v>100</v>
      </c>
      <c r="V25" s="770" t="s">
        <v>17</v>
      </c>
      <c r="W25" s="771">
        <f>J25</f>
        <v>100</v>
      </c>
      <c r="X25" s="772"/>
      <c r="Y25" s="3244"/>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44"/>
      <c r="Q26" s="1795"/>
      <c r="R26" s="770"/>
      <c r="S26" s="771"/>
      <c r="T26" s="770"/>
      <c r="U26" s="771"/>
      <c r="V26" s="770"/>
      <c r="W26" s="771"/>
      <c r="X26" s="772"/>
      <c r="Y26" s="3244"/>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44"/>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44"/>
      <c r="Z27" s="1814" t="str">
        <f t="shared" ref="Z27:Z40" si="13">Q27</f>
        <v>临街状况</v>
      </c>
      <c r="AA27" s="1811">
        <f t="shared" si="3"/>
        <v>1</v>
      </c>
      <c r="AB27" s="1811">
        <f t="shared" si="4"/>
        <v>1</v>
      </c>
      <c r="AC27" s="1811">
        <f t="shared" si="5"/>
        <v>1</v>
      </c>
    </row>
    <row r="28" spans="1:29" ht="27">
      <c r="A28" s="428"/>
      <c r="B28" s="633" t="s">
        <v>2682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44"/>
      <c r="Q28" s="1810" t="str">
        <f t="shared" si="8"/>
        <v>毗邻道路的类型与等级</v>
      </c>
      <c r="R28" s="774" t="s">
        <v>17</v>
      </c>
      <c r="S28" s="775">
        <f t="shared" si="10"/>
        <v>100</v>
      </c>
      <c r="T28" s="774" t="s">
        <v>17</v>
      </c>
      <c r="U28" s="775">
        <f t="shared" si="11"/>
        <v>100</v>
      </c>
      <c r="V28" s="774" t="s">
        <v>17</v>
      </c>
      <c r="W28" s="775">
        <f t="shared" si="12"/>
        <v>100</v>
      </c>
      <c r="X28" s="1813"/>
      <c r="Y28" s="3244"/>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44"/>
      <c r="Q29" s="1810"/>
      <c r="R29" s="774"/>
      <c r="S29" s="775"/>
      <c r="T29" s="774"/>
      <c r="U29" s="775"/>
      <c r="V29" s="774"/>
      <c r="W29" s="775"/>
      <c r="X29" s="1813"/>
      <c r="Y29" s="3244"/>
      <c r="Z29" s="1814"/>
      <c r="AA29" s="1811">
        <v>1</v>
      </c>
      <c r="AB29" s="1811">
        <v>1</v>
      </c>
      <c r="AC29" s="1811">
        <v>1</v>
      </c>
    </row>
    <row r="30" spans="1:29" ht="15">
      <c r="A30" s="428"/>
      <c r="B30" s="654" t="s">
        <v>2741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44"/>
      <c r="Q30" s="1810" t="str">
        <f t="shared" si="8"/>
        <v>土地级别</v>
      </c>
      <c r="R30" s="774" t="s">
        <v>17</v>
      </c>
      <c r="S30" s="775">
        <f t="shared" si="10"/>
        <v>100</v>
      </c>
      <c r="T30" s="774" t="s">
        <v>17</v>
      </c>
      <c r="U30" s="775">
        <f t="shared" si="11"/>
        <v>100</v>
      </c>
      <c r="V30" s="774" t="s">
        <v>17</v>
      </c>
      <c r="W30" s="775">
        <f t="shared" si="12"/>
        <v>100</v>
      </c>
      <c r="X30" s="1813"/>
      <c r="Y30" s="3244"/>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44"/>
      <c r="Q31" s="1810">
        <f t="shared" si="8"/>
        <v>111</v>
      </c>
      <c r="R31" s="774" t="s">
        <v>17</v>
      </c>
      <c r="S31" s="775">
        <f t="shared" si="10"/>
        <v>100</v>
      </c>
      <c r="T31" s="774" t="s">
        <v>17</v>
      </c>
      <c r="U31" s="775">
        <f t="shared" si="11"/>
        <v>100</v>
      </c>
      <c r="V31" s="774" t="s">
        <v>17</v>
      </c>
      <c r="W31" s="775">
        <f t="shared" si="12"/>
        <v>100</v>
      </c>
      <c r="X31" s="1813"/>
      <c r="Y31" s="3244"/>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9" t="s">
        <v>2556</v>
      </c>
      <c r="Q32" s="1810">
        <f t="shared" si="8"/>
        <v>111</v>
      </c>
      <c r="R32" s="774" t="s">
        <v>17</v>
      </c>
      <c r="S32" s="775">
        <f t="shared" si="10"/>
        <v>100</v>
      </c>
      <c r="T32" s="774" t="s">
        <v>17</v>
      </c>
      <c r="U32" s="775">
        <f t="shared" si="11"/>
        <v>100</v>
      </c>
      <c r="V32" s="774" t="s">
        <v>17</v>
      </c>
      <c r="W32" s="775">
        <f t="shared" si="12"/>
        <v>100</v>
      </c>
      <c r="X32" s="1813"/>
      <c r="Y32" s="3248" t="s">
        <v>2556</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48"/>
      <c r="Q33" s="1810">
        <f t="shared" si="8"/>
        <v>111</v>
      </c>
      <c r="R33" s="777" t="s">
        <v>17</v>
      </c>
      <c r="S33" s="778">
        <f t="shared" si="10"/>
        <v>100</v>
      </c>
      <c r="T33" s="777" t="s">
        <v>17</v>
      </c>
      <c r="U33" s="778">
        <f t="shared" si="11"/>
        <v>100</v>
      </c>
      <c r="V33" s="777" t="s">
        <v>17</v>
      </c>
      <c r="W33" s="778">
        <f t="shared" si="12"/>
        <v>100</v>
      </c>
      <c r="X33" s="779"/>
      <c r="Y33" s="3248"/>
      <c r="Z33" s="780">
        <f t="shared" si="13"/>
        <v>111</v>
      </c>
      <c r="AA33" s="1811">
        <f t="shared" si="3"/>
        <v>1</v>
      </c>
      <c r="AB33" s="1811">
        <f t="shared" si="4"/>
        <v>1</v>
      </c>
      <c r="AC33" s="1811">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48"/>
      <c r="Q34" s="1810" t="str">
        <f>B34</f>
        <v>宗地面积</v>
      </c>
      <c r="R34" s="774" t="s">
        <v>17</v>
      </c>
      <c r="S34" s="775" t="e">
        <f t="shared" si="10"/>
        <v>#N/A</v>
      </c>
      <c r="T34" s="774" t="s">
        <v>17</v>
      </c>
      <c r="U34" s="775" t="e">
        <f t="shared" si="11"/>
        <v>#N/A</v>
      </c>
      <c r="V34" s="774" t="s">
        <v>17</v>
      </c>
      <c r="W34" s="775" t="e">
        <f t="shared" si="12"/>
        <v>#N/A</v>
      </c>
      <c r="X34" s="1813"/>
      <c r="Y34" s="3248"/>
      <c r="Z34" s="1814" t="str">
        <f t="shared" si="13"/>
        <v>宗地面积</v>
      </c>
      <c r="AA34" s="1811" t="e">
        <f t="shared" si="3"/>
        <v>#N/A</v>
      </c>
      <c r="AB34" s="1811" t="e">
        <f t="shared" si="4"/>
        <v>#N/A</v>
      </c>
      <c r="AC34" s="1811" t="e">
        <f t="shared" si="5"/>
        <v>#N/A</v>
      </c>
    </row>
    <row r="35" spans="1:29" ht="15">
      <c r="A35" s="472"/>
      <c r="B35" s="422" t="s">
        <v>2743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48"/>
      <c r="Q35" s="1810" t="str">
        <f t="shared" ref="Q35:Q40" si="14">B35</f>
        <v>宗地形状</v>
      </c>
      <c r="R35" s="774" t="s">
        <v>17</v>
      </c>
      <c r="S35" s="775">
        <f t="shared" si="10"/>
        <v>100</v>
      </c>
      <c r="T35" s="774" t="s">
        <v>17</v>
      </c>
      <c r="U35" s="775">
        <f t="shared" si="11"/>
        <v>100</v>
      </c>
      <c r="V35" s="774" t="s">
        <v>17</v>
      </c>
      <c r="W35" s="775">
        <f t="shared" si="12"/>
        <v>100</v>
      </c>
      <c r="X35" s="1813"/>
      <c r="Y35" s="3248"/>
      <c r="Z35" s="1814" t="str">
        <f t="shared" si="13"/>
        <v>宗地形状</v>
      </c>
      <c r="AA35" s="1811">
        <f t="shared" si="3"/>
        <v>1</v>
      </c>
      <c r="AB35" s="1811">
        <f t="shared" si="4"/>
        <v>1</v>
      </c>
      <c r="AC35" s="1811">
        <f t="shared" si="5"/>
        <v>1</v>
      </c>
    </row>
    <row r="36" spans="1:29" s="117" customFormat="1" ht="15">
      <c r="A36" s="473"/>
      <c r="B36" s="422" t="s">
        <v>2745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48"/>
      <c r="Q36" s="1810" t="str">
        <f t="shared" si="14"/>
        <v>宗地开发程度</v>
      </c>
      <c r="R36" s="770" t="s">
        <v>17</v>
      </c>
      <c r="S36" s="771">
        <f t="shared" si="10"/>
        <v>100</v>
      </c>
      <c r="T36" s="770" t="s">
        <v>17</v>
      </c>
      <c r="U36" s="771">
        <f t="shared" si="11"/>
        <v>100</v>
      </c>
      <c r="V36" s="770" t="s">
        <v>17</v>
      </c>
      <c r="W36" s="771">
        <f t="shared" si="12"/>
        <v>100</v>
      </c>
      <c r="X36" s="772"/>
      <c r="Y36" s="3248"/>
      <c r="Z36" s="55" t="str">
        <f t="shared" si="13"/>
        <v>宗地开发程度</v>
      </c>
      <c r="AA36" s="773">
        <f t="shared" si="3"/>
        <v>1</v>
      </c>
      <c r="AB36" s="773">
        <f t="shared" si="4"/>
        <v>1</v>
      </c>
      <c r="AC36" s="773">
        <f t="shared" si="5"/>
        <v>1</v>
      </c>
    </row>
    <row r="37" spans="1:29" ht="15">
      <c r="A37" s="472"/>
      <c r="B37" s="422" t="s">
        <v>2746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48" t="s">
        <v>2556</v>
      </c>
      <c r="Q37" s="1810" t="str">
        <f t="shared" si="14"/>
        <v>工程地质条件</v>
      </c>
      <c r="R37" s="774" t="s">
        <v>17</v>
      </c>
      <c r="S37" s="775">
        <f t="shared" si="10"/>
        <v>100</v>
      </c>
      <c r="T37" s="774" t="s">
        <v>17</v>
      </c>
      <c r="U37" s="775">
        <f t="shared" si="11"/>
        <v>100</v>
      </c>
      <c r="V37" s="774" t="s">
        <v>17</v>
      </c>
      <c r="W37" s="775">
        <f t="shared" si="12"/>
        <v>100</v>
      </c>
      <c r="X37" s="1813"/>
      <c r="Y37" s="3248" t="s">
        <v>2556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48"/>
      <c r="Q38" s="1810">
        <f t="shared" si="14"/>
        <v>111</v>
      </c>
      <c r="R38" s="774" t="s">
        <v>17</v>
      </c>
      <c r="S38" s="775">
        <f t="shared" si="10"/>
        <v>100</v>
      </c>
      <c r="T38" s="774" t="s">
        <v>17</v>
      </c>
      <c r="U38" s="775">
        <f t="shared" si="11"/>
        <v>100</v>
      </c>
      <c r="V38" s="774" t="s">
        <v>17</v>
      </c>
      <c r="W38" s="775">
        <f t="shared" si="12"/>
        <v>100</v>
      </c>
      <c r="X38" s="1813"/>
      <c r="Y38" s="3248"/>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48"/>
      <c r="Q39" s="1810">
        <f t="shared" si="14"/>
        <v>111</v>
      </c>
      <c r="R39" s="774" t="s">
        <v>17</v>
      </c>
      <c r="S39" s="775">
        <f t="shared" si="10"/>
        <v>100</v>
      </c>
      <c r="T39" s="774" t="s">
        <v>17</v>
      </c>
      <c r="U39" s="775">
        <f t="shared" si="11"/>
        <v>100</v>
      </c>
      <c r="V39" s="774" t="s">
        <v>17</v>
      </c>
      <c r="W39" s="775">
        <f t="shared" si="12"/>
        <v>100</v>
      </c>
      <c r="X39" s="1813"/>
      <c r="Y39" s="3248"/>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48"/>
      <c r="Q40" s="1810">
        <f t="shared" si="14"/>
        <v>111</v>
      </c>
      <c r="R40" s="777" t="s">
        <v>17</v>
      </c>
      <c r="S40" s="778">
        <f t="shared" si="10"/>
        <v>100</v>
      </c>
      <c r="T40" s="777" t="s">
        <v>17</v>
      </c>
      <c r="U40" s="778">
        <f t="shared" si="11"/>
        <v>100</v>
      </c>
      <c r="V40" s="777" t="s">
        <v>17</v>
      </c>
      <c r="W40" s="778">
        <f t="shared" si="12"/>
        <v>100</v>
      </c>
      <c r="X40" s="779"/>
      <c r="Y40" s="3248"/>
      <c r="Z40" s="780">
        <f t="shared" si="13"/>
        <v>111</v>
      </c>
      <c r="AA40" s="1811">
        <f t="shared" si="3"/>
        <v>1</v>
      </c>
      <c r="AB40" s="1811">
        <f t="shared" si="4"/>
        <v>1</v>
      </c>
      <c r="AC40" s="1811">
        <f t="shared" si="5"/>
        <v>1</v>
      </c>
    </row>
    <row r="41" spans="1:29" ht="15">
      <c r="A41" s="479" t="s">
        <v>2711</v>
      </c>
      <c r="B41" s="2702" t="s">
        <v>2791</v>
      </c>
      <c r="C41" s="682" t="s">
        <v>1</v>
      </c>
      <c r="D41" s="481"/>
      <c r="E41" s="482"/>
      <c r="F41" s="483"/>
      <c r="G41" s="484"/>
      <c r="H41" s="485"/>
      <c r="I41" s="482"/>
      <c r="J41" s="485"/>
      <c r="K41" s="783"/>
      <c r="L41" s="1143"/>
      <c r="M41" s="1131"/>
      <c r="N41" s="1131"/>
      <c r="O41" s="1144"/>
      <c r="P41" s="3241" t="str">
        <f>A41</f>
        <v>成交单价</v>
      </c>
      <c r="Q41" s="3241"/>
      <c r="R41" s="3236">
        <f>E41</f>
        <v>0</v>
      </c>
      <c r="S41" s="3236"/>
      <c r="T41" s="3236">
        <f>G41</f>
        <v>0</v>
      </c>
      <c r="U41" s="3236"/>
      <c r="V41" s="3236">
        <f>I41</f>
        <v>0</v>
      </c>
      <c r="W41" s="3236"/>
      <c r="X41" s="759"/>
      <c r="Y41" s="781"/>
      <c r="Z41" s="759"/>
      <c r="AA41" s="759"/>
      <c r="AB41" s="759"/>
      <c r="AC41" s="759"/>
    </row>
    <row r="42" spans="1:29" ht="15.75" thickBot="1">
      <c r="A42" s="486" t="s">
        <v>2660</v>
      </c>
      <c r="B42" s="683"/>
      <c r="C42" s="490" t="e">
        <f>R43</f>
        <v>#DIV/0!</v>
      </c>
      <c r="D42" s="489"/>
      <c r="E42" s="490" t="e">
        <f>R42</f>
        <v>#DIV/0!</v>
      </c>
      <c r="F42" s="491"/>
      <c r="G42" s="488" t="e">
        <f>T42</f>
        <v>#DIV/0!</v>
      </c>
      <c r="H42" s="489"/>
      <c r="I42" s="490" t="e">
        <f>V42</f>
        <v>#DIV/0!</v>
      </c>
      <c r="J42" s="489"/>
      <c r="K42" s="784"/>
      <c r="L42" s="1143"/>
      <c r="M42" s="1131"/>
      <c r="N42" s="1131"/>
      <c r="O42" s="1144"/>
      <c r="P42" s="3241" t="str">
        <f>A42</f>
        <v>比较价值（元/平方米）</v>
      </c>
      <c r="Q42" s="3241"/>
      <c r="R42" s="3270" t="e">
        <f>ROUND(PRODUCT(R41,AA7:AA40),0)</f>
        <v>#DIV/0!</v>
      </c>
      <c r="S42" s="3270"/>
      <c r="T42" s="3270" t="e">
        <f>ROUND(PRODUCT(T41,AB7:AB40),0)</f>
        <v>#DIV/0!</v>
      </c>
      <c r="U42" s="3270"/>
      <c r="V42" s="3270" t="e">
        <f>ROUND(PRODUCT(V41,AC7:AC40),0)</f>
        <v>#DIV/0!</v>
      </c>
      <c r="W42" s="3270"/>
      <c r="X42" s="759"/>
      <c r="Y42" s="759"/>
      <c r="Z42" s="759"/>
      <c r="AA42" s="759"/>
      <c r="AB42" s="759"/>
      <c r="AC42" s="759"/>
    </row>
    <row r="43" spans="1:29" ht="15.75" thickBot="1">
      <c r="A43" s="492" t="s">
        <v>2661</v>
      </c>
      <c r="B43" s="493"/>
      <c r="C43" s="494" t="e">
        <f>R43</f>
        <v>#DIV/0!</v>
      </c>
      <c r="D43" s="494"/>
      <c r="E43" s="494"/>
      <c r="F43" s="494"/>
      <c r="G43" s="494"/>
      <c r="H43" s="494"/>
      <c r="I43" s="494"/>
      <c r="J43" s="494"/>
      <c r="K43" s="785"/>
      <c r="L43" s="1143"/>
      <c r="M43" s="1131"/>
      <c r="N43" s="1131"/>
      <c r="O43" s="1144"/>
      <c r="P43" s="3238" t="str">
        <f>A43</f>
        <v>估价对象XX用房的比较价值（楼面单价，元/平方米）</v>
      </c>
      <c r="Q43" s="3239"/>
      <c r="R43" s="3271" t="e">
        <f>ROUND(AVERAGE(R42:V42),0)</f>
        <v>#DIV/0!</v>
      </c>
      <c r="S43" s="3271"/>
      <c r="T43" s="3271"/>
      <c r="U43" s="3271"/>
      <c r="V43" s="3271"/>
      <c r="W43" s="327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2749</v>
      </c>
      <c r="B50" s="685" t="s">
        <v>2750</v>
      </c>
      <c r="C50" s="2703" t="s">
        <v>2751</v>
      </c>
      <c r="D50" s="2704" t="s">
        <v>2752</v>
      </c>
      <c r="E50" s="686" t="s">
        <v>2753</v>
      </c>
      <c r="F50" s="687" t="s">
        <v>2754</v>
      </c>
      <c r="G50" s="3224" t="s">
        <v>2755</v>
      </c>
      <c r="H50" s="3272"/>
      <c r="I50" s="1814" t="s">
        <v>2792</v>
      </c>
      <c r="J50" s="1814">
        <f>项目基本情况!F35</f>
        <v>0</v>
      </c>
      <c r="K50" s="2706" t="s">
        <v>2757</v>
      </c>
      <c r="L50" s="1106"/>
      <c r="M50" s="1144"/>
      <c r="N50" s="1144"/>
      <c r="O50" s="1144"/>
    </row>
    <row r="51" spans="1:17" s="692" customFormat="1">
      <c r="A51" s="688" t="s">
        <v>2758</v>
      </c>
      <c r="B51" s="689" t="e">
        <f>C43</f>
        <v>#DIV/0!</v>
      </c>
      <c r="C51" s="690">
        <v>1</v>
      </c>
      <c r="D51" s="1163">
        <v>1</v>
      </c>
      <c r="E51" s="690">
        <f>'数据-汇总表'!E8+'数据-汇总表'!E9</f>
        <v>8276.64</v>
      </c>
      <c r="F51" s="691" t="e">
        <f t="shared" ref="F51:F60" si="15">ROUND(B51*E51/10000,0)</f>
        <v>#DIV/0!</v>
      </c>
      <c r="G51" s="3223"/>
      <c r="H51" s="3241"/>
      <c r="I51" s="942">
        <v>1</v>
      </c>
      <c r="J51" s="942">
        <v>1</v>
      </c>
      <c r="K51" s="1145"/>
      <c r="L51" s="941"/>
      <c r="M51" s="941"/>
      <c r="N51" s="941"/>
      <c r="O51" s="941"/>
    </row>
    <row r="52" spans="1:17" s="692" customFormat="1">
      <c r="A52" s="693" t="s">
        <v>2759</v>
      </c>
      <c r="B52" s="262" t="e">
        <f>ROUND($C$43*C52*D52,0)</f>
        <v>#DIV/0!</v>
      </c>
      <c r="C52" s="200">
        <f t="shared" ref="C52:C60" si="16">IF($C$50="北京市系数",I52,J52)</f>
        <v>0</v>
      </c>
      <c r="D52" s="1164">
        <v>0.25</v>
      </c>
      <c r="E52" s="694"/>
      <c r="F52" s="691" t="e">
        <f t="shared" si="15"/>
        <v>#DIV/0!</v>
      </c>
      <c r="G52" s="3273" t="s">
        <v>2760</v>
      </c>
      <c r="H52" s="1104">
        <f>项目基本情况!B37</f>
        <v>0</v>
      </c>
      <c r="I52" s="942">
        <f>SUMIF(修正!A45:A56,H52,修正!B45:B56)</f>
        <v>0</v>
      </c>
      <c r="J52" s="943"/>
      <c r="K52" s="1144"/>
      <c r="L52" s="941"/>
      <c r="M52" s="941"/>
      <c r="N52" s="941"/>
      <c r="O52" s="941"/>
    </row>
    <row r="53" spans="1:17" s="692" customFormat="1">
      <c r="A53" s="693" t="s">
        <v>2761</v>
      </c>
      <c r="B53" s="262" t="e">
        <f t="shared" ref="B53:B60" si="17">ROUND($C$43*C53*D53,0)</f>
        <v>#DIV/0!</v>
      </c>
      <c r="C53" s="200">
        <f t="shared" si="16"/>
        <v>0</v>
      </c>
      <c r="D53" s="1164">
        <v>0.25</v>
      </c>
      <c r="E53" s="694"/>
      <c r="F53" s="691" t="e">
        <f t="shared" si="15"/>
        <v>#DIV/0!</v>
      </c>
      <c r="G53" s="3273"/>
      <c r="H53" s="1104">
        <f>项目基本情况!B37</f>
        <v>0</v>
      </c>
      <c r="I53" s="942">
        <f>SUMIF(修正!A45:A56,H53,修正!C45:C56)</f>
        <v>0</v>
      </c>
      <c r="J53" s="943"/>
      <c r="K53" s="1145"/>
      <c r="L53" s="941"/>
      <c r="M53" s="941"/>
      <c r="N53" s="941"/>
      <c r="O53" s="941"/>
    </row>
    <row r="54" spans="1:17" s="692" customFormat="1">
      <c r="A54" s="693" t="s">
        <v>2762</v>
      </c>
      <c r="B54" s="262" t="e">
        <f t="shared" si="17"/>
        <v>#DIV/0!</v>
      </c>
      <c r="C54" s="200">
        <f t="shared" si="16"/>
        <v>0</v>
      </c>
      <c r="D54" s="1164">
        <v>0.25</v>
      </c>
      <c r="E54" s="694"/>
      <c r="F54" s="691" t="e">
        <f t="shared" si="15"/>
        <v>#DIV/0!</v>
      </c>
      <c r="G54" s="3273"/>
      <c r="H54" s="1104">
        <f>项目基本情况!B37</f>
        <v>0</v>
      </c>
      <c r="I54" s="942">
        <f>SUMIF(修正!A45:A56,H54,修正!D45:D56)</f>
        <v>0</v>
      </c>
      <c r="J54" s="943"/>
      <c r="K54" s="1144"/>
      <c r="L54" s="941"/>
      <c r="M54" s="941"/>
      <c r="N54" s="941"/>
      <c r="O54" s="941"/>
    </row>
    <row r="55" spans="1:17" s="692" customFormat="1">
      <c r="A55" s="693" t="s">
        <v>2763</v>
      </c>
      <c r="B55" s="262" t="e">
        <f t="shared" si="17"/>
        <v>#DIV/0!</v>
      </c>
      <c r="C55" s="200">
        <f t="shared" si="16"/>
        <v>0</v>
      </c>
      <c r="D55" s="1164">
        <v>0.25</v>
      </c>
      <c r="E55" s="694"/>
      <c r="F55" s="691" t="e">
        <f t="shared" si="15"/>
        <v>#DIV/0!</v>
      </c>
      <c r="G55" s="3273"/>
      <c r="H55" s="1104">
        <f>项目基本情况!B37</f>
        <v>0</v>
      </c>
      <c r="I55" s="942">
        <f>SUMIF(修正!A45:A56,H55,修正!E45:E56)</f>
        <v>0</v>
      </c>
      <c r="J55" s="943"/>
      <c r="K55" s="1145"/>
      <c r="L55" s="941"/>
      <c r="M55" s="941"/>
      <c r="N55" s="941"/>
      <c r="O55" s="941"/>
    </row>
    <row r="56" spans="1:17" s="692" customFormat="1">
      <c r="A56" s="693" t="s">
        <v>2764</v>
      </c>
      <c r="B56" s="262" t="e">
        <f t="shared" si="17"/>
        <v>#DIV/0!</v>
      </c>
      <c r="C56" s="200">
        <f t="shared" si="16"/>
        <v>0.3</v>
      </c>
      <c r="D56" s="1164">
        <v>0.25</v>
      </c>
      <c r="E56" s="261">
        <f>'数据-汇总表'!E11</f>
        <v>0</v>
      </c>
      <c r="F56" s="691" t="e">
        <f t="shared" si="15"/>
        <v>#DIV/0!</v>
      </c>
      <c r="G56" s="2707" t="s">
        <v>2765</v>
      </c>
      <c r="H56" s="1104" t="str">
        <f>项目基本情况!C37</f>
        <v>二级</v>
      </c>
      <c r="I56" s="942">
        <f>SUMIF(修正!A45:A56,H56,修正!F45:F56)</f>
        <v>0.3</v>
      </c>
      <c r="J56" s="943"/>
      <c r="K56" s="1144"/>
      <c r="L56" s="941"/>
      <c r="M56" s="941"/>
      <c r="N56" s="941"/>
      <c r="O56" s="941"/>
    </row>
    <row r="57" spans="1:17" s="692" customFormat="1">
      <c r="A57" s="693" t="s">
        <v>2766</v>
      </c>
      <c r="B57" s="262" t="e">
        <f t="shared" si="17"/>
        <v>#DIV/0!</v>
      </c>
      <c r="C57" s="200">
        <f t="shared" si="16"/>
        <v>0.3</v>
      </c>
      <c r="D57" s="1164">
        <v>0.25</v>
      </c>
      <c r="E57" s="261">
        <f>'数据-汇总表'!E12</f>
        <v>0</v>
      </c>
      <c r="F57" s="691" t="e">
        <f t="shared" si="15"/>
        <v>#DIV/0!</v>
      </c>
      <c r="G57" s="1109" t="s">
        <v>2767</v>
      </c>
      <c r="H57" s="1104" t="str">
        <f>IF(G57="商业",项目基本情况!B37,IF(G57="办公",项目基本情况!C37,IF(G57="住宅",项目基本情况!D37,项目基本情况!E37)))</f>
        <v>二级</v>
      </c>
      <c r="I57" s="942">
        <f>SUMIF(修正!A45:A56,H57,修正!G45:G56)</f>
        <v>0.3</v>
      </c>
      <c r="J57" s="943"/>
      <c r="K57" s="1145"/>
      <c r="L57" s="941"/>
      <c r="M57" s="941"/>
      <c r="N57" s="941"/>
      <c r="O57" s="941"/>
    </row>
    <row r="58" spans="1:17" s="692" customFormat="1">
      <c r="A58" s="693" t="s">
        <v>2768</v>
      </c>
      <c r="B58" s="262" t="e">
        <f t="shared" si="17"/>
        <v>#DIV/0!</v>
      </c>
      <c r="C58" s="200">
        <f t="shared" si="16"/>
        <v>0.25</v>
      </c>
      <c r="D58" s="1164">
        <v>0.25</v>
      </c>
      <c r="E58" s="261">
        <f>'数据-汇总表'!E13</f>
        <v>0</v>
      </c>
      <c r="F58" s="691" t="e">
        <f t="shared" si="15"/>
        <v>#DIV/0!</v>
      </c>
      <c r="G58" s="1109" t="s">
        <v>2769</v>
      </c>
      <c r="H58" s="1104" t="str">
        <f>IF(G58="商业",项目基本情况!B37,IF(G58="办公",项目基本情况!C37,IF(G58="住宅",项目基本情况!D37,项目基本情况!E37)))</f>
        <v>二级</v>
      </c>
      <c r="I58" s="942">
        <f>SUMIF(修正!A45:A56,H58,修正!H45:H56)</f>
        <v>0.25</v>
      </c>
      <c r="J58" s="943"/>
      <c r="K58" s="1144"/>
      <c r="L58" s="941"/>
      <c r="M58" s="941"/>
      <c r="N58" s="941"/>
      <c r="O58" s="941"/>
    </row>
    <row r="59" spans="1:17" s="692" customFormat="1">
      <c r="A59" s="693" t="s">
        <v>2770</v>
      </c>
      <c r="B59" s="262" t="e">
        <f t="shared" si="17"/>
        <v>#DIV/0!</v>
      </c>
      <c r="C59" s="200">
        <f t="shared" si="16"/>
        <v>0</v>
      </c>
      <c r="D59" s="1164">
        <v>0.25</v>
      </c>
      <c r="E59" s="261">
        <f>'数据-汇总表'!E14</f>
        <v>0</v>
      </c>
      <c r="F59" s="691" t="e">
        <f t="shared" si="15"/>
        <v>#DIV/0!</v>
      </c>
      <c r="G59" s="2707" t="s">
        <v>2760</v>
      </c>
      <c r="H59" s="1104">
        <f>项目基本情况!B37</f>
        <v>0</v>
      </c>
      <c r="I59" s="942">
        <f>SUMIF(修正!A45:A56,H59,修正!H45:H56)</f>
        <v>0</v>
      </c>
      <c r="J59" s="943"/>
      <c r="K59" s="1145"/>
      <c r="L59" s="941"/>
      <c r="M59" s="941"/>
      <c r="N59" s="941"/>
      <c r="O59" s="941"/>
    </row>
    <row r="60" spans="1:17" s="692" customFormat="1" ht="15" thickBot="1">
      <c r="A60" s="693" t="s">
        <v>2771</v>
      </c>
      <c r="B60" s="262" t="e">
        <f t="shared" si="17"/>
        <v>#DIV/0!</v>
      </c>
      <c r="C60" s="200">
        <f t="shared" si="16"/>
        <v>0.25</v>
      </c>
      <c r="D60" s="1164">
        <v>0.25</v>
      </c>
      <c r="E60" s="261">
        <f>'数据-汇总表'!E15</f>
        <v>0</v>
      </c>
      <c r="F60" s="691" t="e">
        <f t="shared" si="15"/>
        <v>#DIV/0!</v>
      </c>
      <c r="G60" s="2708" t="s">
        <v>2765</v>
      </c>
      <c r="H60" s="1114" t="str">
        <f>项目基本情况!C37</f>
        <v>二级</v>
      </c>
      <c r="I60" s="942">
        <f>SUMIF(修正!A45:A56,H60,修正!H45:H56)</f>
        <v>0.25</v>
      </c>
      <c r="J60" s="943"/>
      <c r="K60" s="1144"/>
      <c r="L60" s="941"/>
      <c r="M60" s="941"/>
      <c r="N60" s="941"/>
      <c r="O60" s="941"/>
    </row>
    <row r="61" spans="1:17" s="692" customFormat="1" ht="15" thickBot="1">
      <c r="A61" s="695" t="s">
        <v>2772</v>
      </c>
      <c r="B61" s="696" t="s">
        <v>28</v>
      </c>
      <c r="C61" s="696" t="s">
        <v>29</v>
      </c>
      <c r="D61" s="696" t="s">
        <v>1026</v>
      </c>
      <c r="E61" s="696">
        <f>IF(B41="楼面地价",SUM(E51:E60),'数据-汇总表'!D3)</f>
        <v>927.85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2019-12-1</v>
      </c>
      <c r="D63" s="761">
        <f>EDATE(C63,-3)</f>
        <v>43709</v>
      </c>
      <c r="E63" s="761">
        <f>EDATE(D63,-3)</f>
        <v>43617</v>
      </c>
      <c r="F63" s="761">
        <f t="shared" ref="F63:O63" si="18">EDATE(E63,-3)</f>
        <v>43525</v>
      </c>
      <c r="G63" s="761">
        <f t="shared" si="18"/>
        <v>43435</v>
      </c>
      <c r="H63" s="761">
        <f t="shared" si="18"/>
        <v>43344</v>
      </c>
      <c r="I63" s="761">
        <f t="shared" si="18"/>
        <v>43252</v>
      </c>
      <c r="J63" s="761">
        <f t="shared" si="18"/>
        <v>43160</v>
      </c>
      <c r="K63" s="761">
        <f t="shared" si="18"/>
        <v>43070</v>
      </c>
      <c r="L63" s="761">
        <f t="shared" si="18"/>
        <v>42979</v>
      </c>
      <c r="M63" s="761">
        <f t="shared" si="18"/>
        <v>42887</v>
      </c>
      <c r="N63" s="761">
        <f t="shared" si="18"/>
        <v>42795</v>
      </c>
      <c r="O63" s="761">
        <f t="shared" si="18"/>
        <v>42705</v>
      </c>
    </row>
    <row r="64" spans="1:17" ht="21.75" thickBot="1">
      <c r="A64" s="763" t="s">
        <v>2665</v>
      </c>
      <c r="B64" s="759"/>
      <c r="C64" s="764"/>
      <c r="D64" s="764"/>
      <c r="E64" s="764"/>
      <c r="F64" s="765"/>
      <c r="G64" s="765"/>
      <c r="H64" s="764"/>
      <c r="I64" s="764"/>
      <c r="J64" s="764"/>
      <c r="K64" s="766"/>
      <c r="L64" s="767"/>
      <c r="M64" s="764"/>
      <c r="N64" s="764"/>
      <c r="O64" s="1159"/>
      <c r="P64" s="503"/>
      <c r="Q64" s="504"/>
    </row>
    <row r="65" spans="1:17" s="508" customFormat="1" ht="15">
      <c r="A65" s="2709" t="s">
        <v>2773</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2793</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2579</v>
      </c>
      <c r="B70" s="528" t="s">
        <v>2545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3042</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8" t="s">
        <v>183</v>
      </c>
      <c r="B18" s="882" t="s">
        <v>560</v>
      </c>
      <c r="C18" s="883" t="s">
        <v>561</v>
      </c>
      <c r="D18" s="884"/>
      <c r="E18" s="882">
        <v>1</v>
      </c>
      <c r="F18" s="885" t="s">
        <v>562</v>
      </c>
      <c r="G18" s="886"/>
      <c r="H18" s="878"/>
      <c r="I18" s="878"/>
    </row>
    <row r="19" spans="1:9" s="887" customFormat="1" ht="19.5" customHeight="1">
      <c r="A19" s="3278"/>
      <c r="B19" s="3278" t="s">
        <v>563</v>
      </c>
      <c r="C19" s="883" t="s">
        <v>564</v>
      </c>
      <c r="D19" s="884"/>
      <c r="E19" s="882">
        <v>0.9</v>
      </c>
      <c r="F19" s="885" t="s">
        <v>565</v>
      </c>
      <c r="G19" s="886"/>
      <c r="H19" s="878"/>
      <c r="I19" s="878"/>
    </row>
    <row r="20" spans="1:9" s="887" customFormat="1" ht="19.5" customHeight="1">
      <c r="A20" s="3278"/>
      <c r="B20" s="3278"/>
      <c r="C20" s="883" t="s">
        <v>566</v>
      </c>
      <c r="D20" s="884"/>
      <c r="E20" s="882">
        <v>1.1000000000000001</v>
      </c>
      <c r="F20" s="885" t="s">
        <v>567</v>
      </c>
      <c r="G20" s="886"/>
      <c r="H20" s="878"/>
      <c r="I20" s="878"/>
    </row>
    <row r="21" spans="1:9" s="887" customFormat="1" ht="19.5" customHeight="1">
      <c r="A21" s="3278"/>
      <c r="B21" s="3278"/>
      <c r="C21" s="883" t="s">
        <v>568</v>
      </c>
      <c r="D21" s="884"/>
      <c r="E21" s="882">
        <v>0.8</v>
      </c>
      <c r="F21" s="885" t="s">
        <v>569</v>
      </c>
      <c r="G21" s="886"/>
      <c r="H21" s="878"/>
      <c r="I21" s="878"/>
    </row>
    <row r="22" spans="1:9" s="887" customFormat="1" ht="19.5" customHeight="1">
      <c r="A22" s="3278"/>
      <c r="B22" s="3278"/>
      <c r="C22" s="883" t="s">
        <v>570</v>
      </c>
      <c r="D22" s="884"/>
      <c r="E22" s="882">
        <v>0.5</v>
      </c>
      <c r="F22" s="885"/>
      <c r="G22" s="886"/>
      <c r="H22" s="878"/>
      <c r="I22" s="878"/>
    </row>
    <row r="23" spans="1:9" s="887" customFormat="1" ht="19.5" customHeight="1">
      <c r="A23" s="3278" t="s">
        <v>184</v>
      </c>
      <c r="B23" s="882" t="s">
        <v>560</v>
      </c>
      <c r="C23" s="883" t="s">
        <v>571</v>
      </c>
      <c r="D23" s="884"/>
      <c r="E23" s="882">
        <v>1</v>
      </c>
      <c r="F23" s="885" t="s">
        <v>572</v>
      </c>
      <c r="G23" s="886"/>
      <c r="H23" s="878"/>
      <c r="I23" s="878"/>
    </row>
    <row r="24" spans="1:9" s="887" customFormat="1" ht="19.5" customHeight="1">
      <c r="A24" s="3278"/>
      <c r="B24" s="3278" t="s">
        <v>563</v>
      </c>
      <c r="C24" s="883" t="s">
        <v>573</v>
      </c>
      <c r="D24" s="884"/>
      <c r="E24" s="882">
        <v>0.5</v>
      </c>
      <c r="F24" s="885"/>
      <c r="G24" s="886"/>
      <c r="H24" s="878"/>
      <c r="I24" s="878"/>
    </row>
    <row r="25" spans="1:9" s="887" customFormat="1" ht="19.5" customHeight="1">
      <c r="A25" s="3278"/>
      <c r="B25" s="3278"/>
      <c r="C25" s="883" t="s">
        <v>574</v>
      </c>
      <c r="D25" s="884"/>
      <c r="E25" s="882">
        <v>1.1000000000000001</v>
      </c>
      <c r="F25" s="885"/>
      <c r="G25" s="886"/>
      <c r="H25" s="878"/>
      <c r="I25" s="878"/>
    </row>
    <row r="26" spans="1:9" s="887" customFormat="1" ht="19.5" customHeight="1">
      <c r="A26" s="3278"/>
      <c r="B26" s="3278"/>
      <c r="C26" s="883" t="s">
        <v>575</v>
      </c>
      <c r="D26" s="884"/>
      <c r="E26" s="882">
        <v>1.1000000000000001</v>
      </c>
      <c r="F26" s="885"/>
      <c r="G26" s="886"/>
      <c r="H26" s="878"/>
      <c r="I26" s="878"/>
    </row>
    <row r="27" spans="1:9" s="887" customFormat="1" ht="19.5" customHeight="1">
      <c r="A27" s="3278"/>
      <c r="B27" s="3278"/>
      <c r="C27" s="883" t="s">
        <v>576</v>
      </c>
      <c r="D27" s="884"/>
      <c r="E27" s="882">
        <v>0.9</v>
      </c>
      <c r="F27" s="885" t="s">
        <v>577</v>
      </c>
      <c r="G27" s="886"/>
      <c r="H27" s="878"/>
      <c r="I27" s="878"/>
    </row>
    <row r="28" spans="1:9" s="887" customFormat="1" ht="19.5" customHeight="1">
      <c r="A28" s="3278"/>
      <c r="B28" s="3278"/>
      <c r="C28" s="883" t="s">
        <v>578</v>
      </c>
      <c r="D28" s="884"/>
      <c r="E28" s="882">
        <v>0.9</v>
      </c>
      <c r="F28" s="885" t="s">
        <v>579</v>
      </c>
      <c r="G28" s="886"/>
      <c r="H28" s="878"/>
      <c r="I28" s="878"/>
    </row>
    <row r="29" spans="1:9" s="887" customFormat="1" ht="19.5" customHeight="1">
      <c r="A29" s="3278"/>
      <c r="B29" s="3278"/>
      <c r="C29" s="883" t="s">
        <v>580</v>
      </c>
      <c r="D29" s="884"/>
      <c r="E29" s="882">
        <v>0.9</v>
      </c>
      <c r="F29" s="885" t="s">
        <v>581</v>
      </c>
      <c r="G29" s="886"/>
      <c r="H29" s="878"/>
      <c r="I29" s="878"/>
    </row>
    <row r="30" spans="1:9" s="887" customFormat="1" ht="19.5" customHeight="1">
      <c r="A30" s="3278"/>
      <c r="B30" s="3278"/>
      <c r="C30" s="883" t="s">
        <v>582</v>
      </c>
      <c r="D30" s="884"/>
      <c r="E30" s="882">
        <v>0.9</v>
      </c>
      <c r="F30" s="885" t="s">
        <v>583</v>
      </c>
      <c r="G30" s="886"/>
      <c r="H30" s="878"/>
      <c r="I30" s="878"/>
    </row>
    <row r="31" spans="1:9" s="887" customFormat="1" ht="19.5" customHeight="1">
      <c r="A31" s="3278"/>
      <c r="B31" s="3278"/>
      <c r="C31" s="883" t="s">
        <v>584</v>
      </c>
      <c r="D31" s="884"/>
      <c r="E31" s="882">
        <v>0.8</v>
      </c>
      <c r="F31" s="885" t="s">
        <v>585</v>
      </c>
      <c r="G31" s="886"/>
      <c r="H31" s="878"/>
      <c r="I31" s="878"/>
    </row>
    <row r="32" spans="1:9" s="887" customFormat="1" ht="19.5" customHeight="1">
      <c r="A32" s="3278"/>
      <c r="B32" s="3278"/>
      <c r="C32" s="883" t="s">
        <v>586</v>
      </c>
      <c r="D32" s="884"/>
      <c r="E32" s="882">
        <v>0.8</v>
      </c>
      <c r="F32" s="885" t="s">
        <v>587</v>
      </c>
      <c r="G32" s="886"/>
      <c r="H32" s="878"/>
      <c r="I32" s="878"/>
    </row>
    <row r="33" spans="1:9" s="887" customFormat="1" ht="19.5" customHeight="1">
      <c r="A33" s="3278" t="s">
        <v>185</v>
      </c>
      <c r="B33" s="882" t="s">
        <v>560</v>
      </c>
      <c r="C33" s="883" t="s">
        <v>588</v>
      </c>
      <c r="D33" s="884"/>
      <c r="E33" s="882">
        <v>1</v>
      </c>
      <c r="F33" s="885" t="s">
        <v>589</v>
      </c>
      <c r="G33" s="886"/>
      <c r="H33" s="878"/>
      <c r="I33" s="878"/>
    </row>
    <row r="34" spans="1:9" s="887" customFormat="1" ht="19.5" customHeight="1">
      <c r="A34" s="3278"/>
      <c r="B34" s="882" t="s">
        <v>563</v>
      </c>
      <c r="C34" s="883" t="s">
        <v>590</v>
      </c>
      <c r="D34" s="884"/>
      <c r="E34" s="882">
        <v>1.5</v>
      </c>
      <c r="F34" s="885" t="s">
        <v>591</v>
      </c>
      <c r="G34" s="886"/>
      <c r="H34" s="878"/>
      <c r="I34" s="878"/>
    </row>
    <row r="35" spans="1:9" s="887" customFormat="1" ht="19.5" customHeight="1">
      <c r="A35" s="3278" t="s">
        <v>186</v>
      </c>
      <c r="B35" s="882" t="s">
        <v>560</v>
      </c>
      <c r="C35" s="883" t="s">
        <v>592</v>
      </c>
      <c r="D35" s="884"/>
      <c r="E35" s="882">
        <v>1</v>
      </c>
      <c r="F35" s="885" t="s">
        <v>593</v>
      </c>
      <c r="G35" s="886"/>
      <c r="H35" s="878"/>
      <c r="I35" s="878"/>
    </row>
    <row r="36" spans="1:9" s="887" customFormat="1" ht="19.5" customHeight="1">
      <c r="A36" s="3278"/>
      <c r="B36" s="3278" t="s">
        <v>563</v>
      </c>
      <c r="C36" s="883" t="s">
        <v>594</v>
      </c>
      <c r="D36" s="884"/>
      <c r="E36" s="882">
        <v>1</v>
      </c>
      <c r="F36" s="885" t="s">
        <v>595</v>
      </c>
      <c r="G36" s="886"/>
      <c r="H36" s="878"/>
      <c r="I36" s="878"/>
    </row>
    <row r="37" spans="1:9" s="887" customFormat="1" ht="19.5" customHeight="1">
      <c r="A37" s="3278"/>
      <c r="B37" s="3278"/>
      <c r="C37" s="883" t="s">
        <v>596</v>
      </c>
      <c r="D37" s="884"/>
      <c r="E37" s="882">
        <v>1.5</v>
      </c>
      <c r="F37" s="885" t="s">
        <v>597</v>
      </c>
      <c r="G37" s="886"/>
      <c r="H37" s="878"/>
      <c r="I37" s="878"/>
    </row>
    <row r="38" spans="1:9" s="887" customFormat="1" ht="19.5" customHeight="1">
      <c r="A38" s="3278"/>
      <c r="B38" s="3278"/>
      <c r="C38" s="883" t="s">
        <v>598</v>
      </c>
      <c r="D38" s="884"/>
      <c r="E38" s="882">
        <v>1</v>
      </c>
      <c r="F38" s="885" t="s">
        <v>599</v>
      </c>
      <c r="G38" s="886"/>
      <c r="H38" s="878"/>
      <c r="I38" s="878"/>
    </row>
    <row r="39" spans="1:9" s="887" customFormat="1" ht="19.5" customHeight="1">
      <c r="A39" s="3278"/>
      <c r="B39" s="327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8" t="s">
        <v>614</v>
      </c>
      <c r="C61" s="818" t="s">
        <v>615</v>
      </c>
      <c r="D61" s="818" t="s">
        <v>616</v>
      </c>
      <c r="E61" s="895">
        <v>0.5</v>
      </c>
      <c r="F61" s="882">
        <v>80</v>
      </c>
    </row>
    <row r="62" spans="1:8" s="878" customFormat="1" ht="24">
      <c r="A62" s="882">
        <v>2</v>
      </c>
      <c r="B62" s="3278"/>
      <c r="C62" s="818" t="s">
        <v>617</v>
      </c>
      <c r="D62" s="818" t="s">
        <v>618</v>
      </c>
      <c r="E62" s="895">
        <v>0.5</v>
      </c>
      <c r="F62" s="882">
        <v>80</v>
      </c>
    </row>
    <row r="63" spans="1:8" s="878" customFormat="1" ht="36">
      <c r="A63" s="882">
        <v>3</v>
      </c>
      <c r="B63" s="3278"/>
      <c r="C63" s="818" t="s">
        <v>619</v>
      </c>
      <c r="D63" s="818" t="s">
        <v>620</v>
      </c>
      <c r="E63" s="895">
        <v>0.5</v>
      </c>
      <c r="F63" s="882">
        <v>80</v>
      </c>
    </row>
    <row r="64" spans="1:8" s="878" customFormat="1" ht="36">
      <c r="A64" s="882">
        <v>4</v>
      </c>
      <c r="B64" s="3278"/>
      <c r="C64" s="818" t="s">
        <v>621</v>
      </c>
      <c r="D64" s="818" t="s">
        <v>622</v>
      </c>
      <c r="E64" s="895">
        <v>0.4</v>
      </c>
      <c r="F64" s="882">
        <v>60</v>
      </c>
    </row>
    <row r="65" spans="1:6" s="878" customFormat="1" ht="36">
      <c r="A65" s="882">
        <v>5</v>
      </c>
      <c r="B65" s="3278"/>
      <c r="C65" s="818" t="s">
        <v>623</v>
      </c>
      <c r="D65" s="818" t="s">
        <v>624</v>
      </c>
      <c r="E65" s="895">
        <v>0.2</v>
      </c>
      <c r="F65" s="882">
        <v>30</v>
      </c>
    </row>
    <row r="66" spans="1:6" s="878" customFormat="1" ht="36">
      <c r="A66" s="882">
        <v>6</v>
      </c>
      <c r="B66" s="3278"/>
      <c r="C66" s="818" t="s">
        <v>625</v>
      </c>
      <c r="D66" s="818" t="s">
        <v>626</v>
      </c>
      <c r="E66" s="895">
        <v>0.3</v>
      </c>
      <c r="F66" s="882">
        <v>50</v>
      </c>
    </row>
    <row r="67" spans="1:6" s="878" customFormat="1" ht="36">
      <c r="A67" s="882">
        <v>7</v>
      </c>
      <c r="B67" s="3278"/>
      <c r="C67" s="818" t="s">
        <v>627</v>
      </c>
      <c r="D67" s="818" t="s">
        <v>628</v>
      </c>
      <c r="E67" s="895">
        <v>0.2</v>
      </c>
      <c r="F67" s="882">
        <v>30</v>
      </c>
    </row>
    <row r="68" spans="1:6" s="878" customFormat="1" ht="36">
      <c r="A68" s="882">
        <v>8</v>
      </c>
      <c r="B68" s="3278"/>
      <c r="C68" s="818" t="s">
        <v>629</v>
      </c>
      <c r="D68" s="818" t="s">
        <v>630</v>
      </c>
      <c r="E68" s="895">
        <v>0.2</v>
      </c>
      <c r="F68" s="882">
        <v>30</v>
      </c>
    </row>
    <row r="69" spans="1:6" s="878" customFormat="1" ht="36">
      <c r="A69" s="882">
        <v>9</v>
      </c>
      <c r="B69" s="3278"/>
      <c r="C69" s="818" t="s">
        <v>631</v>
      </c>
      <c r="D69" s="818" t="s">
        <v>632</v>
      </c>
      <c r="E69" s="895">
        <v>0.2</v>
      </c>
      <c r="F69" s="882">
        <v>30</v>
      </c>
    </row>
    <row r="70" spans="1:6" s="878" customFormat="1" ht="48">
      <c r="A70" s="882">
        <v>10</v>
      </c>
      <c r="B70" s="3278"/>
      <c r="C70" s="818" t="s">
        <v>633</v>
      </c>
      <c r="D70" s="818" t="s">
        <v>634</v>
      </c>
      <c r="E70" s="895">
        <v>0.2</v>
      </c>
      <c r="F70" s="882">
        <v>30</v>
      </c>
    </row>
    <row r="71" spans="1:6" s="878" customFormat="1" ht="48">
      <c r="A71" s="882">
        <v>11</v>
      </c>
      <c r="B71" s="3278"/>
      <c r="C71" s="818" t="s">
        <v>635</v>
      </c>
      <c r="D71" s="818" t="s">
        <v>636</v>
      </c>
      <c r="E71" s="895">
        <v>0.2</v>
      </c>
      <c r="F71" s="882">
        <v>30</v>
      </c>
    </row>
    <row r="72" spans="1:6" s="878" customFormat="1" ht="36">
      <c r="A72" s="882">
        <v>12</v>
      </c>
      <c r="B72" s="3278"/>
      <c r="C72" s="818" t="s">
        <v>637</v>
      </c>
      <c r="D72" s="818" t="s">
        <v>638</v>
      </c>
      <c r="E72" s="895">
        <v>0.5</v>
      </c>
      <c r="F72" s="882">
        <v>80</v>
      </c>
    </row>
    <row r="73" spans="1:6" s="878" customFormat="1" ht="24">
      <c r="A73" s="882">
        <v>13</v>
      </c>
      <c r="B73" s="3278"/>
      <c r="C73" s="818" t="s">
        <v>639</v>
      </c>
      <c r="D73" s="818" t="s">
        <v>640</v>
      </c>
      <c r="E73" s="895">
        <v>0.4</v>
      </c>
      <c r="F73" s="882">
        <v>60</v>
      </c>
    </row>
    <row r="74" spans="1:6" s="878" customFormat="1" ht="24">
      <c r="A74" s="882">
        <v>14</v>
      </c>
      <c r="B74" s="3278"/>
      <c r="C74" s="818" t="s">
        <v>641</v>
      </c>
      <c r="D74" s="818" t="s">
        <v>642</v>
      </c>
      <c r="E74" s="895">
        <v>0.2</v>
      </c>
      <c r="F74" s="882">
        <v>30</v>
      </c>
    </row>
    <row r="75" spans="1:6" s="878" customFormat="1" ht="24">
      <c r="A75" s="882">
        <v>15</v>
      </c>
      <c r="B75" s="3278"/>
      <c r="C75" s="818" t="s">
        <v>643</v>
      </c>
      <c r="D75" s="818" t="s">
        <v>644</v>
      </c>
      <c r="E75" s="895">
        <v>0.2</v>
      </c>
      <c r="F75" s="882">
        <v>30</v>
      </c>
    </row>
    <row r="76" spans="1:6" s="878" customFormat="1" ht="24">
      <c r="A76" s="882">
        <v>16</v>
      </c>
      <c r="B76" s="3278" t="s">
        <v>645</v>
      </c>
      <c r="C76" s="818" t="s">
        <v>646</v>
      </c>
      <c r="D76" s="818" t="s">
        <v>647</v>
      </c>
      <c r="E76" s="895">
        <v>0.5</v>
      </c>
      <c r="F76" s="882">
        <v>80</v>
      </c>
    </row>
    <row r="77" spans="1:6" s="878" customFormat="1" ht="24">
      <c r="A77" s="882">
        <v>17</v>
      </c>
      <c r="B77" s="3278"/>
      <c r="C77" s="818" t="s">
        <v>648</v>
      </c>
      <c r="D77" s="818" t="s">
        <v>649</v>
      </c>
      <c r="E77" s="895">
        <v>0.5</v>
      </c>
      <c r="F77" s="882">
        <v>80</v>
      </c>
    </row>
    <row r="78" spans="1:6" s="878" customFormat="1" ht="24">
      <c r="A78" s="882">
        <v>18</v>
      </c>
      <c r="B78" s="3278"/>
      <c r="C78" s="818" t="s">
        <v>650</v>
      </c>
      <c r="D78" s="818" t="s">
        <v>651</v>
      </c>
      <c r="E78" s="895">
        <v>0.2</v>
      </c>
      <c r="F78" s="882">
        <v>30</v>
      </c>
    </row>
    <row r="79" spans="1:6" s="878" customFormat="1" ht="24">
      <c r="A79" s="882">
        <v>19</v>
      </c>
      <c r="B79" s="3278"/>
      <c r="C79" s="818" t="s">
        <v>652</v>
      </c>
      <c r="D79" s="818" t="s">
        <v>653</v>
      </c>
      <c r="E79" s="895">
        <v>0.5</v>
      </c>
      <c r="F79" s="882">
        <v>80</v>
      </c>
    </row>
    <row r="80" spans="1:6" s="878" customFormat="1" ht="36">
      <c r="A80" s="882">
        <v>20</v>
      </c>
      <c r="B80" s="3278"/>
      <c r="C80" s="818" t="s">
        <v>654</v>
      </c>
      <c r="D80" s="818" t="s">
        <v>655</v>
      </c>
      <c r="E80" s="895">
        <v>0.2</v>
      </c>
      <c r="F80" s="882">
        <v>30</v>
      </c>
    </row>
    <row r="81" spans="1:6" s="878" customFormat="1" ht="36">
      <c r="A81" s="882">
        <v>21</v>
      </c>
      <c r="B81" s="3278"/>
      <c r="C81" s="818" t="s">
        <v>656</v>
      </c>
      <c r="D81" s="818" t="s">
        <v>657</v>
      </c>
      <c r="E81" s="895">
        <v>0.2</v>
      </c>
      <c r="F81" s="882">
        <v>30</v>
      </c>
    </row>
    <row r="82" spans="1:6" s="878" customFormat="1" ht="48">
      <c r="A82" s="882">
        <v>22</v>
      </c>
      <c r="B82" s="3278"/>
      <c r="C82" s="818" t="s">
        <v>658</v>
      </c>
      <c r="D82" s="818" t="s">
        <v>659</v>
      </c>
      <c r="E82" s="895">
        <v>0.2</v>
      </c>
      <c r="F82" s="882">
        <v>30</v>
      </c>
    </row>
    <row r="83" spans="1:6" s="878" customFormat="1" ht="48">
      <c r="A83" s="882">
        <v>23</v>
      </c>
      <c r="B83" s="3278"/>
      <c r="C83" s="818" t="s">
        <v>660</v>
      </c>
      <c r="D83" s="818" t="s">
        <v>661</v>
      </c>
      <c r="E83" s="895">
        <v>0.2</v>
      </c>
      <c r="F83" s="882">
        <v>30</v>
      </c>
    </row>
    <row r="84" spans="1:6" s="878" customFormat="1" ht="36">
      <c r="A84" s="882">
        <v>24</v>
      </c>
      <c r="B84" s="3278"/>
      <c r="C84" s="818" t="s">
        <v>662</v>
      </c>
      <c r="D84" s="818" t="s">
        <v>663</v>
      </c>
      <c r="E84" s="895">
        <v>0.2</v>
      </c>
      <c r="F84" s="882">
        <v>30</v>
      </c>
    </row>
    <row r="85" spans="1:6" s="878" customFormat="1" ht="36">
      <c r="A85" s="882">
        <v>25</v>
      </c>
      <c r="B85" s="3278"/>
      <c r="C85" s="818" t="s">
        <v>664</v>
      </c>
      <c r="D85" s="818" t="s">
        <v>665</v>
      </c>
      <c r="E85" s="895">
        <v>0.5</v>
      </c>
      <c r="F85" s="882">
        <v>80</v>
      </c>
    </row>
    <row r="86" spans="1:6" s="878" customFormat="1" ht="36">
      <c r="A86" s="882">
        <v>26</v>
      </c>
      <c r="B86" s="3278"/>
      <c r="C86" s="818" t="s">
        <v>666</v>
      </c>
      <c r="D86" s="818" t="s">
        <v>667</v>
      </c>
      <c r="E86" s="895">
        <v>0.2</v>
      </c>
      <c r="F86" s="882">
        <v>30</v>
      </c>
    </row>
    <row r="87" spans="1:6" s="878" customFormat="1" ht="36">
      <c r="A87" s="882">
        <v>27</v>
      </c>
      <c r="B87" s="3278"/>
      <c r="C87" s="818" t="s">
        <v>668</v>
      </c>
      <c r="D87" s="818" t="s">
        <v>669</v>
      </c>
      <c r="E87" s="895">
        <v>0.2</v>
      </c>
      <c r="F87" s="882">
        <v>30</v>
      </c>
    </row>
    <row r="88" spans="1:6" s="878" customFormat="1" ht="36">
      <c r="A88" s="882">
        <v>28</v>
      </c>
      <c r="B88" s="3278"/>
      <c r="C88" s="818" t="s">
        <v>670</v>
      </c>
      <c r="D88" s="818" t="s">
        <v>671</v>
      </c>
      <c r="E88" s="895">
        <v>0.2</v>
      </c>
      <c r="F88" s="882">
        <v>30</v>
      </c>
    </row>
    <row r="89" spans="1:6" s="878" customFormat="1" ht="24">
      <c r="A89" s="882">
        <v>29</v>
      </c>
      <c r="B89" s="3278"/>
      <c r="C89" s="818" t="s">
        <v>672</v>
      </c>
      <c r="D89" s="818" t="s">
        <v>673</v>
      </c>
      <c r="E89" s="895">
        <v>0.2</v>
      </c>
      <c r="F89" s="882">
        <v>30</v>
      </c>
    </row>
    <row r="90" spans="1:6" s="878" customFormat="1" ht="24">
      <c r="A90" s="882">
        <v>30</v>
      </c>
      <c r="B90" s="3278"/>
      <c r="C90" s="818" t="s">
        <v>674</v>
      </c>
      <c r="D90" s="818" t="s">
        <v>675</v>
      </c>
      <c r="E90" s="895">
        <v>0.2</v>
      </c>
      <c r="F90" s="882">
        <v>30</v>
      </c>
    </row>
    <row r="91" spans="1:6" s="878" customFormat="1" ht="36">
      <c r="A91" s="882">
        <v>31</v>
      </c>
      <c r="B91" s="3278"/>
      <c r="C91" s="818" t="s">
        <v>676</v>
      </c>
      <c r="D91" s="818" t="s">
        <v>677</v>
      </c>
      <c r="E91" s="895">
        <v>0.2</v>
      </c>
      <c r="F91" s="882">
        <v>30</v>
      </c>
    </row>
    <row r="92" spans="1:6" s="878" customFormat="1" ht="24">
      <c r="A92" s="882">
        <v>32</v>
      </c>
      <c r="B92" s="3278" t="s">
        <v>678</v>
      </c>
      <c r="C92" s="882" t="s">
        <v>679</v>
      </c>
      <c r="D92" s="818" t="s">
        <v>680</v>
      </c>
      <c r="E92" s="895">
        <v>0.2</v>
      </c>
      <c r="F92" s="882">
        <v>30</v>
      </c>
    </row>
    <row r="93" spans="1:6" s="878" customFormat="1" ht="36">
      <c r="A93" s="882">
        <v>33</v>
      </c>
      <c r="B93" s="3278"/>
      <c r="C93" s="882" t="s">
        <v>681</v>
      </c>
      <c r="D93" s="818" t="s">
        <v>682</v>
      </c>
      <c r="E93" s="895">
        <v>0.2</v>
      </c>
      <c r="F93" s="882">
        <v>30</v>
      </c>
    </row>
    <row r="94" spans="1:6" s="878" customFormat="1" ht="48">
      <c r="A94" s="882">
        <v>34</v>
      </c>
      <c r="B94" s="3278"/>
      <c r="C94" s="882" t="s">
        <v>683</v>
      </c>
      <c r="D94" s="818" t="s">
        <v>684</v>
      </c>
      <c r="E94" s="895">
        <v>0.2</v>
      </c>
      <c r="F94" s="882">
        <v>30</v>
      </c>
    </row>
    <row r="95" spans="1:6" s="878" customFormat="1" ht="36">
      <c r="A95" s="882">
        <v>35</v>
      </c>
      <c r="B95" s="3278"/>
      <c r="C95" s="882" t="s">
        <v>685</v>
      </c>
      <c r="D95" s="818" t="s">
        <v>686</v>
      </c>
      <c r="E95" s="895">
        <v>0.2</v>
      </c>
      <c r="F95" s="882">
        <v>30</v>
      </c>
    </row>
    <row r="96" spans="1:6" s="878" customFormat="1" ht="48">
      <c r="A96" s="882">
        <v>36</v>
      </c>
      <c r="B96" s="3278"/>
      <c r="C96" s="818" t="s">
        <v>687</v>
      </c>
      <c r="D96" s="818" t="s">
        <v>688</v>
      </c>
      <c r="E96" s="895">
        <v>0.2</v>
      </c>
      <c r="F96" s="882">
        <v>30</v>
      </c>
    </row>
    <row r="97" spans="1:6" s="878" customFormat="1" ht="36">
      <c r="A97" s="882">
        <v>37</v>
      </c>
      <c r="B97" s="3278"/>
      <c r="C97" s="882" t="s">
        <v>689</v>
      </c>
      <c r="D97" s="818" t="s">
        <v>690</v>
      </c>
      <c r="E97" s="895">
        <v>0.2</v>
      </c>
      <c r="F97" s="882">
        <v>30</v>
      </c>
    </row>
    <row r="98" spans="1:6" s="878" customFormat="1" ht="36">
      <c r="A98" s="882">
        <v>38</v>
      </c>
      <c r="B98" s="3278"/>
      <c r="C98" s="882" t="s">
        <v>691</v>
      </c>
      <c r="D98" s="818" t="s">
        <v>692</v>
      </c>
      <c r="E98" s="895">
        <v>0.2</v>
      </c>
      <c r="F98" s="882">
        <v>30</v>
      </c>
    </row>
    <row r="99" spans="1:6" s="878" customFormat="1" ht="36">
      <c r="A99" s="882">
        <v>39</v>
      </c>
      <c r="B99" s="3278" t="s">
        <v>693</v>
      </c>
      <c r="C99" s="882" t="s">
        <v>694</v>
      </c>
      <c r="D99" s="818" t="s">
        <v>695</v>
      </c>
      <c r="E99" s="895">
        <v>0.3</v>
      </c>
      <c r="F99" s="882">
        <v>50</v>
      </c>
    </row>
    <row r="100" spans="1:6" s="878" customFormat="1" ht="24">
      <c r="A100" s="882">
        <v>40</v>
      </c>
      <c r="B100" s="3278"/>
      <c r="C100" s="882" t="s">
        <v>696</v>
      </c>
      <c r="D100" s="818" t="s">
        <v>697</v>
      </c>
      <c r="E100" s="895">
        <v>0.2</v>
      </c>
      <c r="F100" s="882">
        <v>30</v>
      </c>
    </row>
    <row r="101" spans="1:6" s="878" customFormat="1" ht="36">
      <c r="A101" s="882">
        <v>41</v>
      </c>
      <c r="B101" s="327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8" t="s">
        <v>708</v>
      </c>
      <c r="C105" s="882" t="s">
        <v>709</v>
      </c>
      <c r="D105" s="818" t="s">
        <v>710</v>
      </c>
      <c r="E105" s="895">
        <v>0.2</v>
      </c>
      <c r="F105" s="882">
        <v>30</v>
      </c>
    </row>
    <row r="106" spans="1:6" s="878" customFormat="1" ht="36">
      <c r="A106" s="882">
        <v>46</v>
      </c>
      <c r="B106" s="3278"/>
      <c r="C106" s="882" t="s">
        <v>711</v>
      </c>
      <c r="D106" s="818" t="s">
        <v>712</v>
      </c>
      <c r="E106" s="895">
        <v>0.2</v>
      </c>
      <c r="F106" s="882">
        <v>30</v>
      </c>
    </row>
    <row r="107" spans="1:6" s="878" customFormat="1" ht="36">
      <c r="A107" s="882">
        <v>47</v>
      </c>
      <c r="B107" s="3278" t="s">
        <v>713</v>
      </c>
      <c r="C107" s="882" t="s">
        <v>714</v>
      </c>
      <c r="D107" s="818" t="s">
        <v>715</v>
      </c>
      <c r="E107" s="895">
        <v>0.3</v>
      </c>
      <c r="F107" s="882">
        <v>50</v>
      </c>
    </row>
    <row r="108" spans="1:6" s="878" customFormat="1" ht="36">
      <c r="A108" s="882">
        <v>48</v>
      </c>
      <c r="B108" s="327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8" t="s">
        <v>724</v>
      </c>
      <c r="C111" s="882" t="s">
        <v>725</v>
      </c>
      <c r="D111" s="818" t="s">
        <v>726</v>
      </c>
      <c r="E111" s="895">
        <v>0.2</v>
      </c>
      <c r="F111" s="882">
        <v>30</v>
      </c>
    </row>
    <row r="112" spans="1:6" s="878" customFormat="1" ht="24">
      <c r="A112" s="882">
        <v>52</v>
      </c>
      <c r="B112" s="3278"/>
      <c r="C112" s="882" t="s">
        <v>727</v>
      </c>
      <c r="D112" s="818" t="s">
        <v>728</v>
      </c>
      <c r="E112" s="895">
        <v>0.2</v>
      </c>
      <c r="F112" s="882">
        <v>30</v>
      </c>
    </row>
    <row r="113" spans="1:6" s="878" customFormat="1" ht="24">
      <c r="A113" s="882">
        <v>53</v>
      </c>
      <c r="B113" s="327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8" t="s">
        <v>737</v>
      </c>
      <c r="C116" s="882" t="s">
        <v>738</v>
      </c>
      <c r="D116" s="818" t="s">
        <v>739</v>
      </c>
      <c r="E116" s="895">
        <v>0.2</v>
      </c>
      <c r="F116" s="882">
        <v>30</v>
      </c>
    </row>
    <row r="117" spans="1:6" ht="36">
      <c r="A117" s="882">
        <v>57</v>
      </c>
      <c r="B117" s="327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0.84279999999999999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2993</v>
      </c>
    </row>
    <row r="2" spans="1:5" ht="15.75">
      <c r="A2" s="2900" t="s">
        <v>2985</v>
      </c>
      <c r="B2" s="2901">
        <f ca="1">SUMIF(B6:B13,"&lt;&gt;#ref!",B6:B13)</f>
        <v>20171</v>
      </c>
      <c r="C2" s="2900" t="s">
        <v>2986</v>
      </c>
      <c r="D2" s="2900" t="s">
        <v>2987</v>
      </c>
      <c r="E2" s="2901">
        <f ca="1">SUMIF(E6:E13,"&lt;&gt;#ref!",E6:E13)</f>
        <v>8276.64</v>
      </c>
    </row>
    <row r="3" spans="1:5" ht="15.75">
      <c r="A3" s="2900" t="s">
        <v>2988</v>
      </c>
      <c r="B3" s="2901">
        <f ca="1">ROUND(B2*10000/E2,0)</f>
        <v>24371</v>
      </c>
      <c r="C3" s="2900" t="s">
        <v>2994</v>
      </c>
      <c r="D3" s="2902"/>
      <c r="E3" s="2902"/>
    </row>
    <row r="4" spans="1:5" ht="15.75">
      <c r="A4" s="2903"/>
      <c r="B4" s="2902"/>
      <c r="C4" s="2902"/>
      <c r="D4" s="2902"/>
      <c r="E4" s="2902"/>
    </row>
    <row r="5" spans="1:5" ht="28.5">
      <c r="A5" s="2904" t="s">
        <v>2989</v>
      </c>
      <c r="B5" s="2900" t="s">
        <v>2990</v>
      </c>
      <c r="C5" s="2901"/>
      <c r="D5" s="2902"/>
      <c r="E5" s="2900" t="s">
        <v>2991</v>
      </c>
    </row>
    <row r="6" spans="1:5" ht="15.75">
      <c r="A6" s="2905" t="s">
        <v>2992</v>
      </c>
      <c r="B6" s="2901">
        <f ca="1">SUMIF(INDIRECT("'"&amp;A6&amp;"'"&amp;"!A:A"),"总价",INDIRECT("'"&amp;A6&amp;"'"&amp;"!B:B"))</f>
        <v>20171</v>
      </c>
      <c r="C6" s="2900" t="s">
        <v>2986</v>
      </c>
      <c r="D6" s="2902"/>
      <c r="E6" s="2573">
        <f ca="1">SUMIF(INDIRECT("'"&amp;A6&amp;"'"&amp;"!C:C"),"建筑面积",INDIRECT("'"&amp;A6&amp;"'"&amp;"!D:D"))</f>
        <v>8276.64</v>
      </c>
    </row>
    <row r="7" spans="1:5" ht="15.75">
      <c r="A7" s="2905"/>
      <c r="B7" s="2901" t="e">
        <f ca="1">SUMIF(INDIRECT("'"&amp;A7&amp;"'"&amp;"!A:A"),"总价",INDIRECT("'"&amp;A7&amp;"'"&amp;"!B:B"))</f>
        <v>#REF!</v>
      </c>
      <c r="C7" s="2900" t="s">
        <v>2986</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2986</v>
      </c>
      <c r="D8" s="2902"/>
      <c r="E8" s="2573" t="e">
        <f t="shared" ca="1" si="0"/>
        <v>#REF!</v>
      </c>
    </row>
    <row r="9" spans="1:5" ht="15.75">
      <c r="A9" s="2905"/>
      <c r="B9" s="2901" t="e">
        <f t="shared" ca="1" si="1"/>
        <v>#REF!</v>
      </c>
      <c r="C9" s="2900" t="s">
        <v>2986</v>
      </c>
      <c r="D9" s="2902"/>
      <c r="E9" s="2573" t="e">
        <f t="shared" ca="1" si="0"/>
        <v>#REF!</v>
      </c>
    </row>
    <row r="10" spans="1:5" ht="15.75">
      <c r="A10" s="2905"/>
      <c r="B10" s="2901" t="e">
        <f t="shared" ca="1" si="1"/>
        <v>#REF!</v>
      </c>
      <c r="C10" s="2900" t="s">
        <v>2986</v>
      </c>
      <c r="D10" s="2902"/>
      <c r="E10" s="2573" t="e">
        <f t="shared" ca="1" si="0"/>
        <v>#REF!</v>
      </c>
    </row>
    <row r="11" spans="1:5" ht="15.75">
      <c r="A11" s="2905"/>
      <c r="B11" s="2901" t="e">
        <f t="shared" ca="1" si="1"/>
        <v>#REF!</v>
      </c>
      <c r="C11" s="2900" t="s">
        <v>2986</v>
      </c>
      <c r="D11" s="2902"/>
      <c r="E11" s="2573" t="e">
        <f t="shared" ca="1" si="0"/>
        <v>#REF!</v>
      </c>
    </row>
    <row r="12" spans="1:5" ht="15.75">
      <c r="A12" s="2905"/>
      <c r="B12" s="2901" t="e">
        <f t="shared" ca="1" si="1"/>
        <v>#REF!</v>
      </c>
      <c r="C12" s="2900" t="s">
        <v>2986</v>
      </c>
      <c r="D12" s="2902"/>
      <c r="E12" s="2573" t="e">
        <f t="shared" ca="1" si="0"/>
        <v>#REF!</v>
      </c>
    </row>
    <row r="13" spans="1:5" ht="15.75">
      <c r="A13" s="2905"/>
      <c r="B13" s="2901" t="e">
        <f t="shared" ca="1" si="1"/>
        <v>#REF!</v>
      </c>
      <c r="C13" s="2900" t="s">
        <v>2986</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B3" sqref="B3"/>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4" t="s">
        <v>1146</v>
      </c>
      <c r="C1" s="3284"/>
      <c r="D1" s="3284"/>
      <c r="E1" s="3284"/>
      <c r="F1" s="3284"/>
      <c r="G1" s="3280" t="s">
        <v>1147</v>
      </c>
      <c r="H1" s="3280"/>
      <c r="I1" s="3280"/>
      <c r="J1" s="3280"/>
      <c r="K1" s="3280"/>
      <c r="L1" s="3280"/>
      <c r="N1" s="3280" t="s">
        <v>1148</v>
      </c>
      <c r="O1" s="3280"/>
      <c r="P1" s="3280"/>
      <c r="Q1" s="3280"/>
      <c r="R1" s="1446"/>
      <c r="S1" s="3280" t="s">
        <v>1149</v>
      </c>
      <c r="T1" s="3280"/>
      <c r="U1" s="3280"/>
      <c r="V1" s="3280"/>
      <c r="X1" s="3279" t="s">
        <v>1150</v>
      </c>
      <c r="Y1" s="3280"/>
      <c r="Z1" s="3280"/>
      <c r="AA1" s="3280"/>
      <c r="AB1" s="3280"/>
      <c r="AD1" s="3279" t="s">
        <v>1151</v>
      </c>
      <c r="AE1" s="3280"/>
      <c r="AF1" s="3280"/>
      <c r="AG1" s="3280"/>
      <c r="AH1" s="3280"/>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6" customFormat="1" ht="14.25">
      <c r="A3" s="2925" t="s">
        <v>3028</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3046</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8">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3029</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3045</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8">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3043</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4">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3041</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3044</v>
      </c>
      <c r="B9" s="2945">
        <f t="shared" ref="B9" si="46">B10*(1+N9)</f>
        <v>464.37293017158942</v>
      </c>
      <c r="C9" s="2945">
        <f t="shared" ref="C9" si="47">C10*(1+O9)</f>
        <v>344.73679941385956</v>
      </c>
      <c r="D9" s="2945">
        <f t="shared" ref="D9" si="48">C9</f>
        <v>344.73679941385956</v>
      </c>
      <c r="E9" s="2945">
        <f t="shared" ref="E9" si="49">E10*(1+P9)</f>
        <v>663.2377795103107</v>
      </c>
      <c r="F9" s="2946">
        <f t="shared" ref="F9" si="50">F10*(1+Q9)</f>
        <v>304.75936311478398</v>
      </c>
      <c r="G9" s="3282">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3035</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82"/>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3034</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82"/>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3027</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9"/>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3024</v>
      </c>
      <c r="B13" s="1469">
        <v>439</v>
      </c>
      <c r="C13" s="1469">
        <v>327</v>
      </c>
      <c r="D13" s="1469">
        <f>C13</f>
        <v>327</v>
      </c>
      <c r="E13" s="1469">
        <v>627</v>
      </c>
      <c r="F13" s="1470">
        <v>283</v>
      </c>
      <c r="G13" s="3285">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3025</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82"/>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1381</v>
      </c>
      <c r="B15" s="1477">
        <f t="shared" si="94"/>
        <v>419.31181600000002</v>
      </c>
      <c r="C15" s="1477">
        <f t="shared" si="95"/>
        <v>313.95436800000004</v>
      </c>
      <c r="D15" s="1477">
        <f t="shared" si="96"/>
        <v>313.95436800000004</v>
      </c>
      <c r="E15" s="1477">
        <f t="shared" si="97"/>
        <v>596.63028431999999</v>
      </c>
      <c r="F15" s="1477">
        <f t="shared" si="98"/>
        <v>274.74220703999998</v>
      </c>
      <c r="G15" s="3282"/>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1157</v>
      </c>
      <c r="B16" s="1477">
        <f>B17*(1+N16)</f>
        <v>405.524</v>
      </c>
      <c r="C16" s="1477">
        <f>C17*(1+O16)</f>
        <v>307.79840000000002</v>
      </c>
      <c r="D16" s="1477">
        <f>C16</f>
        <v>307.79840000000002</v>
      </c>
      <c r="E16" s="1477">
        <f>E17*(1+P16)</f>
        <v>574.67759999999998</v>
      </c>
      <c r="F16" s="1477">
        <f>F17*(1+Q16)</f>
        <v>270.20280000000002</v>
      </c>
      <c r="G16" s="3289"/>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5">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82"/>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82"/>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83"/>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81">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82"/>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82"/>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83"/>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81">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82"/>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82"/>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83"/>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1158</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1159</v>
      </c>
      <c r="B29" s="1469">
        <v>299</v>
      </c>
      <c r="C29" s="1469">
        <v>252</v>
      </c>
      <c r="D29" s="1469">
        <f t="shared" si="108"/>
        <v>252</v>
      </c>
      <c r="E29" s="1469">
        <v>409</v>
      </c>
      <c r="F29" s="1470">
        <v>227</v>
      </c>
      <c r="G29" s="3286">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1160</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7"/>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1161</v>
      </c>
      <c r="B31" s="1477">
        <f t="shared" si="117"/>
        <v>288.2649053828776</v>
      </c>
      <c r="C31" s="1477">
        <f t="shared" si="117"/>
        <v>243.64564425013293</v>
      </c>
      <c r="D31" s="1477">
        <f t="shared" si="108"/>
        <v>243.64564425013293</v>
      </c>
      <c r="E31" s="1477">
        <f t="shared" si="118"/>
        <v>393.31080825986544</v>
      </c>
      <c r="F31" s="1477">
        <f t="shared" si="118"/>
        <v>223.07903790551154</v>
      </c>
      <c r="G31" s="3287"/>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1162</v>
      </c>
      <c r="B32" s="1477">
        <f t="shared" si="117"/>
        <v>282.50186729015837</v>
      </c>
      <c r="C32" s="1477">
        <f t="shared" si="117"/>
        <v>238.09796174155468</v>
      </c>
      <c r="D32" s="1477">
        <f t="shared" si="108"/>
        <v>238.09796174155468</v>
      </c>
      <c r="E32" s="1477">
        <f t="shared" si="118"/>
        <v>385.33438646014054</v>
      </c>
      <c r="F32" s="1477">
        <f t="shared" si="118"/>
        <v>221.55034055567739</v>
      </c>
      <c r="G32" s="3288"/>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1163</v>
      </c>
      <c r="B33" s="1511">
        <v>278</v>
      </c>
      <c r="C33" s="1511">
        <v>234</v>
      </c>
      <c r="D33" s="1511">
        <f t="shared" si="108"/>
        <v>234</v>
      </c>
      <c r="E33" s="1511">
        <v>379</v>
      </c>
      <c r="F33" s="1512">
        <v>220</v>
      </c>
      <c r="G33" s="3281">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1164</v>
      </c>
      <c r="B34" s="1477">
        <f>B33/(1+N33)</f>
        <v>275.49301357645425</v>
      </c>
      <c r="C34" s="1477">
        <f>C33/(1+O33)</f>
        <v>232.41954707985698</v>
      </c>
      <c r="D34" s="1477">
        <f t="shared" si="108"/>
        <v>232.41954707985698</v>
      </c>
      <c r="E34" s="1477">
        <f t="shared" ref="E34:F36" si="119">E33/(1+P33)</f>
        <v>375.32184591008121</v>
      </c>
      <c r="F34" s="1477">
        <f t="shared" si="119"/>
        <v>218.03766105054513</v>
      </c>
      <c r="G34" s="3282"/>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1165</v>
      </c>
      <c r="B35" s="1477">
        <f>B34/(1+N34)</f>
        <v>275.24529281292263</v>
      </c>
      <c r="C35" s="1477">
        <f>C34/(1+O34)</f>
        <v>231.74747938962707</v>
      </c>
      <c r="D35" s="1477">
        <f t="shared" si="108"/>
        <v>231.74747938962707</v>
      </c>
      <c r="E35" s="1477">
        <f t="shared" si="119"/>
        <v>375.35938184826603</v>
      </c>
      <c r="F35" s="1477">
        <f t="shared" si="119"/>
        <v>216.78033510692495</v>
      </c>
      <c r="G35" s="3282"/>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1166</v>
      </c>
      <c r="B36" s="1477">
        <f>B35/(1+N35)</f>
        <v>275.19025476197027</v>
      </c>
      <c r="C36" s="1513">
        <v>232</v>
      </c>
      <c r="D36" s="1513">
        <f t="shared" si="108"/>
        <v>232</v>
      </c>
      <c r="E36" s="1477">
        <f t="shared" si="119"/>
        <v>375.65990977608692</v>
      </c>
      <c r="F36" s="1477">
        <f t="shared" si="119"/>
        <v>214.12518283971252</v>
      </c>
      <c r="G36" s="3283"/>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1167</v>
      </c>
      <c r="B37" s="1469">
        <v>275</v>
      </c>
      <c r="C37" s="1469">
        <v>232</v>
      </c>
      <c r="D37" s="1469">
        <f t="shared" si="108"/>
        <v>232</v>
      </c>
      <c r="E37" s="1469">
        <v>376</v>
      </c>
      <c r="F37" s="1470">
        <v>213</v>
      </c>
      <c r="G37" s="3281">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1168</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82">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1169</v>
      </c>
      <c r="B39" s="1477">
        <f t="shared" si="120"/>
        <v>275.19335084830601</v>
      </c>
      <c r="C39" s="1477">
        <f t="shared" si="120"/>
        <v>230.18088050139744</v>
      </c>
      <c r="D39" s="1477">
        <f t="shared" si="108"/>
        <v>230.18088050139744</v>
      </c>
      <c r="E39" s="1477">
        <f t="shared" si="121"/>
        <v>377.58482925212331</v>
      </c>
      <c r="F39" s="1477">
        <f t="shared" si="121"/>
        <v>210.90687997847917</v>
      </c>
      <c r="G39" s="3282">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1170</v>
      </c>
      <c r="B40" s="1477">
        <f t="shared" si="120"/>
        <v>276.29854502841971</v>
      </c>
      <c r="C40" s="1477">
        <f t="shared" si="120"/>
        <v>229.79023709833027</v>
      </c>
      <c r="D40" s="1477">
        <f t="shared" si="108"/>
        <v>229.79023709833027</v>
      </c>
      <c r="E40" s="1477">
        <f t="shared" si="121"/>
        <v>379.78759731655936</v>
      </c>
      <c r="F40" s="1477">
        <f t="shared" si="121"/>
        <v>211.32953905659235</v>
      </c>
      <c r="G40" s="3283">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1171</v>
      </c>
      <c r="B41" s="1469">
        <v>269</v>
      </c>
      <c r="C41" s="1469">
        <v>221</v>
      </c>
      <c r="D41" s="1469">
        <f t="shared" si="108"/>
        <v>221</v>
      </c>
      <c r="E41" s="1469">
        <v>373</v>
      </c>
      <c r="F41" s="1470">
        <v>196</v>
      </c>
      <c r="G41" s="3281">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1172</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82">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1173</v>
      </c>
      <c r="B43" s="1477">
        <f t="shared" si="122"/>
        <v>242.95398227588385</v>
      </c>
      <c r="C43" s="1477">
        <f t="shared" si="122"/>
        <v>199.59137053614126</v>
      </c>
      <c r="D43" s="1477">
        <f t="shared" si="108"/>
        <v>199.59137053614126</v>
      </c>
      <c r="E43" s="1477">
        <f t="shared" si="123"/>
        <v>335.92189522342125</v>
      </c>
      <c r="F43" s="1477">
        <f t="shared" si="123"/>
        <v>183.10139991109489</v>
      </c>
      <c r="G43" s="3282">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1174</v>
      </c>
      <c r="B44" s="1477">
        <f t="shared" si="122"/>
        <v>232.06990378821649</v>
      </c>
      <c r="C44" s="1477">
        <f t="shared" si="122"/>
        <v>192.74878854286936</v>
      </c>
      <c r="D44" s="1477">
        <f t="shared" si="108"/>
        <v>192.74878854286936</v>
      </c>
      <c r="E44" s="1477">
        <f t="shared" si="123"/>
        <v>319.71247284992984</v>
      </c>
      <c r="F44" s="1477">
        <f t="shared" si="123"/>
        <v>175.67053622862409</v>
      </c>
      <c r="G44" s="3283">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1175</v>
      </c>
      <c r="B45" s="1469">
        <v>220</v>
      </c>
      <c r="C45" s="1469">
        <v>187</v>
      </c>
      <c r="D45" s="1469">
        <f t="shared" si="108"/>
        <v>187</v>
      </c>
      <c r="E45" s="1469">
        <v>301</v>
      </c>
      <c r="F45" s="1470">
        <v>168</v>
      </c>
      <c r="G45" s="3281">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1176</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82">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1177</v>
      </c>
      <c r="B47" s="1477">
        <f t="shared" si="124"/>
        <v>210.630522469011</v>
      </c>
      <c r="C47" s="1477">
        <f t="shared" si="124"/>
        <v>181.69567812247232</v>
      </c>
      <c r="D47" s="1477">
        <f t="shared" si="108"/>
        <v>181.69567812247232</v>
      </c>
      <c r="E47" s="1477">
        <f t="shared" si="125"/>
        <v>286.13517466736738</v>
      </c>
      <c r="F47" s="1477">
        <f t="shared" si="125"/>
        <v>165.47535084591149</v>
      </c>
      <c r="G47" s="3282">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1178</v>
      </c>
      <c r="B48" s="1477">
        <f t="shared" si="124"/>
        <v>208.83454537875372</v>
      </c>
      <c r="C48" s="1477">
        <f t="shared" si="124"/>
        <v>183.77230517090351</v>
      </c>
      <c r="D48" s="1477">
        <f t="shared" si="108"/>
        <v>183.77230517090351</v>
      </c>
      <c r="E48" s="1477">
        <f t="shared" si="125"/>
        <v>281.10342338870947</v>
      </c>
      <c r="F48" s="1477">
        <f t="shared" si="125"/>
        <v>168.97309388942256</v>
      </c>
      <c r="G48" s="3283">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1179</v>
      </c>
      <c r="B49" s="1511">
        <v>214</v>
      </c>
      <c r="C49" s="1511">
        <v>188</v>
      </c>
      <c r="D49" s="1511">
        <f t="shared" si="108"/>
        <v>188</v>
      </c>
      <c r="E49" s="1511">
        <v>289</v>
      </c>
      <c r="F49" s="1512">
        <v>166</v>
      </c>
      <c r="G49" s="3281">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1180</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82">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1181</v>
      </c>
      <c r="B51" s="1477">
        <f t="shared" si="126"/>
        <v>206.31694671589116</v>
      </c>
      <c r="C51" s="1477">
        <f t="shared" si="126"/>
        <v>183.61041121036101</v>
      </c>
      <c r="D51" s="1477">
        <f t="shared" si="108"/>
        <v>183.61041121036101</v>
      </c>
      <c r="E51" s="1477">
        <f t="shared" si="127"/>
        <v>276.66850301795557</v>
      </c>
      <c r="F51" s="1477">
        <f t="shared" si="127"/>
        <v>165.1360938278614</v>
      </c>
      <c r="G51" s="3282">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1182</v>
      </c>
      <c r="B52" s="1514">
        <f t="shared" si="126"/>
        <v>196.62341248059772</v>
      </c>
      <c r="C52" s="1514">
        <f t="shared" si="126"/>
        <v>170.99125648199012</v>
      </c>
      <c r="D52" s="1514">
        <f t="shared" si="108"/>
        <v>170.99125648199012</v>
      </c>
      <c r="E52" s="1514">
        <f t="shared" si="127"/>
        <v>266.07857570490052</v>
      </c>
      <c r="F52" s="1514">
        <f t="shared" si="127"/>
        <v>154.53499328828505</v>
      </c>
      <c r="G52" s="3283">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1183</v>
      </c>
      <c r="B53" s="1469">
        <v>188</v>
      </c>
      <c r="C53" s="1469">
        <v>165</v>
      </c>
      <c r="D53" s="1469">
        <f t="shared" si="108"/>
        <v>165</v>
      </c>
      <c r="E53" s="1469">
        <v>254</v>
      </c>
      <c r="F53" s="1470">
        <v>148</v>
      </c>
      <c r="G53" s="3281">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1184</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82">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1185</v>
      </c>
      <c r="B55" s="1477">
        <f t="shared" si="130"/>
        <v>168.82017748715555</v>
      </c>
      <c r="C55" s="1477">
        <f t="shared" si="130"/>
        <v>148.06267029972753</v>
      </c>
      <c r="D55" s="1477">
        <f t="shared" si="108"/>
        <v>148.06267029972753</v>
      </c>
      <c r="E55" s="1477">
        <f t="shared" si="131"/>
        <v>216.46288379323747</v>
      </c>
      <c r="F55" s="1477">
        <f t="shared" si="131"/>
        <v>134.23529411764704</v>
      </c>
      <c r="G55" s="3282">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1186</v>
      </c>
      <c r="B56" s="1477">
        <f t="shared" si="130"/>
        <v>163.84913591779542</v>
      </c>
      <c r="C56" s="1477">
        <f t="shared" si="130"/>
        <v>145.0283378746594</v>
      </c>
      <c r="D56" s="1477">
        <f t="shared" si="108"/>
        <v>145.0283378746594</v>
      </c>
      <c r="E56" s="1477">
        <f t="shared" si="131"/>
        <v>204.95180722891567</v>
      </c>
      <c r="F56" s="1477">
        <f t="shared" si="131"/>
        <v>125.95920303605313</v>
      </c>
      <c r="G56" s="3283">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1187</v>
      </c>
      <c r="B57" s="1490">
        <v>159</v>
      </c>
      <c r="C57" s="1490">
        <v>141</v>
      </c>
      <c r="D57" s="1490">
        <f t="shared" si="108"/>
        <v>141</v>
      </c>
      <c r="E57" s="1490">
        <v>195</v>
      </c>
      <c r="F57" s="1491">
        <v>122</v>
      </c>
      <c r="G57" s="3281">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1188</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82">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1189</v>
      </c>
      <c r="B59" s="1477">
        <f t="shared" si="134"/>
        <v>146.57412060301507</v>
      </c>
      <c r="C59" s="1477">
        <f t="shared" si="134"/>
        <v>136.46831955922866</v>
      </c>
      <c r="D59" s="1477">
        <f t="shared" si="108"/>
        <v>136.46831955922866</v>
      </c>
      <c r="E59" s="1477">
        <f t="shared" si="135"/>
        <v>166.73864894795128</v>
      </c>
      <c r="F59" s="1477">
        <f t="shared" si="135"/>
        <v>115.05882352941177</v>
      </c>
      <c r="G59" s="3282">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1190</v>
      </c>
      <c r="B60" s="1477">
        <f t="shared" si="134"/>
        <v>144.04145728643215</v>
      </c>
      <c r="C60" s="1477">
        <f t="shared" si="134"/>
        <v>136.12396694214877</v>
      </c>
      <c r="D60" s="1477">
        <f t="shared" si="108"/>
        <v>136.12396694214877</v>
      </c>
      <c r="E60" s="1477">
        <f t="shared" si="135"/>
        <v>158.32225913621264</v>
      </c>
      <c r="F60" s="1477">
        <f t="shared" si="135"/>
        <v>114.04278074866311</v>
      </c>
      <c r="G60" s="3283">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1191</v>
      </c>
      <c r="B61" s="1490">
        <v>138</v>
      </c>
      <c r="C61" s="1490">
        <v>131</v>
      </c>
      <c r="D61" s="1490">
        <f t="shared" si="108"/>
        <v>131</v>
      </c>
      <c r="E61" s="1490">
        <v>155</v>
      </c>
      <c r="F61" s="1491">
        <v>114</v>
      </c>
      <c r="G61" s="3281">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1192</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82">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1193</v>
      </c>
      <c r="B63" s="1477">
        <f t="shared" si="138"/>
        <v>124.29032258064517</v>
      </c>
      <c r="C63" s="1477">
        <f t="shared" si="138"/>
        <v>123.8968609865471</v>
      </c>
      <c r="D63" s="1477">
        <f t="shared" si="108"/>
        <v>123.8968609865471</v>
      </c>
      <c r="E63" s="1477">
        <f t="shared" si="139"/>
        <v>138.00507614213197</v>
      </c>
      <c r="F63" s="1477">
        <f t="shared" si="139"/>
        <v>107.96106557377048</v>
      </c>
      <c r="G63" s="3282">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1194</v>
      </c>
      <c r="B64" s="1477">
        <f t="shared" si="138"/>
        <v>122.57204301075269</v>
      </c>
      <c r="C64" s="1477">
        <f t="shared" si="138"/>
        <v>123.4932735426009</v>
      </c>
      <c r="D64" s="1477">
        <f t="shared" si="108"/>
        <v>123.4932735426009</v>
      </c>
      <c r="E64" s="1477">
        <f t="shared" si="139"/>
        <v>129.82233502538071</v>
      </c>
      <c r="F64" s="1477">
        <f t="shared" si="139"/>
        <v>107.39446721311475</v>
      </c>
      <c r="G64" s="3283">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1195</v>
      </c>
      <c r="B65" s="1511">
        <v>121</v>
      </c>
      <c r="C65" s="1511">
        <v>122</v>
      </c>
      <c r="D65" s="1511">
        <f t="shared" si="108"/>
        <v>122</v>
      </c>
      <c r="E65" s="1511">
        <v>124</v>
      </c>
      <c r="F65" s="1512">
        <v>107</v>
      </c>
      <c r="G65" s="3281">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1196</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82">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1197</v>
      </c>
      <c r="B67" s="1477">
        <f t="shared" si="142"/>
        <v>116.99099099099099</v>
      </c>
      <c r="C67" s="1477">
        <f t="shared" si="142"/>
        <v>118.84848484848486</v>
      </c>
      <c r="D67" s="1477">
        <f t="shared" si="108"/>
        <v>118.84848484848486</v>
      </c>
      <c r="E67" s="1477">
        <f t="shared" si="143"/>
        <v>117.60960960960961</v>
      </c>
      <c r="F67" s="1477">
        <f t="shared" si="143"/>
        <v>104</v>
      </c>
      <c r="G67" s="3282">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1198</v>
      </c>
      <c r="B68" s="1514">
        <f t="shared" si="142"/>
        <v>112.48648648648648</v>
      </c>
      <c r="C68" s="1514">
        <f t="shared" si="142"/>
        <v>115.21212121212122</v>
      </c>
      <c r="D68" s="1514">
        <f t="shared" si="108"/>
        <v>115.21212121212122</v>
      </c>
      <c r="E68" s="1514">
        <f t="shared" si="143"/>
        <v>110.4024024024024</v>
      </c>
      <c r="F68" s="1514">
        <f t="shared" si="143"/>
        <v>104</v>
      </c>
      <c r="G68" s="3283">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1199</v>
      </c>
      <c r="B69" s="1532">
        <v>111</v>
      </c>
      <c r="C69" s="1532">
        <v>114</v>
      </c>
      <c r="D69" s="1532">
        <f t="shared" si="108"/>
        <v>114</v>
      </c>
      <c r="E69" s="1532">
        <v>108</v>
      </c>
      <c r="F69" s="1533">
        <v>104</v>
      </c>
      <c r="G69" s="3281">
        <v>2003</v>
      </c>
      <c r="H69" s="1522">
        <v>4</v>
      </c>
      <c r="I69" s="1534"/>
      <c r="J69" s="1534"/>
      <c r="K69" s="1534"/>
      <c r="L69" s="1534"/>
      <c r="N69" s="1535"/>
      <c r="O69" s="1534"/>
      <c r="P69" s="1534"/>
      <c r="Q69" s="1534"/>
      <c r="S69" s="1535"/>
      <c r="T69" s="1534"/>
      <c r="U69" s="1534"/>
      <c r="V69" s="1534"/>
      <c r="X69" s="1526"/>
      <c r="Y69" s="1526"/>
      <c r="Z69" s="1526"/>
    </row>
    <row r="70" spans="1:26">
      <c r="A70" s="1461" t="s">
        <v>1200</v>
      </c>
      <c r="B70" s="1536">
        <f t="shared" ref="B70:C72" si="144">B71+(B$69-B$73)/4</f>
        <v>109.75</v>
      </c>
      <c r="C70" s="1536">
        <f t="shared" si="144"/>
        <v>112.25</v>
      </c>
      <c r="D70" s="1536">
        <f t="shared" si="108"/>
        <v>112.25</v>
      </c>
      <c r="E70" s="1536">
        <f t="shared" ref="E70:F72" si="145">E71+(E$69-E$73)/4</f>
        <v>107.25</v>
      </c>
      <c r="F70" s="1536">
        <f t="shared" si="145"/>
        <v>103.5</v>
      </c>
      <c r="G70" s="3282">
        <v>2003</v>
      </c>
      <c r="H70" s="1487">
        <v>3</v>
      </c>
      <c r="I70" s="1534"/>
      <c r="J70" s="1534"/>
      <c r="K70" s="1534"/>
      <c r="L70" s="1534"/>
      <c r="X70" s="1526"/>
      <c r="Y70" s="1526"/>
      <c r="Z70" s="1526"/>
    </row>
    <row r="71" spans="1:26">
      <c r="A71" s="1461" t="s">
        <v>1201</v>
      </c>
      <c r="B71" s="1536">
        <f t="shared" si="144"/>
        <v>108.5</v>
      </c>
      <c r="C71" s="1536">
        <f t="shared" si="144"/>
        <v>110.5</v>
      </c>
      <c r="D71" s="1536">
        <f t="shared" si="108"/>
        <v>110.5</v>
      </c>
      <c r="E71" s="1536">
        <f t="shared" si="145"/>
        <v>106.5</v>
      </c>
      <c r="F71" s="1536">
        <f t="shared" si="145"/>
        <v>103</v>
      </c>
      <c r="G71" s="3282">
        <v>2003</v>
      </c>
      <c r="H71" s="1465">
        <v>2</v>
      </c>
      <c r="I71" s="1534"/>
      <c r="J71" s="1534"/>
      <c r="K71" s="1534"/>
      <c r="L71" s="1534"/>
      <c r="X71" s="1526"/>
      <c r="Y71" s="1526"/>
      <c r="Z71" s="1526"/>
    </row>
    <row r="72" spans="1:26" ht="13.5" thickBot="1">
      <c r="A72" s="1461" t="s">
        <v>1202</v>
      </c>
      <c r="B72" s="1536">
        <f t="shared" si="144"/>
        <v>107.25</v>
      </c>
      <c r="C72" s="1536">
        <f t="shared" si="144"/>
        <v>108.75</v>
      </c>
      <c r="D72" s="1536">
        <f t="shared" si="108"/>
        <v>108.75</v>
      </c>
      <c r="E72" s="1536">
        <f t="shared" si="145"/>
        <v>105.75</v>
      </c>
      <c r="F72" s="1536">
        <f t="shared" si="145"/>
        <v>102.5</v>
      </c>
      <c r="G72" s="3283">
        <v>2003</v>
      </c>
      <c r="H72" s="1537">
        <v>1</v>
      </c>
      <c r="I72" s="1534"/>
      <c r="J72" s="1534"/>
      <c r="K72" s="1534"/>
      <c r="L72" s="1534"/>
      <c r="S72" s="1472"/>
      <c r="T72" s="1473"/>
      <c r="U72" s="1473"/>
      <c r="X72" s="1526"/>
      <c r="Y72" s="1526"/>
      <c r="Z72" s="1526"/>
    </row>
    <row r="73" spans="1:26" ht="13.5" thickBot="1">
      <c r="A73" s="1461" t="s">
        <v>1203</v>
      </c>
      <c r="B73" s="1538">
        <v>106</v>
      </c>
      <c r="C73" s="1538">
        <v>107</v>
      </c>
      <c r="D73" s="1538">
        <f t="shared" si="108"/>
        <v>107</v>
      </c>
      <c r="E73" s="1538">
        <v>105</v>
      </c>
      <c r="F73" s="1539">
        <v>102</v>
      </c>
      <c r="G73" s="3281">
        <v>2002</v>
      </c>
      <c r="H73" s="1482">
        <v>4</v>
      </c>
      <c r="I73" s="1534"/>
      <c r="J73" s="1534"/>
      <c r="K73" s="1534"/>
      <c r="L73" s="1534"/>
      <c r="N73" s="1535"/>
      <c r="O73" s="1534"/>
      <c r="P73" s="1534"/>
      <c r="Q73" s="1534"/>
      <c r="S73" s="1535"/>
      <c r="T73" s="1534"/>
      <c r="U73" s="1534"/>
      <c r="V73" s="1534"/>
      <c r="X73" s="1526"/>
      <c r="Y73" s="1526"/>
      <c r="Z73" s="1526"/>
    </row>
    <row r="74" spans="1:26">
      <c r="A74" s="1461" t="s">
        <v>1204</v>
      </c>
      <c r="B74" s="1536">
        <f t="shared" ref="B74:C76" si="146">B75+(B$73-B$77)/4</f>
        <v>105</v>
      </c>
      <c r="C74" s="1536">
        <f t="shared" si="146"/>
        <v>106</v>
      </c>
      <c r="D74" s="1536">
        <f t="shared" si="108"/>
        <v>106</v>
      </c>
      <c r="E74" s="1536">
        <f t="shared" ref="E74:F76" si="147">E75+(E$73-E$77)/4</f>
        <v>104.5</v>
      </c>
      <c r="F74" s="1536">
        <f t="shared" si="147"/>
        <v>101.5</v>
      </c>
      <c r="G74" s="3282">
        <v>2002</v>
      </c>
      <c r="H74" s="1487">
        <v>3</v>
      </c>
      <c r="I74" s="1534"/>
      <c r="J74" s="1534"/>
      <c r="K74" s="1534"/>
      <c r="L74" s="1534"/>
      <c r="X74" s="1526"/>
      <c r="Y74" s="1526"/>
      <c r="Z74" s="1526"/>
    </row>
    <row r="75" spans="1:26">
      <c r="A75" s="1461" t="s">
        <v>1205</v>
      </c>
      <c r="B75" s="1536">
        <f t="shared" si="146"/>
        <v>104</v>
      </c>
      <c r="C75" s="1536">
        <f t="shared" si="146"/>
        <v>105</v>
      </c>
      <c r="D75" s="1536">
        <f t="shared" si="108"/>
        <v>105</v>
      </c>
      <c r="E75" s="1536">
        <f t="shared" si="147"/>
        <v>104</v>
      </c>
      <c r="F75" s="1536">
        <f t="shared" si="147"/>
        <v>101</v>
      </c>
      <c r="G75" s="3282">
        <v>2002</v>
      </c>
      <c r="H75" s="1465">
        <v>2</v>
      </c>
      <c r="I75" s="1534"/>
      <c r="J75" s="1534"/>
      <c r="K75" s="1534"/>
      <c r="L75" s="1534"/>
      <c r="X75" s="1526"/>
      <c r="Y75" s="1526"/>
      <c r="Z75" s="1526"/>
    </row>
    <row r="76" spans="1:26" s="1498" customFormat="1" ht="13.5" thickBot="1">
      <c r="A76" s="1494" t="s">
        <v>1206</v>
      </c>
      <c r="B76" s="1540">
        <f t="shared" si="146"/>
        <v>103</v>
      </c>
      <c r="C76" s="1540">
        <f t="shared" si="146"/>
        <v>104</v>
      </c>
      <c r="D76" s="1540">
        <f t="shared" si="108"/>
        <v>104</v>
      </c>
      <c r="E76" s="1540">
        <f t="shared" si="147"/>
        <v>103.5</v>
      </c>
      <c r="F76" s="1540">
        <f t="shared" si="147"/>
        <v>100.5</v>
      </c>
      <c r="G76" s="3283">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1207</v>
      </c>
      <c r="G79" s="1550"/>
      <c r="N79" s="1550"/>
      <c r="S79" s="1550"/>
    </row>
    <row r="80" spans="1:26" s="1549" customFormat="1">
      <c r="A80" s="1549" t="s">
        <v>1208</v>
      </c>
      <c r="G80" s="1550"/>
      <c r="N80" s="1550"/>
      <c r="S80" s="1550"/>
    </row>
    <row r="81" spans="1:22" s="1549" customFormat="1">
      <c r="A81" s="1549" t="s">
        <v>1209</v>
      </c>
      <c r="G81" s="1550"/>
      <c r="I81" s="1551"/>
      <c r="J81" s="1551"/>
      <c r="K81" s="1551"/>
      <c r="L81" s="1551"/>
      <c r="N81" s="1552"/>
      <c r="O81" s="1551"/>
      <c r="P81" s="1551"/>
      <c r="Q81" s="1551"/>
      <c r="S81" s="1552"/>
      <c r="T81" s="1551"/>
      <c r="U81" s="1551"/>
      <c r="V81" s="1551"/>
    </row>
    <row r="82" spans="1:22" s="1549" customFormat="1">
      <c r="A82" s="1549" t="s">
        <v>1210</v>
      </c>
      <c r="G82" s="1550"/>
      <c r="N82" s="1550"/>
      <c r="S82" s="1550"/>
    </row>
    <row r="89" spans="1:22" ht="13.5" thickBot="1"/>
    <row r="90" spans="1:22">
      <c r="G90" s="1471"/>
      <c r="S90" s="1553" t="s">
        <v>1211</v>
      </c>
      <c r="T90" s="1554" t="s">
        <v>1212</v>
      </c>
      <c r="U90" s="1554" t="s">
        <v>1213</v>
      </c>
      <c r="V90" s="1554" t="s">
        <v>1214</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2995</v>
      </c>
      <c r="C1" s="3291" t="s">
        <v>2996</v>
      </c>
      <c r="D1" s="3292"/>
      <c r="E1" s="3292"/>
      <c r="F1" s="3292"/>
      <c r="G1" s="3292"/>
      <c r="H1" s="3292"/>
      <c r="I1" s="3292"/>
      <c r="J1" s="3292"/>
      <c r="K1" s="3292"/>
      <c r="L1" s="3292"/>
      <c r="M1" s="3292"/>
      <c r="N1" s="3292"/>
      <c r="O1" s="3292"/>
      <c r="P1" s="3292"/>
      <c r="Q1" s="3292"/>
      <c r="R1" s="3292"/>
      <c r="S1" s="3293"/>
      <c r="T1" s="1204" t="s">
        <v>2997</v>
      </c>
    </row>
    <row r="2" spans="1:45" s="707" customFormat="1">
      <c r="A2" s="1205"/>
      <c r="B2" s="703" t="s">
        <v>2998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2999</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3000</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3001</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3002</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3003</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3004</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3005</v>
      </c>
      <c r="B17" s="2907" t="s">
        <v>3006</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3007</v>
      </c>
      <c r="E19" s="1792"/>
      <c r="F19" s="1792"/>
      <c r="G19" s="1792"/>
      <c r="H19" s="1280"/>
      <c r="I19" s="168"/>
      <c r="J19" s="168"/>
      <c r="K19" s="168"/>
      <c r="L19" s="168"/>
      <c r="M19" s="168"/>
      <c r="N19" s="168"/>
      <c r="O19" s="168"/>
      <c r="P19" s="168"/>
      <c r="Q19" s="168"/>
      <c r="R19" s="788"/>
      <c r="S19" s="138"/>
    </row>
    <row r="20" spans="1:45" ht="16.5" thickBot="1">
      <c r="A20" s="715" t="s">
        <v>3008</v>
      </c>
      <c r="B20" s="338" t="e">
        <f ca="1">IF(D20="——",S22,S22-F20)</f>
        <v>#REF!</v>
      </c>
      <c r="C20" s="168"/>
      <c r="D20" s="2909" t="s">
        <v>3009</v>
      </c>
      <c r="E20" s="1793"/>
      <c r="F20" s="1204" t="e">
        <f ca="1">SUMIF(INDIRECT("'"&amp;H20&amp;"'"&amp;"!A:A"),"承租人权益价值",INDIRECT("'"&amp;H20&amp;"'"&amp;"!c:c"))</f>
        <v>#REF!</v>
      </c>
      <c r="G20" s="1204" t="s">
        <v>3010</v>
      </c>
      <c r="H20" s="2910"/>
      <c r="I20" s="168"/>
      <c r="J20" s="168"/>
      <c r="K20" s="168"/>
      <c r="L20" s="168"/>
      <c r="M20" s="168"/>
      <c r="N20" s="168"/>
      <c r="O20" s="168"/>
      <c r="P20" s="168"/>
      <c r="Q20" s="168"/>
      <c r="R20" s="788"/>
      <c r="S20" s="138"/>
    </row>
    <row r="21" spans="1:45" ht="15.75">
      <c r="A21" s="715" t="s">
        <v>3011</v>
      </c>
      <c r="B21" s="338">
        <f>R22</f>
        <v>10000</v>
      </c>
      <c r="C21" s="168"/>
      <c r="D21" s="168"/>
      <c r="E21" s="168"/>
      <c r="F21" s="168"/>
      <c r="G21" s="168"/>
      <c r="H21" s="168"/>
      <c r="I21" s="168"/>
      <c r="J21" s="168"/>
      <c r="K21" s="168"/>
      <c r="L21" s="168"/>
      <c r="M21" s="168"/>
      <c r="N21" s="168"/>
      <c r="O21" s="168"/>
      <c r="P21" s="168"/>
      <c r="Q21" s="168"/>
      <c r="R21" s="788"/>
      <c r="S21" s="138"/>
    </row>
    <row r="22" spans="1:45">
      <c r="A22" s="361" t="s">
        <v>3012</v>
      </c>
      <c r="B22" s="24">
        <f>SUM(B24:B10000)</f>
        <v>100</v>
      </c>
      <c r="C22" s="3068" t="s">
        <v>33</v>
      </c>
      <c r="D22" s="3069"/>
      <c r="E22" s="3069"/>
      <c r="F22" s="3069"/>
      <c r="G22" s="3069"/>
      <c r="H22" s="3069"/>
      <c r="I22" s="3069"/>
      <c r="J22" s="3069"/>
      <c r="K22" s="3069"/>
      <c r="L22" s="3069"/>
      <c r="M22" s="3069"/>
      <c r="N22" s="3069"/>
      <c r="O22" s="3069"/>
      <c r="P22" s="3069"/>
      <c r="Q22" s="3290"/>
      <c r="R22" s="716">
        <f>ROUND(S22*10000/B22,0)</f>
        <v>10000</v>
      </c>
      <c r="S22" s="24">
        <f>SUM(S24:S10000)</f>
        <v>100</v>
      </c>
    </row>
    <row r="23" spans="1:45" s="12" customFormat="1" ht="24">
      <c r="A23" s="11" t="s">
        <v>3013</v>
      </c>
      <c r="B23" s="11" t="s">
        <v>3014</v>
      </c>
      <c r="C23" s="11" t="s">
        <v>3015</v>
      </c>
      <c r="D23" s="11" t="str">
        <f>B5</f>
        <v>修正项2</v>
      </c>
      <c r="E23" s="11" t="s">
        <v>3015</v>
      </c>
      <c r="F23" s="11" t="str">
        <f>B7</f>
        <v>修正项3</v>
      </c>
      <c r="G23" s="11" t="s">
        <v>3015</v>
      </c>
      <c r="H23" s="11" t="str">
        <f>B9</f>
        <v>修正项4</v>
      </c>
      <c r="I23" s="11" t="s">
        <v>3015</v>
      </c>
      <c r="J23" s="11" t="str">
        <f>B11</f>
        <v>修正项5</v>
      </c>
      <c r="K23" s="11" t="s">
        <v>3015</v>
      </c>
      <c r="L23" s="11" t="str">
        <f>B13</f>
        <v>修正项6</v>
      </c>
      <c r="M23" s="11" t="s">
        <v>3015</v>
      </c>
      <c r="N23" s="11" t="str">
        <f>B15</f>
        <v>修正项7</v>
      </c>
      <c r="O23" s="11" t="s">
        <v>3015</v>
      </c>
      <c r="P23" s="11" t="str">
        <f>B17</f>
        <v>楼层</v>
      </c>
      <c r="Q23" s="11" t="s">
        <v>3015</v>
      </c>
      <c r="R23" s="717" t="s">
        <v>3016</v>
      </c>
      <c r="S23" s="11" t="s">
        <v>3017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2"/>
      <c r="C2" s="2972"/>
      <c r="D2" s="2972"/>
      <c r="E2" s="2972"/>
    </row>
    <row r="3" spans="1:5" ht="18">
      <c r="A3" s="2973" t="str">
        <f>IF(项目基本情况!B9="房地产市场价值","估价结果一览表（市场价值不需“结果表-1”）","估价结果一览表")</f>
        <v>估价结果一览表</v>
      </c>
      <c r="B3" s="2973"/>
      <c r="C3" s="2973"/>
      <c r="D3" s="2973"/>
      <c r="E3" s="2973"/>
    </row>
    <row r="4" spans="1:5" ht="19.5" thickBot="1">
      <c r="A4" s="1960"/>
      <c r="B4" s="2971" t="s">
        <v>1624</v>
      </c>
      <c r="C4" s="2971"/>
      <c r="D4" s="2971"/>
      <c r="E4" s="1960"/>
    </row>
    <row r="5" spans="1:5" ht="16.5" thickTop="1">
      <c r="A5" s="1958"/>
      <c r="B5" s="2969" t="s">
        <v>1616</v>
      </c>
      <c r="C5" s="1961" t="s">
        <v>1617</v>
      </c>
      <c r="D5" s="1040">
        <f ca="1">结果表!H101</f>
        <v>28850</v>
      </c>
      <c r="E5" s="1958"/>
    </row>
    <row r="6" spans="1:5" ht="15.75">
      <c r="A6" s="1958"/>
      <c r="B6" s="2969"/>
      <c r="C6" s="1961" t="s">
        <v>1618</v>
      </c>
      <c r="D6" s="1040" t="str">
        <f ca="1">NUMBERSTRING(INT(D5*10000),2)&amp;"元整"</f>
        <v>贰亿捌仟捌佰伍拾万元整</v>
      </c>
      <c r="E6" s="1958"/>
    </row>
    <row r="7" spans="1:5" ht="15.75">
      <c r="A7" s="1958"/>
      <c r="B7" s="2974"/>
      <c r="C7" s="1962" t="s">
        <v>1619</v>
      </c>
      <c r="D7" s="1041">
        <f ca="1">结果表!H102</f>
        <v>34857</v>
      </c>
      <c r="E7" s="1958"/>
    </row>
    <row r="8" spans="1:5" ht="15.75">
      <c r="A8" s="1958"/>
      <c r="B8" s="2975" t="str">
        <f>结果表!E103</f>
        <v>2.估价师知悉的除抵押担保权以外的法定优先受偿款</v>
      </c>
      <c r="C8" s="1963" t="s">
        <v>1620</v>
      </c>
      <c r="D8" s="1041">
        <f>结果表!H103</f>
        <v>0</v>
      </c>
      <c r="E8" s="1958"/>
    </row>
    <row r="9" spans="1:5" ht="15.75">
      <c r="A9" s="1958"/>
      <c r="B9" s="2977"/>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8" t="str">
        <f>结果表!E107</f>
        <v>3.房地产抵押价值</v>
      </c>
      <c r="C13" s="1966" t="s">
        <v>1617</v>
      </c>
      <c r="D13" s="1043">
        <f ca="1">结果表!H107</f>
        <v>28850</v>
      </c>
      <c r="E13" s="1958"/>
    </row>
    <row r="14" spans="1:5" ht="15.75">
      <c r="A14" s="1958"/>
      <c r="B14" s="2969"/>
      <c r="C14" s="1961" t="s">
        <v>1618</v>
      </c>
      <c r="D14" s="1040" t="str">
        <f ca="1">NUMBERSTRING(INT(D13*10000),2)&amp;"元整"</f>
        <v>贰亿捌仟捌佰伍拾万元整</v>
      </c>
      <c r="E14" s="1958"/>
    </row>
    <row r="15" spans="1:5" ht="15">
      <c r="A15" s="1958"/>
      <c r="B15" s="2974"/>
      <c r="C15" s="1962" t="s">
        <v>1628</v>
      </c>
      <c r="D15" s="1052">
        <f ca="1">结果表!H108</f>
        <v>34857</v>
      </c>
      <c r="E15" s="1958"/>
    </row>
    <row r="16" spans="1:5" ht="15">
      <c r="A16" s="1958"/>
      <c r="B16" s="2975" t="str">
        <f>结果表!E109</f>
        <v>——</v>
      </c>
      <c r="C16" s="1966" t="s">
        <v>1629</v>
      </c>
      <c r="D16" s="1967" t="str">
        <f>结果表!H109</f>
        <v>——</v>
      </c>
      <c r="E16" s="1958"/>
    </row>
    <row r="17" spans="1:5" ht="15.75">
      <c r="A17" s="1958"/>
      <c r="B17" s="2976"/>
      <c r="C17" s="1961" t="s">
        <v>1630</v>
      </c>
      <c r="D17" s="1040" t="e">
        <f>NUMBERSTRING(INT(D16*10000),2)&amp;"元整"</f>
        <v>#VALUE!</v>
      </c>
      <c r="E17" s="1958"/>
    </row>
    <row r="18" spans="1:5" ht="15">
      <c r="A18" s="1958"/>
      <c r="B18" s="2977"/>
      <c r="C18" s="1962" t="s">
        <v>1619</v>
      </c>
      <c r="D18" s="1052" t="str">
        <f>结果表!H110</f>
        <v>——</v>
      </c>
      <c r="E18" s="1958"/>
    </row>
    <row r="19" spans="1:5" ht="15.75">
      <c r="A19" s="1958"/>
      <c r="B19" s="2968" t="str">
        <f>结果表!E111</f>
        <v>——</v>
      </c>
      <c r="C19" s="1966" t="s">
        <v>1617</v>
      </c>
      <c r="D19" s="1041" t="str">
        <f>结果表!H111</f>
        <v>——</v>
      </c>
      <c r="E19" s="1958"/>
    </row>
    <row r="20" spans="1:5" ht="15.75">
      <c r="A20" s="1958"/>
      <c r="B20" s="2969"/>
      <c r="C20" s="1961" t="s">
        <v>1630</v>
      </c>
      <c r="D20" s="1040" t="e">
        <f>NUMBERSTRING(INT(D19*10000),2)&amp;"元整"</f>
        <v>#VALUE!</v>
      </c>
      <c r="E20" s="1958"/>
    </row>
    <row r="21" spans="1:5" ht="15.75" thickBot="1">
      <c r="A21" s="1958"/>
      <c r="B21" s="2970"/>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31847</v>
      </c>
      <c r="C2" s="2" t="s">
        <v>133</v>
      </c>
      <c r="D2" s="243"/>
      <c r="E2" s="243"/>
      <c r="F2" s="243"/>
      <c r="G2" s="243"/>
    </row>
    <row r="3" spans="1:7" s="244" customFormat="1" ht="18" customHeight="1" thickBot="1">
      <c r="A3" s="247" t="s">
        <v>85</v>
      </c>
      <c r="B3" s="248">
        <f ca="1">ROUND(B2*10000/'数据-汇总表'!E3,0)</f>
        <v>38478</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166</v>
      </c>
      <c r="D10" s="1032">
        <f>'数据-汇总表'!E6</f>
        <v>8276.64</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166</v>
      </c>
      <c r="D19" s="1036">
        <f>'数据-汇总表'!E3</f>
        <v>8276.64</v>
      </c>
      <c r="E19" s="255">
        <f>'数据-取费表'!B31</f>
        <v>200</v>
      </c>
      <c r="F19" s="275"/>
      <c r="G19" s="1" t="s">
        <v>1071</v>
      </c>
    </row>
    <row r="20" spans="1:7" s="258" customFormat="1" ht="13.5" customHeight="1">
      <c r="A20" s="948" t="s">
        <v>1054</v>
      </c>
      <c r="B20" s="254" t="s">
        <v>104</v>
      </c>
      <c r="C20" s="276">
        <f>ROUND((C5+C19)*F20,0)</f>
        <v>208</v>
      </c>
      <c r="D20" s="276"/>
      <c r="E20" s="276"/>
      <c r="F20" s="277">
        <f>'数据-取费表'!B37</f>
        <v>0.01</v>
      </c>
      <c r="G20" s="1289" t="s">
        <v>1065</v>
      </c>
    </row>
    <row r="21" spans="1:7" s="258" customFormat="1" ht="13.5" customHeight="1">
      <c r="A21" s="948" t="s">
        <v>1056</v>
      </c>
      <c r="B21" s="254" t="s">
        <v>105</v>
      </c>
      <c r="C21" s="279">
        <f>F21</f>
        <v>0.01</v>
      </c>
      <c r="D21" s="280" t="s">
        <v>126</v>
      </c>
      <c r="E21" s="276"/>
      <c r="F21" s="277">
        <f>'数据-取费表'!B38</f>
        <v>0.01</v>
      </c>
      <c r="G21" s="278" t="s">
        <v>106</v>
      </c>
    </row>
    <row r="22" spans="1:7" s="258" customFormat="1" ht="13.5" customHeight="1">
      <c r="A22" s="948" t="s">
        <v>786</v>
      </c>
      <c r="B22" s="254" t="s">
        <v>107</v>
      </c>
      <c r="C22" s="1354">
        <f ca="1">ROUND(SUM(C23:C25),0)</f>
        <v>2030</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16</v>
      </c>
      <c r="D24" s="282"/>
      <c r="E24" s="282"/>
      <c r="F24" s="283"/>
      <c r="G24" s="284" t="s">
        <v>109</v>
      </c>
    </row>
    <row r="25" spans="1:7" s="258" customFormat="1" ht="24">
      <c r="A25" s="951" t="s">
        <v>793</v>
      </c>
      <c r="B25" s="259" t="s">
        <v>1055</v>
      </c>
      <c r="C25" s="1355">
        <f ca="1">ROUND(IF('数据-取费表'!B22&lt;=1,C20*F22*'数据-取费表'!B23/2,C20*(POWER((1+F22),'数据-取费表'!B23/2)-1)),0)</f>
        <v>10</v>
      </c>
      <c r="D25" s="282"/>
      <c r="E25" s="285"/>
      <c r="F25" s="283"/>
      <c r="G25" s="286" t="s">
        <v>110</v>
      </c>
    </row>
    <row r="26" spans="1:7" s="258" customFormat="1">
      <c r="A26" s="951" t="s">
        <v>795</v>
      </c>
      <c r="B26" s="259" t="s">
        <v>1057</v>
      </c>
      <c r="C26" s="282">
        <f ca="1">ROUND(IF('数据-取费表'!B22&lt;=1,F21*F22*'数据-取费表'!B23/2,F21*(POWER((1+F22),'数据-取费表'!B23/2)-1)),4)</f>
        <v>5.0000000000000001E-4</v>
      </c>
      <c r="D26" s="282"/>
      <c r="E26" s="285"/>
      <c r="F26" s="283"/>
      <c r="G26" s="287"/>
    </row>
    <row r="27" spans="1:7" s="258" customFormat="1" ht="24.75">
      <c r="A27" s="948" t="s">
        <v>787</v>
      </c>
      <c r="B27" s="288" t="s">
        <v>112</v>
      </c>
      <c r="C27" s="289">
        <f>C28</f>
        <v>4197</v>
      </c>
      <c r="D27" s="279">
        <f>C29</f>
        <v>2E-3</v>
      </c>
      <c r="E27" s="280" t="s">
        <v>126</v>
      </c>
      <c r="F27" s="290">
        <f>'数据-取费表'!Q16</f>
        <v>0.2</v>
      </c>
      <c r="G27" s="291" t="s">
        <v>1066</v>
      </c>
    </row>
    <row r="28" spans="1:7" s="258" customFormat="1" ht="13.5" customHeight="1">
      <c r="A28" s="951" t="s">
        <v>794</v>
      </c>
      <c r="B28" s="292" t="s">
        <v>1059</v>
      </c>
      <c r="C28" s="293">
        <f>ROUND((C5+C19+C20)*F27*'数据-取费表'!B21/'数据-取费表'!B20,0)</f>
        <v>4197</v>
      </c>
      <c r="D28" s="279"/>
      <c r="E28" s="280"/>
      <c r="F28" s="290"/>
      <c r="G28" s="291"/>
    </row>
    <row r="29" spans="1:7" s="258" customFormat="1" ht="13.5" customHeight="1">
      <c r="A29" s="951" t="s">
        <v>792</v>
      </c>
      <c r="B29" s="292" t="s">
        <v>1060</v>
      </c>
      <c r="C29" s="282">
        <f>ROUND(C21*F27*'数据-取费表'!B21/'数据-取费表'!B20,4)</f>
        <v>2E-3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29129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2760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2483</v>
      </c>
      <c r="D34" s="261"/>
      <c r="E34" s="264"/>
      <c r="F34" s="301">
        <f>IF('数据-取费表'!B24=0,1,'数据-取费表'!N16)</f>
        <v>1</v>
      </c>
      <c r="G34" s="263" t="s">
        <v>116</v>
      </c>
    </row>
    <row r="35" spans="1:7" ht="13.5" customHeight="1">
      <c r="A35" s="951" t="s">
        <v>796</v>
      </c>
      <c r="B35" s="259" t="s">
        <v>60</v>
      </c>
      <c r="C35" s="264">
        <f>ROUND(C34*F35,0)</f>
        <v>74</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166</v>
      </c>
      <c r="D37" s="261">
        <f>'数据-汇总表'!E3</f>
        <v>8276.64</v>
      </c>
      <c r="E37" s="293">
        <f>'数据-取费表'!B35</f>
        <v>200</v>
      </c>
      <c r="F37" s="303"/>
      <c r="G37" s="305" t="s">
        <v>119</v>
      </c>
    </row>
    <row r="38" spans="1:7" ht="13.5" customHeight="1">
      <c r="A38" s="951" t="s">
        <v>799</v>
      </c>
      <c r="B38" s="259" t="s">
        <v>63</v>
      </c>
      <c r="C38" s="264">
        <f>ROUND(C34*F38,0)</f>
        <v>37</v>
      </c>
      <c r="D38" s="264"/>
      <c r="E38" s="264"/>
      <c r="F38" s="303">
        <f>'数据-取费表'!B36</f>
        <v>1.4999999999999999E-2</v>
      </c>
      <c r="G38" s="263" t="s">
        <v>117</v>
      </c>
    </row>
    <row r="39" spans="1:7" s="258" customFormat="1" ht="13.5" customHeight="1">
      <c r="A39" s="948" t="s">
        <v>783</v>
      </c>
      <c r="B39" s="254" t="s">
        <v>104</v>
      </c>
      <c r="C39" s="276">
        <f>ROUND(C33*F20,0)</f>
        <v>28</v>
      </c>
      <c r="D39" s="276"/>
      <c r="E39" s="276"/>
      <c r="F39" s="277"/>
      <c r="G39" s="1289" t="s">
        <v>1068</v>
      </c>
    </row>
    <row r="40" spans="1:7" s="258" customFormat="1" ht="13.5" customHeight="1">
      <c r="A40" s="948" t="s">
        <v>784</v>
      </c>
      <c r="B40" s="254" t="s">
        <v>105</v>
      </c>
      <c r="C40" s="306">
        <f>F21</f>
        <v>0.01</v>
      </c>
      <c r="D40" s="280" t="s">
        <v>129</v>
      </c>
      <c r="E40" s="276"/>
      <c r="F40" s="277"/>
      <c r="G40" s="278" t="s">
        <v>120</v>
      </c>
    </row>
    <row r="41" spans="1:7" s="258" customFormat="1" ht="13.5" customHeight="1">
      <c r="A41" s="948" t="s">
        <v>785</v>
      </c>
      <c r="B41" s="254" t="s">
        <v>107</v>
      </c>
      <c r="C41" s="276">
        <f ca="1">ROUND(SUM(C42:C43),0)</f>
        <v>132</v>
      </c>
      <c r="D41" s="279">
        <f ca="1">C44</f>
        <v>5.0000000000000001E-4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131</v>
      </c>
      <c r="D42" s="282"/>
      <c r="E42" s="282"/>
      <c r="F42" s="283"/>
      <c r="G42" s="3153" t="s">
        <v>121</v>
      </c>
    </row>
    <row r="43" spans="1:7" ht="13.5" customHeight="1">
      <c r="A43" s="951" t="s">
        <v>792</v>
      </c>
      <c r="B43" s="259" t="s">
        <v>1061</v>
      </c>
      <c r="C43" s="282">
        <f ca="1">ROUND(IF('数据-取费表'!B22&lt;=1,C39*F22*'数据-取费表'!B21/2,C39*(POWER((1+F22),'数据-取费表'!B21/2)-1)),0)</f>
        <v>1</v>
      </c>
      <c r="D43" s="282"/>
      <c r="E43" s="282"/>
      <c r="F43" s="283"/>
      <c r="G43" s="3154"/>
    </row>
    <row r="44" spans="1:7" ht="13.5" customHeight="1">
      <c r="A44" s="951" t="s">
        <v>793</v>
      </c>
      <c r="B44" s="259" t="s">
        <v>1063</v>
      </c>
      <c r="C44" s="282">
        <f ca="1">ROUND(IF('数据-取费表'!B22&lt;=1,C40*F22*'数据-取费表'!B21/2,C40*(POWER((1+F22),'数据-取费表'!B21/2)-1)),4)</f>
        <v>5.0000000000000001E-4</v>
      </c>
      <c r="D44" s="282"/>
      <c r="E44" s="282"/>
      <c r="F44" s="283"/>
      <c r="G44" s="3155"/>
    </row>
    <row r="45" spans="1:7" s="258" customFormat="1" ht="13.5" customHeight="1">
      <c r="A45" s="948" t="s">
        <v>786</v>
      </c>
      <c r="B45" s="288" t="s">
        <v>112</v>
      </c>
      <c r="C45" s="289">
        <f>C46</f>
        <v>558</v>
      </c>
      <c r="D45" s="279">
        <f>C47</f>
        <v>2E-3</v>
      </c>
      <c r="E45" s="280" t="s">
        <v>129</v>
      </c>
      <c r="F45" s="290"/>
      <c r="G45" s="291" t="s">
        <v>1069</v>
      </c>
    </row>
    <row r="46" spans="1:7" s="258" customFormat="1" ht="13.5" customHeight="1">
      <c r="A46" s="951" t="s">
        <v>794</v>
      </c>
      <c r="B46" s="292" t="s">
        <v>1062</v>
      </c>
      <c r="C46" s="293">
        <f>ROUND((C33+C39)*F27,0)</f>
        <v>558</v>
      </c>
      <c r="D46" s="307"/>
      <c r="E46" s="280"/>
      <c r="F46" s="290"/>
      <c r="G46" s="291"/>
    </row>
    <row r="47" spans="1:7" s="258" customFormat="1" ht="13.5" customHeight="1">
      <c r="A47" s="951" t="s">
        <v>792</v>
      </c>
      <c r="B47" s="292" t="s">
        <v>1064</v>
      </c>
      <c r="C47" s="282">
        <f>ROUND(C40*F27,4)</f>
        <v>2E-3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3723</v>
      </c>
      <c r="D49" s="276"/>
      <c r="E49" s="276"/>
      <c r="F49" s="308"/>
      <c r="G49" s="278" t="s">
        <v>1070</v>
      </c>
    </row>
    <row r="50" spans="1:7" s="302" customFormat="1" ht="24">
      <c r="A50" s="948" t="s">
        <v>789</v>
      </c>
      <c r="B50" s="254" t="s">
        <v>124</v>
      </c>
      <c r="C50" s="276"/>
      <c r="D50" s="276"/>
      <c r="E50" s="276"/>
      <c r="F50" s="308">
        <f>IF('数据-取费表'!B24=0,'数据-取费表'!N16,1)</f>
        <v>0.73</v>
      </c>
      <c r="G50" s="291" t="s">
        <v>125</v>
      </c>
    </row>
    <row r="51" spans="1:7" ht="16.5" customHeight="1">
      <c r="A51" s="948" t="s">
        <v>790</v>
      </c>
      <c r="B51" s="254" t="s">
        <v>132</v>
      </c>
      <c r="C51" s="276">
        <f ca="1">ROUND(C49*F50,0)</f>
        <v>2718</v>
      </c>
      <c r="D51" s="276"/>
      <c r="E51" s="276"/>
      <c r="F51" s="308"/>
      <c r="G51" s="278" t="s">
        <v>64</v>
      </c>
    </row>
    <row r="52" spans="1:7" s="252" customFormat="1" ht="16.5" thickBot="1">
      <c r="A52" s="309" t="s">
        <v>65</v>
      </c>
      <c r="B52" s="310"/>
      <c r="C52" s="311">
        <f ca="1">C31+C51</f>
        <v>31847</v>
      </c>
      <c r="D52" s="310"/>
      <c r="E52" s="310"/>
      <c r="F52" s="310"/>
      <c r="G52" s="312"/>
    </row>
    <row r="55" spans="1:7" ht="15">
      <c r="B55" s="314" t="s">
        <v>66</v>
      </c>
      <c r="C55" s="315"/>
    </row>
    <row r="56" spans="1:7">
      <c r="B56" s="317" t="s">
        <v>67</v>
      </c>
      <c r="C56" s="318">
        <f ca="1">ROUND(C51/C52,3)</f>
        <v>8.5000000000000006E-2</v>
      </c>
    </row>
    <row r="57" spans="1:7">
      <c r="B57" s="317" t="s">
        <v>68</v>
      </c>
      <c r="C57" s="319">
        <f ca="1">1-C56</f>
        <v>0.91500000000000004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868</v>
      </c>
      <c r="B1" s="3294"/>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43822</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8" sqref="K38"/>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8" t="str">
        <f>IF(项目基本情况!B9="房地产市场价值","估价结果一览表","结果表-2")</f>
        <v>结果表-2</v>
      </c>
      <c r="B1" s="2978"/>
      <c r="C1" s="2978"/>
      <c r="D1" s="2978"/>
      <c r="E1" s="2978"/>
      <c r="F1" s="2978"/>
      <c r="G1" s="2978"/>
      <c r="H1" s="2978"/>
      <c r="I1" s="2978"/>
    </row>
    <row r="2" spans="1:9" ht="30" customHeight="1" thickTop="1">
      <c r="A2" s="2979" t="s">
        <v>1635</v>
      </c>
      <c r="B2" s="2979" t="s">
        <v>1636</v>
      </c>
      <c r="C2" s="2979" t="s">
        <v>1637</v>
      </c>
      <c r="D2" s="2979" t="str">
        <f>结果表!D116</f>
        <v>出让国有建设用地使用权价值</v>
      </c>
      <c r="E2" s="2979"/>
      <c r="F2" s="2979" t="str">
        <f>结果表!F116</f>
        <v>建筑物价值</v>
      </c>
      <c r="G2" s="2979"/>
      <c r="H2" s="2979" t="str">
        <f>IF(项目基本情况!B9="房地产市场价值","房地产市场价值","房地产价值")</f>
        <v>房地产价值</v>
      </c>
      <c r="I2" s="2979"/>
    </row>
    <row r="3" spans="1:9" ht="15">
      <c r="A3" s="2980"/>
      <c r="B3" s="2980"/>
      <c r="C3" s="2980"/>
      <c r="D3" s="1044" t="s">
        <v>1632</v>
      </c>
      <c r="E3" s="1044" t="s">
        <v>1638</v>
      </c>
      <c r="F3" s="1044" t="s">
        <v>1632</v>
      </c>
      <c r="G3" s="1044" t="s">
        <v>1633</v>
      </c>
      <c r="H3" s="1044" t="s">
        <v>1632</v>
      </c>
      <c r="I3" s="1044" t="s">
        <v>1633</v>
      </c>
    </row>
    <row r="4" spans="1:9" ht="30">
      <c r="A4" s="1972" t="str">
        <f>项目基本情况!S2</f>
        <v>北京市海淀区中关村大街18号六层综合用房房地产</v>
      </c>
      <c r="B4" s="1044">
        <f>项目基本情况!C17</f>
        <v>8276.64</v>
      </c>
      <c r="C4" s="1044">
        <f>项目基本情况!C18</f>
        <v>927.85</v>
      </c>
      <c r="D4" s="1044">
        <f ca="1">结果表!D118</f>
        <v>26427</v>
      </c>
      <c r="E4" s="1044">
        <f ca="1">结果表!E118</f>
        <v>31929</v>
      </c>
      <c r="F4" s="1044">
        <f ca="1">结果表!F118</f>
        <v>2423</v>
      </c>
      <c r="G4" s="1044">
        <f ca="1">结果表!G118</f>
        <v>2928</v>
      </c>
      <c r="H4" s="1044">
        <f ca="1">结果表!H118</f>
        <v>28850</v>
      </c>
      <c r="I4" s="1044">
        <f ca="1">结果表!I118</f>
        <v>34857</v>
      </c>
    </row>
    <row r="5" spans="1:9" ht="30" customHeight="1">
      <c r="A5" s="2980" t="s">
        <v>1634</v>
      </c>
      <c r="B5" s="2980"/>
      <c r="C5" s="2980"/>
      <c r="D5" s="2981" t="str">
        <f ca="1">结果表!D119</f>
        <v>贰亿陆仟肆佰贰拾柒万元整</v>
      </c>
      <c r="E5" s="2981"/>
      <c r="F5" s="2981" t="str">
        <f ca="1">结果表!F119</f>
        <v>贰仟肆佰贰拾叁万元整</v>
      </c>
      <c r="G5" s="2981"/>
      <c r="H5" s="2981" t="str">
        <f ca="1">结果表!H119</f>
        <v>贰亿捌仟捌佰伍拾万元整</v>
      </c>
      <c r="I5" s="2981"/>
    </row>
    <row r="6" spans="1:9" ht="15.75">
      <c r="A6" s="2982" t="str">
        <f>结果表!A120</f>
        <v>估价师知悉的除抵押担保权以外的法定优先受偿款</v>
      </c>
      <c r="B6" s="2982"/>
      <c r="C6" s="2982"/>
      <c r="D6" s="2982">
        <f>结果表!D120</f>
        <v>0</v>
      </c>
      <c r="E6" s="2982"/>
      <c r="F6" s="2982"/>
      <c r="G6" s="2982"/>
      <c r="H6" s="2982"/>
      <c r="I6" s="2982"/>
    </row>
    <row r="7" spans="1:9" ht="15">
      <c r="A7" s="2980" t="s">
        <v>1634</v>
      </c>
      <c r="B7" s="2980"/>
      <c r="C7" s="2980"/>
      <c r="D7" s="2983" t="str">
        <f>结果表!D121</f>
        <v>零元整</v>
      </c>
      <c r="E7" s="2984"/>
      <c r="F7" s="2984"/>
      <c r="G7" s="2984"/>
      <c r="H7" s="2984"/>
      <c r="I7" s="2985"/>
    </row>
    <row r="8" spans="1:9" ht="15.75">
      <c r="A8" s="2982" t="str">
        <f>结果表!A122</f>
        <v>房地产抵押价值</v>
      </c>
      <c r="B8" s="2982"/>
      <c r="C8" s="2982"/>
      <c r="D8" s="2982">
        <f ca="1">结果表!D122</f>
        <v>28850</v>
      </c>
      <c r="E8" s="2982"/>
      <c r="F8" s="2982"/>
      <c r="G8" s="2982"/>
      <c r="H8" s="2982"/>
      <c r="I8" s="2982"/>
    </row>
    <row r="9" spans="1:9" ht="15">
      <c r="A9" s="2980" t="s">
        <v>1634</v>
      </c>
      <c r="B9" s="2980"/>
      <c r="C9" s="2980"/>
      <c r="D9" s="2981" t="str">
        <f ca="1">结果表!D123</f>
        <v>贰亿捌仟捌佰伍拾万元整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1634</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75" thickBot="1">
      <c r="A13" s="2986" t="s">
        <v>1634</v>
      </c>
      <c r="B13" s="2986"/>
      <c r="C13" s="2986"/>
      <c r="D13" s="2987" t="e">
        <f>结果表!D127</f>
        <v>#VALUE!</v>
      </c>
      <c r="E13" s="2987"/>
      <c r="F13" s="2987"/>
      <c r="G13" s="2987"/>
      <c r="H13" s="2987"/>
      <c r="I13" s="2987"/>
    </row>
    <row r="14" spans="1:9" ht="15" thickTop="1">
      <c r="A14" s="2988" t="s">
        <v>1639</v>
      </c>
      <c r="B14" s="2988"/>
      <c r="C14" s="2988"/>
      <c r="D14" s="2988"/>
      <c r="E14" s="2988"/>
      <c r="F14" s="2988"/>
      <c r="G14" s="2988"/>
      <c r="H14" s="2988"/>
      <c r="I14" s="2988"/>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9" t="s">
        <v>1656</v>
      </c>
      <c r="B1" s="2989"/>
      <c r="C1" s="2989"/>
      <c r="D1" s="2989"/>
    </row>
    <row r="2" spans="1:4" ht="18">
      <c r="A2" s="2990" t="s">
        <v>1640</v>
      </c>
      <c r="B2" s="2990"/>
      <c r="C2" s="2990"/>
      <c r="D2" s="2990"/>
    </row>
    <row r="3" spans="1:4" ht="18.75">
      <c r="A3" s="1976" t="s">
        <v>1641</v>
      </c>
      <c r="B3" s="1976" t="s">
        <v>1642</v>
      </c>
      <c r="C3" s="1976" t="s">
        <v>1643</v>
      </c>
      <c r="D3" s="1976" t="s">
        <v>1644</v>
      </c>
    </row>
    <row r="4" spans="1:4" ht="56.25" customHeight="1">
      <c r="A4" s="1977" t="str">
        <f>项目基本情况!B4</f>
        <v>吴薇</v>
      </c>
      <c r="B4" s="1978">
        <f ca="1">项目基本情况!C4</f>
        <v>1419970001</v>
      </c>
      <c r="C4" s="1979"/>
      <c r="D4" s="1980" t="s">
        <v>1645</v>
      </c>
    </row>
    <row r="5" spans="1:4" ht="56.25" customHeight="1">
      <c r="A5" s="1977" t="str">
        <f>项目基本情况!D4</f>
        <v>崔锴</v>
      </c>
      <c r="B5" s="1978">
        <f ca="1">项目基本情况!E4</f>
        <v>1120100036</v>
      </c>
      <c r="C5" s="1981"/>
      <c r="D5" s="1980" t="s">
        <v>1645</v>
      </c>
    </row>
    <row r="6" spans="1:4" ht="18">
      <c r="A6" s="2990" t="s">
        <v>1646</v>
      </c>
      <c r="B6" s="2990"/>
      <c r="C6" s="2990"/>
      <c r="D6" s="2990"/>
    </row>
    <row r="7" spans="1:4" ht="18.75">
      <c r="A7" s="1976" t="s">
        <v>1641</v>
      </c>
      <c r="B7" s="1978" t="s">
        <v>1647</v>
      </c>
      <c r="C7" s="1976" t="s">
        <v>1643</v>
      </c>
      <c r="D7" s="1976" t="s">
        <v>1644</v>
      </c>
    </row>
    <row r="8" spans="1:4" ht="56.25" customHeight="1">
      <c r="A8" s="1982" t="s">
        <v>866</v>
      </c>
      <c r="B8" s="1982" t="s">
        <v>1</v>
      </c>
      <c r="C8" s="1979"/>
      <c r="D8" s="1980" t="s">
        <v>1645</v>
      </c>
    </row>
    <row r="9" spans="1:4">
      <c r="A9" s="728"/>
      <c r="B9" s="728"/>
      <c r="C9" s="728"/>
      <c r="D9" s="728"/>
    </row>
    <row r="10" spans="1:4" ht="18.75">
      <c r="A10" s="1983" t="s">
        <v>1648</v>
      </c>
      <c r="B10" s="728"/>
      <c r="C10" s="728"/>
      <c r="D10" s="728"/>
    </row>
    <row r="11" spans="1:4" ht="30" customHeight="1">
      <c r="A11" s="2991" t="s">
        <v>1649</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5" t="s">
        <v>1650</v>
      </c>
      <c r="B16" s="2995"/>
      <c r="C16" s="2995"/>
      <c r="D16" s="2995"/>
    </row>
    <row r="17" spans="1:4" ht="144" customHeight="1">
      <c r="A17" s="2995" t="s">
        <v>1651</v>
      </c>
      <c r="B17" s="2995"/>
      <c r="C17" s="2995"/>
      <c r="D17" s="2995"/>
    </row>
    <row r="18" spans="1:4" ht="15.75" customHeight="1">
      <c r="A18" s="2992" t="str">
        <f>IF(项目基本情况!B8="抵押",结果表!K120,"——")</f>
        <v>故，本次评估不存在估价师知悉的除抵押担保权以外的法定优先受偿款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6"/>
      <c r="C21" s="2996"/>
      <c r="D21" s="2996"/>
    </row>
    <row r="22" spans="1:4" ht="18.75" customHeight="1">
      <c r="A22" s="2997" t="s">
        <v>1652</v>
      </c>
      <c r="B22" s="2997"/>
      <c r="C22" s="2997"/>
      <c r="D22" s="2997"/>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94">
        <v>42551</v>
      </c>
      <c r="D31" s="29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42" activeCellId="1" sqref="B49 E42"/>
      <selection pane="bottomLeft" activeCell="E42" activeCellId="1" sqref="B49 E42"/>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3003" t="s">
        <v>1663</v>
      </c>
      <c r="B15" s="2998" t="s">
        <v>136</v>
      </c>
      <c r="C15" s="2999"/>
    </row>
    <row r="16" spans="1:7" ht="13.5">
      <c r="A16" s="3004"/>
      <c r="B16" s="2998" t="s">
        <v>69</v>
      </c>
      <c r="C16" s="2999"/>
    </row>
    <row r="17" spans="1:3" ht="13.5">
      <c r="A17" s="3004"/>
      <c r="B17" s="3001" t="s">
        <v>1664</v>
      </c>
      <c r="C17" s="1999" t="s">
        <v>1663</v>
      </c>
    </row>
    <row r="18" spans="1:3" ht="13.5">
      <c r="A18" s="3004"/>
      <c r="B18" s="3001"/>
      <c r="C18" s="1999" t="s">
        <v>1665</v>
      </c>
    </row>
    <row r="19" spans="1:3" ht="13.5">
      <c r="A19" s="3004"/>
      <c r="B19" s="3001"/>
      <c r="C19" s="1999" t="s">
        <v>1666</v>
      </c>
    </row>
    <row r="20" spans="1:3" ht="13.5">
      <c r="A20" s="3005"/>
      <c r="B20" s="3000" t="s">
        <v>1667</v>
      </c>
      <c r="C20" s="2999"/>
    </row>
    <row r="21" spans="1:3" ht="13.5">
      <c r="A21" s="2000" t="s">
        <v>1668</v>
      </c>
      <c r="B21" s="2001"/>
      <c r="C21" s="2002"/>
    </row>
    <row r="22" spans="1:3" ht="13.5">
      <c r="A22" s="3002" t="s">
        <v>1669</v>
      </c>
      <c r="B22" s="3000" t="s">
        <v>1670</v>
      </c>
      <c r="C22" s="2999"/>
    </row>
    <row r="23" spans="1:3" ht="13.5">
      <c r="A23" s="3002"/>
      <c r="B23" s="3000" t="s">
        <v>1671</v>
      </c>
      <c r="C23" s="2999"/>
    </row>
    <row r="24" spans="1:3" ht="13.5">
      <c r="A24" s="3002"/>
      <c r="B24" s="3000" t="s">
        <v>1672</v>
      </c>
      <c r="C24" s="2999"/>
    </row>
    <row r="25" spans="1:3" ht="13.5">
      <c r="A25" s="3002"/>
      <c r="B25" s="3001" t="s">
        <v>1673</v>
      </c>
      <c r="C25" s="1999" t="s">
        <v>1674</v>
      </c>
    </row>
    <row r="26" spans="1:3" ht="13.5">
      <c r="A26" s="3002"/>
      <c r="B26" s="3001"/>
      <c r="C26" s="1999" t="s">
        <v>1675</v>
      </c>
    </row>
    <row r="27" spans="1:3" ht="13.5">
      <c r="A27" s="3002"/>
      <c r="B27" s="3001"/>
      <c r="C27" s="1999" t="s">
        <v>1676</v>
      </c>
    </row>
    <row r="28" spans="1:3" ht="13.5">
      <c r="A28" s="3002"/>
      <c r="B28" s="3001"/>
      <c r="C28" s="1999" t="s">
        <v>1677</v>
      </c>
    </row>
    <row r="29" spans="1:3" ht="13.5">
      <c r="A29" s="3002"/>
      <c r="B29" s="3001"/>
      <c r="C29" s="1999" t="s">
        <v>1678</v>
      </c>
    </row>
    <row r="30" spans="1:3" ht="13.5">
      <c r="A30" s="3002"/>
      <c r="B30" s="3001"/>
      <c r="C30" s="1999" t="s">
        <v>1679</v>
      </c>
    </row>
    <row r="31" spans="1:3" ht="13.5">
      <c r="A31" s="3002"/>
      <c r="B31" s="3001"/>
      <c r="C31" s="1999" t="s">
        <v>1680</v>
      </c>
    </row>
    <row r="32" spans="1:3" ht="13.5">
      <c r="A32" s="3002"/>
      <c r="B32" s="3001"/>
      <c r="C32" s="1999" t="s">
        <v>1681</v>
      </c>
    </row>
    <row r="33" spans="1:3" ht="13.5">
      <c r="A33" s="3002"/>
      <c r="B33" s="3001"/>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E42" activeCellId="1" sqref="B49 E42"/>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43823</v>
      </c>
      <c r="C2" s="1019" t="s">
        <v>826</v>
      </c>
      <c r="D2" s="1019"/>
    </row>
    <row r="3" spans="1:6" ht="24" customHeight="1">
      <c r="A3" s="1020" t="s">
        <v>827</v>
      </c>
      <c r="B3" s="1021" t="s">
        <v>828</v>
      </c>
      <c r="C3" s="2343" t="s">
        <v>829</v>
      </c>
      <c r="D3" s="2346" t="s">
        <v>830</v>
      </c>
      <c r="E3" s="1022" t="s">
        <v>831</v>
      </c>
      <c r="F3" s="1021" t="s">
        <v>829</v>
      </c>
    </row>
    <row r="4" spans="1:6" ht="24" customHeight="1">
      <c r="A4" s="1702" t="s">
        <v>832</v>
      </c>
      <c r="B4" s="1022">
        <f ca="1">IF(C4&lt;B2,"已过期",1119970066)</f>
        <v>1119970066</v>
      </c>
      <c r="C4" s="2344">
        <v>43849</v>
      </c>
      <c r="D4" s="2347" t="s">
        <v>832</v>
      </c>
      <c r="E4" s="1022">
        <f ca="1">IF(F4&lt;B2,"已过期",96010014)</f>
        <v>96010014</v>
      </c>
      <c r="F4" s="1030">
        <v>47118</v>
      </c>
    </row>
    <row r="5" spans="1:6" ht="24" customHeight="1">
      <c r="A5" s="1702" t="s">
        <v>833</v>
      </c>
      <c r="B5" s="1022">
        <f ca="1">IF(C5&lt;B2,"已过期",1119970074)</f>
        <v>1119970074</v>
      </c>
      <c r="C5" s="2344">
        <v>43849</v>
      </c>
      <c r="D5" s="2347" t="s">
        <v>833</v>
      </c>
      <c r="E5" s="1022">
        <f ca="1">IF(F5&lt;B2,"已过期",2002110027)</f>
        <v>2002110027</v>
      </c>
      <c r="F5" s="1030">
        <v>46752</v>
      </c>
    </row>
    <row r="6" spans="1:6" ht="24" customHeight="1">
      <c r="A6" s="1702" t="s">
        <v>834</v>
      </c>
      <c r="B6" s="1022">
        <f ca="1">IF(C6&lt;B2,"已过期",1119970111)</f>
        <v>1119970111</v>
      </c>
      <c r="C6" s="2344">
        <v>43849</v>
      </c>
      <c r="D6" s="2347" t="s">
        <v>834</v>
      </c>
      <c r="E6" s="1022">
        <f ca="1">IF(F6&lt;B2,"已过期",94010078)</f>
        <v>94010078</v>
      </c>
      <c r="F6" s="1030">
        <v>46387</v>
      </c>
    </row>
    <row r="7" spans="1:6" ht="24" customHeight="1">
      <c r="A7" s="1702" t="s">
        <v>835</v>
      </c>
      <c r="B7" s="1022">
        <f ca="1">IF(C7&lt;B2,"已过期",1120050019)</f>
        <v>1120050019</v>
      </c>
      <c r="C7" s="2344">
        <v>44395</v>
      </c>
      <c r="D7" s="2347" t="s">
        <v>835</v>
      </c>
      <c r="E7" s="1022">
        <f ca="1">IF(F7&lt;B2,"已过期",2002110030)</f>
        <v>2002110030</v>
      </c>
      <c r="F7" s="1030">
        <v>46387</v>
      </c>
    </row>
    <row r="8" spans="1:6" ht="24" customHeight="1">
      <c r="A8" s="1702" t="s">
        <v>836</v>
      </c>
      <c r="B8" s="1022">
        <f ca="1">IF(C8&lt;B2,"已过期",1120000080)</f>
        <v>1120000080</v>
      </c>
      <c r="C8" s="2344">
        <v>43849</v>
      </c>
      <c r="D8" s="2347" t="s">
        <v>836</v>
      </c>
      <c r="E8" s="1022">
        <f ca="1">IF(F8&lt;B2,"已过期",2000110082)</f>
        <v>2000110082</v>
      </c>
      <c r="F8" s="1030">
        <v>46387</v>
      </c>
    </row>
    <row r="9" spans="1:6" ht="24" customHeight="1">
      <c r="A9" s="1702" t="s">
        <v>837</v>
      </c>
      <c r="B9" s="1022">
        <f ca="1">IF(C9&lt;B2,"已过期",1419970001)</f>
        <v>1419970001</v>
      </c>
      <c r="C9" s="2344">
        <v>43867</v>
      </c>
      <c r="D9" s="2347" t="s">
        <v>837</v>
      </c>
      <c r="E9" s="1022">
        <f ca="1">IF(F9&lt;B2,"已过期",2002110125)</f>
        <v>2002110125</v>
      </c>
      <c r="F9" s="1030">
        <v>47118</v>
      </c>
    </row>
    <row r="10" spans="1:6" ht="24" customHeight="1">
      <c r="A10" s="1702" t="s">
        <v>838</v>
      </c>
      <c r="B10" s="1022">
        <f ca="1">IF(C10&lt;B2,"已过期",1120060040)</f>
        <v>1120060040</v>
      </c>
      <c r="C10" s="2344">
        <v>44554</v>
      </c>
      <c r="D10" s="2347" t="s">
        <v>838</v>
      </c>
      <c r="E10" s="1022">
        <f ca="1">IF(F10&lt;B2,"已过期",2004110096)</f>
        <v>2004110096</v>
      </c>
      <c r="F10" s="1030">
        <v>47118</v>
      </c>
    </row>
    <row r="11" spans="1:6" ht="24" customHeight="1">
      <c r="A11" s="1702" t="s">
        <v>839</v>
      </c>
      <c r="B11" s="1022">
        <f ca="1">IF(C11&lt;B2,"已过期",1120100036)</f>
        <v>1120100036</v>
      </c>
      <c r="C11" s="2344">
        <v>44675</v>
      </c>
      <c r="D11" s="2347" t="s">
        <v>839</v>
      </c>
      <c r="E11" s="1022">
        <f ca="1">IF(F11&lt;B2,"已过期",2010110070)</f>
        <v>2010110070</v>
      </c>
      <c r="F11" s="1030">
        <v>47907</v>
      </c>
    </row>
    <row r="12" spans="1:6" ht="24" customHeight="1">
      <c r="A12" s="1702"/>
      <c r="B12" s="1022"/>
      <c r="C12" s="2926"/>
      <c r="D12" s="1702"/>
      <c r="E12" s="1022"/>
      <c r="F12" s="1030"/>
    </row>
    <row r="13" spans="1:6" ht="24" customHeight="1">
      <c r="A13" s="1702" t="s">
        <v>840</v>
      </c>
      <c r="B13" s="1022" t="str">
        <f ca="1">IF(C13&lt;B2,"已过期",1120070131)</f>
        <v>已过期</v>
      </c>
      <c r="C13" s="2344">
        <v>43814</v>
      </c>
      <c r="D13" s="2347" t="s">
        <v>840</v>
      </c>
      <c r="E13" s="1022">
        <f ca="1">IF(F13&lt;B2,"已过期",2014110011)</f>
        <v>2014110011</v>
      </c>
      <c r="F13" s="1030">
        <v>49302</v>
      </c>
    </row>
    <row r="14" spans="1:6" ht="24" customHeight="1">
      <c r="A14" s="1702" t="s">
        <v>3036</v>
      </c>
      <c r="B14" s="1022">
        <f ca="1">IF(C14&lt;B2,"已过期",1120040230)</f>
        <v>1120040230</v>
      </c>
      <c r="C14" s="2344">
        <v>43835</v>
      </c>
      <c r="D14" s="2347" t="s">
        <v>3036</v>
      </c>
      <c r="E14" s="1022">
        <f ca="1">IF(F14&lt;B2,"已过期",98030020)</f>
        <v>98030020</v>
      </c>
      <c r="F14" s="1030">
        <v>47118</v>
      </c>
    </row>
    <row r="15" spans="1:6" ht="24" customHeight="1">
      <c r="A15" s="1703" t="s">
        <v>3037</v>
      </c>
      <c r="B15" s="1022" t="str">
        <f ca="1">IF(C15&lt;B2,"已过期",1120070085)</f>
        <v>已过期</v>
      </c>
      <c r="C15" s="2344">
        <v>43814</v>
      </c>
      <c r="D15" s="2348" t="s">
        <v>3037</v>
      </c>
      <c r="E15" s="1022">
        <f ca="1">IF(F15&lt;B2,"已过期",2004110128)</f>
        <v>2004110128</v>
      </c>
      <c r="F15" s="1023">
        <v>47118</v>
      </c>
    </row>
    <row r="16" spans="1:6" ht="24" customHeight="1">
      <c r="A16" s="1702" t="s">
        <v>3038</v>
      </c>
      <c r="B16" s="1022">
        <f ca="1">IF(C16&lt;B2,"已过期",1120140022)</f>
        <v>1120140022</v>
      </c>
      <c r="C16" s="2926">
        <v>44029</v>
      </c>
      <c r="D16" s="2347" t="s">
        <v>3038</v>
      </c>
      <c r="E16" s="1022">
        <f ca="1">IF(F16&lt;B2,"已过期",2008110059)</f>
        <v>2008110059</v>
      </c>
      <c r="F16" s="1030">
        <v>47177</v>
      </c>
    </row>
    <row r="17" spans="1:7" ht="24" customHeight="1">
      <c r="A17" s="1702"/>
      <c r="B17" s="1022"/>
      <c r="C17" s="2344"/>
      <c r="D17" s="2347" t="s">
        <v>3039</v>
      </c>
      <c r="E17" s="1022">
        <f ca="1">IF(F17&lt;B2,"已过期",2014110076)</f>
        <v>2014110076</v>
      </c>
      <c r="F17" s="1030">
        <v>49302</v>
      </c>
    </row>
    <row r="18" spans="1:7" ht="24" customHeight="1">
      <c r="A18" s="1702" t="s">
        <v>3047</v>
      </c>
      <c r="B18" s="1022">
        <v>1120190079</v>
      </c>
      <c r="C18" s="2926">
        <v>44826</v>
      </c>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841</v>
      </c>
      <c r="E21" s="1022">
        <f ca="1">IF(F21&lt;B2,"已过期",2011110090)</f>
        <v>2011110090</v>
      </c>
      <c r="F21" s="1030">
        <v>48302</v>
      </c>
    </row>
    <row r="22" spans="1:7" ht="24" customHeight="1">
      <c r="A22" s="1702" t="s">
        <v>842</v>
      </c>
      <c r="B22" s="1022">
        <f ca="1">IF(C22&lt;B2,"已过期",1120020033)</f>
        <v>1120020033</v>
      </c>
      <c r="C22" s="2926">
        <v>44339</v>
      </c>
      <c r="D22" s="2347" t="s">
        <v>842</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1329</v>
      </c>
      <c r="B24" s="1703" t="s">
        <v>1329</v>
      </c>
      <c r="C24" s="2345" t="s">
        <v>1329</v>
      </c>
      <c r="D24" s="2348" t="s">
        <v>1329</v>
      </c>
      <c r="E24" s="1703" t="s">
        <v>1329</v>
      </c>
      <c r="F24" s="1703" t="s">
        <v>1329</v>
      </c>
    </row>
    <row r="25" spans="1:7" ht="24" customHeight="1">
      <c r="A25" s="3006" t="s">
        <v>843</v>
      </c>
      <c r="B25" s="3006"/>
      <c r="C25" s="3006"/>
      <c r="D25" s="3006"/>
      <c r="E25" s="3006"/>
      <c r="F25" s="3006"/>
      <c r="G25" s="3006"/>
    </row>
    <row r="26" spans="1:7" s="1025" customFormat="1" ht="24" customHeight="1">
      <c r="A26" s="3007" t="s">
        <v>844</v>
      </c>
      <c r="B26" s="3007"/>
      <c r="C26" s="3008"/>
      <c r="D26" s="3009" t="s">
        <v>845</v>
      </c>
      <c r="E26" s="3007"/>
      <c r="F26" s="3007"/>
    </row>
    <row r="27" spans="1:7" s="1027" customFormat="1" ht="24" customHeight="1">
      <c r="A27" s="1026" t="s">
        <v>846</v>
      </c>
      <c r="B27" s="1021" t="s">
        <v>847</v>
      </c>
      <c r="C27" s="2343" t="s">
        <v>848</v>
      </c>
      <c r="D27" s="2350" t="s">
        <v>846</v>
      </c>
      <c r="E27" s="1021" t="s">
        <v>847</v>
      </c>
      <c r="F27" s="1021" t="s">
        <v>848</v>
      </c>
    </row>
    <row r="28" spans="1:7" s="1027" customFormat="1" ht="24" customHeight="1">
      <c r="A28" s="1028" t="s">
        <v>849</v>
      </c>
      <c r="B28" s="1029" t="s">
        <v>850</v>
      </c>
      <c r="C28" s="1030">
        <v>44820</v>
      </c>
      <c r="D28" s="2351" t="s">
        <v>851</v>
      </c>
      <c r="E28" s="1028" t="s">
        <v>852</v>
      </c>
      <c r="F28" s="1058">
        <v>44377</v>
      </c>
    </row>
    <row r="29" spans="1:7" s="1027" customFormat="1" ht="24" customHeight="1">
      <c r="A29" s="1028"/>
      <c r="B29" s="1028"/>
      <c r="C29" s="2349"/>
      <c r="D29" s="2351" t="s">
        <v>853</v>
      </c>
      <c r="E29" s="1202" t="s">
        <v>3048</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2019-12-24T08:29:28Z</dcterms:modified>
</cp:coreProperties>
</file>