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drawings/drawing2.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5" activeTab="5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工业" sheetId="37" state="hidden" r:id="rId23"/>
    <sheet name="比较法-工业 (2)" sheetId="77" state="hidden" r:id="rId24"/>
    <sheet name="比较法-办公" sheetId="34" state="hidden" r:id="rId25"/>
    <sheet name="收益法（汇总）" sheetId="70" state="hidden" r:id="rId26"/>
    <sheet name="收益法出租" sheetId="82" state="hidden" r:id="rId27"/>
    <sheet name="比较法-住宅" sheetId="21" r:id="rId28"/>
    <sheet name="收益法" sheetId="15" r:id="rId29"/>
    <sheet name="收益法 (元)" sheetId="67" state="hidden" r:id="rId30"/>
    <sheet name="酒店收入计算" sheetId="66" state="hidden" r:id="rId31"/>
    <sheet name="比较法-商业" sheetId="33" state="hidden" r:id="rId32"/>
    <sheet name="比较法-办公 (租金)" sheetId="79"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80" state="hidden" r:id="rId47"/>
    <sheet name="典型户型修正" sheetId="31" state="hidden" r:id="rId48"/>
    <sheet name="Sheet2" sheetId="78" state="hidden" r:id="rId49"/>
    <sheet name="年期修正系数" sheetId="83" state="hidden" r:id="rId50"/>
    <sheet name="收益法 (2)" sheetId="86" r:id="rId51"/>
    <sheet name="Sheet3" sheetId="84" r:id="rId52"/>
    <sheet name="Sheet4" sheetId="85" r:id="rId53"/>
    <sheet name="Sheet5" sheetId="87" r:id="rId54"/>
  </sheets>
  <externalReferences>
    <externalReference r:id="rId55"/>
    <externalReference r:id="rId56"/>
    <externalReference r:id="rId57"/>
    <externalReference r:id="rId58"/>
    <externalReference r:id="rId59"/>
  </externalReferences>
  <definedNames>
    <definedName name="_xlnm._FilterDatabase" localSheetId="24" hidden="1">'比较法-办公'!$A$1:$L$50</definedName>
    <definedName name="_xlnm._FilterDatabase" localSheetId="32" hidden="1">'比较法-办公 (租金)'!$A$1:$L$50</definedName>
    <definedName name="_xlnm._FilterDatabase" localSheetId="34" hidden="1">'比较法-仓储'!$A$1:$L$37</definedName>
    <definedName name="_xlnm._FilterDatabase" localSheetId="33" hidden="1">'比较法-车位'!$A$1:$L$39</definedName>
    <definedName name="_xlnm._FilterDatabase" localSheetId="22" hidden="1">'比较法-工业'!$A$1:$L$43</definedName>
    <definedName name="_xlnm._FilterDatabase" localSheetId="23" hidden="1">'比较法-工业 (2)'!$A$1:$L$43</definedName>
    <definedName name="_xlnm._FilterDatabase" localSheetId="31"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50">'收益法 (2)'!$A$1:$AK$69</definedName>
    <definedName name="_xlnm.Print_Area" localSheetId="29">'收益法 (元)'!$A$1:$AK$69</definedName>
    <definedName name="_xlnm.Print_Area" localSheetId="26">收益法出租!$A$1:$AK$69</definedName>
    <definedName name="_xlnm.Print_Area" localSheetId="13">'数据-汇总表'!$A$1:$P$32</definedName>
    <definedName name="八级">区片价!$O$1:$O$40</definedName>
    <definedName name="办公层高" localSheetId="32">'比较法-办公 (租金)'!$B$119:$M$119</definedName>
    <definedName name="办公层高">'比较法-办公'!$B$119:$M$119</definedName>
    <definedName name="办公朝向" localSheetId="32">'比较法-办公 (租金)'!$B$91:$M$91</definedName>
    <definedName name="办公朝向">'比较法-办公'!$B$91:$M$91</definedName>
    <definedName name="办公道路级别" localSheetId="32">'比较法-办公 (租金)'!$B$87:$M$87</definedName>
    <definedName name="办公道路级别">'比较法-办公'!$B$87:$M$87</definedName>
    <definedName name="办公公共部分装修" localSheetId="32">'比较法-办公 (租金)'!$B$108:$M$108</definedName>
    <definedName name="办公公共部分装修">'比较法-办公'!$B$108:$M$108</definedName>
    <definedName name="办公基础设施水平" localSheetId="32">'比较法-办公 (租金)'!$B$117:$M$117</definedName>
    <definedName name="办公基础设施水平">'比较法-办公'!$B$117:$M$117</definedName>
    <definedName name="办公集聚程度">定义!$M$1:$M$6</definedName>
    <definedName name="办公建筑结构" localSheetId="32">'比较法-办公 (租金)'!$B$106:$M$106</definedName>
    <definedName name="办公建筑结构">'比较法-办公'!$B$106:$M$106</definedName>
    <definedName name="办公建筑类型" localSheetId="32">'比较法-办公 (租金)'!$B$101:$M$101</definedName>
    <definedName name="办公建筑类型">'比较法-办公'!$B$101:$M$101</definedName>
    <definedName name="办公交易情况" localSheetId="32">'比较法-办公 (租金)'!$A$62:$M$62</definedName>
    <definedName name="办公交易情况">'比较法-办公'!$A$62:$M$62</definedName>
    <definedName name="办公楼层" localSheetId="32">'比较法-办公 (租金)'!$B$89:$M$89</definedName>
    <definedName name="办公楼层">'比较法-办公'!$B$89:$M$89</definedName>
    <definedName name="办公内部装修" localSheetId="32">'比较法-办公 (租金)'!$B$123:$M$123</definedName>
    <definedName name="办公内部装修">'比较法-办公'!$B$123:$M$123</definedName>
    <definedName name="办公物业管理" localSheetId="32">'比较法-办公 (租金)'!$B$115:$M$115</definedName>
    <definedName name="办公物业管理">'比较法-办公'!$B$115:$M$115</definedName>
    <definedName name="办公用途" localSheetId="32">'比较法-办公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9">[1]定义!$F$2:$F$4</definedName>
    <definedName name="法定最高年限">定义!$G$1:$G$4</definedName>
    <definedName name="工业公共部分装修" localSheetId="23">'比较法-工业 (2)'!$B$95:$M$95</definedName>
    <definedName name="工业公共部分装修">'比较法-工业'!$B$95:$M$95</definedName>
    <definedName name="工业基础设施水平" localSheetId="23">'比较法-工业 (2)'!$B$102:$M$102</definedName>
    <definedName name="工业基础设施水平">'比较法-工业'!$B$102:$M$102</definedName>
    <definedName name="工业建筑结构" localSheetId="23">'比较法-工业 (2)'!$B$93:$M$93</definedName>
    <definedName name="工业建筑结构">'比较法-工业'!$B$93:$M$93</definedName>
    <definedName name="工业建筑类型" localSheetId="23">'比较法-工业 (2)'!$B$88:$M$88</definedName>
    <definedName name="工业建筑类型">'比较法-工业'!$B$88:$M$88</definedName>
    <definedName name="工业交易情况" localSheetId="23">'比较法-工业 (2)'!$A$55:$M$55</definedName>
    <definedName name="工业交易情况">'比较法-工业'!$A$55:$M$55</definedName>
    <definedName name="工业内部装修" localSheetId="23">'比较法-工业 (2)'!$B$104:$M$104</definedName>
    <definedName name="工业内部装修">'比较法-工业'!$B$104:$M$104</definedName>
    <definedName name="工业物业管理" localSheetId="23">'比较法-工业 (2)'!$B$100:$M$100</definedName>
    <definedName name="工业物业管理">'比较法-工业'!$B$100:$M$100</definedName>
    <definedName name="工业用途" localSheetId="23">'比较法-工业 (2)'!$B$57:$M$57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2">'比较法-办公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0" i="87" l="1"/>
  <c r="C16" i="74" l="1"/>
  <c r="B16" i="74"/>
  <c r="C15" i="74"/>
  <c r="B15" i="74"/>
  <c r="D16" i="74" l="1"/>
  <c r="AN16" i="3" l="1"/>
  <c r="E20" i="84" s="1"/>
  <c r="I14" i="84"/>
  <c r="I13" i="84"/>
  <c r="I12" i="84"/>
  <c r="I11" i="84"/>
  <c r="I10" i="84"/>
  <c r="K11" i="21"/>
  <c r="I11" i="21"/>
  <c r="G11" i="21"/>
  <c r="E11" i="21"/>
  <c r="B28" i="1"/>
  <c r="B27" i="1"/>
  <c r="Q72" i="86" l="1"/>
  <c r="Q59" i="86"/>
  <c r="K59" i="86"/>
  <c r="P74" i="86" s="1"/>
  <c r="F59" i="86"/>
  <c r="Q58" i="86"/>
  <c r="Q51" i="86"/>
  <c r="J50" i="86"/>
  <c r="M47" i="86"/>
  <c r="D46" i="86"/>
  <c r="F33" i="86"/>
  <c r="F61" i="86" s="1"/>
  <c r="F31" i="86"/>
  <c r="F23" i="86"/>
  <c r="D23" i="86" s="1"/>
  <c r="F21" i="86"/>
  <c r="F20" i="86"/>
  <c r="M19" i="86"/>
  <c r="F18" i="86"/>
  <c r="M17" i="86"/>
  <c r="F17" i="86"/>
  <c r="F15" i="86"/>
  <c r="D24" i="86" l="1"/>
  <c r="P61" i="86"/>
  <c r="D22" i="86"/>
  <c r="N7" i="1"/>
  <c r="N8" i="1" s="1"/>
  <c r="N14" i="1" s="1"/>
  <c r="L33" i="84"/>
  <c r="C36" i="33" l="1"/>
  <c r="M15" i="3" l="1"/>
  <c r="M20" i="3" s="1"/>
  <c r="B33" i="31" l="1"/>
  <c r="B32" i="31"/>
  <c r="B31" i="31"/>
  <c r="B30" i="31"/>
  <c r="B29" i="31"/>
  <c r="B28" i="31"/>
  <c r="B27" i="31"/>
  <c r="B26" i="31"/>
  <c r="B25" i="31"/>
  <c r="I46" i="39"/>
  <c r="G46" i="39"/>
  <c r="E46" i="39"/>
  <c r="I38" i="39"/>
  <c r="G38" i="39"/>
  <c r="E38" i="39"/>
  <c r="C38" i="39"/>
  <c r="I5" i="39" l="1"/>
  <c r="G5" i="39"/>
  <c r="E5" i="39"/>
  <c r="I7" i="39"/>
  <c r="G7" i="39"/>
  <c r="E7" i="39"/>
  <c r="I15" i="84" l="1"/>
  <c r="D6" i="84"/>
  <c r="M21" i="1"/>
  <c r="AL17" i="3"/>
  <c r="AJ17" i="3"/>
  <c r="S17" i="3"/>
  <c r="Q17" i="3"/>
  <c r="K17" i="3"/>
  <c r="K19" i="3"/>
  <c r="I18" i="3"/>
  <c r="I14" i="3"/>
  <c r="I13" i="3"/>
  <c r="I29" i="84" l="1"/>
  <c r="F12" i="84" l="1"/>
  <c r="F11" i="84"/>
  <c r="Q16" i="3" s="1"/>
  <c r="G20" i="6" s="1"/>
  <c r="F15" i="84" l="1"/>
  <c r="AL16" i="3" s="1"/>
  <c r="F14" i="84"/>
  <c r="S16" i="3" s="1"/>
  <c r="G21" i="6" s="1"/>
  <c r="F13" i="84"/>
  <c r="AJ16" i="3" s="1"/>
  <c r="F10" i="84"/>
  <c r="C53" i="84"/>
  <c r="C50" i="84"/>
  <c r="F16" i="84" l="1"/>
  <c r="K16" i="3"/>
  <c r="F19" i="6" s="1"/>
  <c r="B24" i="31" s="1"/>
  <c r="C41" i="84"/>
  <c r="C38" i="84"/>
  <c r="C35" i="84"/>
  <c r="C32" i="84"/>
  <c r="C29" i="84"/>
  <c r="C26" i="84"/>
  <c r="C23" i="84"/>
  <c r="C19" i="84"/>
  <c r="C15" i="84"/>
  <c r="C12" i="84"/>
  <c r="B7" i="84"/>
  <c r="M22" i="1" s="1"/>
  <c r="I48" i="34" l="1"/>
  <c r="G48" i="34"/>
  <c r="E48" i="34"/>
  <c r="C37" i="34" l="1"/>
  <c r="F10" i="83"/>
  <c r="B13" i="83" s="1"/>
  <c r="F9" i="83"/>
  <c r="C5" i="83"/>
  <c r="D5" i="83" s="1"/>
  <c r="C4" i="83"/>
  <c r="D4" i="83" s="1"/>
  <c r="C3" i="83"/>
  <c r="D3" i="83" s="1"/>
  <c r="B16" i="83" l="1"/>
  <c r="I37" i="34"/>
  <c r="G37" i="34"/>
  <c r="E37" i="34"/>
  <c r="C13" i="83"/>
  <c r="C16" i="83"/>
  <c r="I34" i="34" l="1"/>
  <c r="G34" i="34"/>
  <c r="I42" i="34"/>
  <c r="G42" i="34"/>
  <c r="E42" i="34"/>
  <c r="E34" i="34" s="1"/>
  <c r="I25" i="34"/>
  <c r="G25" i="34"/>
  <c r="F70" i="82"/>
  <c r="F52" i="82"/>
  <c r="F49" i="82"/>
  <c r="C42" i="34"/>
  <c r="Q72" i="82" l="1"/>
  <c r="Q59" i="82"/>
  <c r="K59" i="82"/>
  <c r="P74" i="82" s="1"/>
  <c r="F59" i="82"/>
  <c r="Q58" i="82"/>
  <c r="Q51" i="82"/>
  <c r="J50" i="82"/>
  <c r="M47" i="82"/>
  <c r="D46" i="82"/>
  <c r="F33" i="82"/>
  <c r="F61" i="82" s="1"/>
  <c r="F31" i="82"/>
  <c r="F23" i="82"/>
  <c r="D23" i="82" s="1"/>
  <c r="F21" i="82"/>
  <c r="F20" i="82"/>
  <c r="M19" i="82"/>
  <c r="F18" i="82"/>
  <c r="M17" i="82"/>
  <c r="F17" i="82"/>
  <c r="F15" i="82"/>
  <c r="D24" i="82" l="1"/>
  <c r="P61" i="82"/>
  <c r="D22" i="82"/>
  <c r="B131" i="79" l="1"/>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H112" i="79" s="1"/>
  <c r="I112" i="79" s="1"/>
  <c r="J112" i="79" s="1"/>
  <c r="K112" i="79" s="1"/>
  <c r="L112" i="79" s="1"/>
  <c r="M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D90" i="79"/>
  <c r="E90" i="79" s="1"/>
  <c r="F90" i="79" s="1"/>
  <c r="G90" i="79" s="1"/>
  <c r="H90" i="79" s="1"/>
  <c r="I90" i="79" s="1"/>
  <c r="J90" i="79" s="1"/>
  <c r="K90" i="79" s="1"/>
  <c r="L90" i="79" s="1"/>
  <c r="M90" i="79" s="1"/>
  <c r="B89" i="79"/>
  <c r="D88" i="79"/>
  <c r="E88" i="79" s="1"/>
  <c r="F88" i="79" s="1"/>
  <c r="G88" i="79" s="1"/>
  <c r="H88" i="79" s="1"/>
  <c r="I88" i="79" s="1"/>
  <c r="J88" i="79" s="1"/>
  <c r="K88" i="79" s="1"/>
  <c r="L88" i="79" s="1"/>
  <c r="M88" i="79" s="1"/>
  <c r="D86" i="79"/>
  <c r="E86" i="79" s="1"/>
  <c r="F86" i="79" s="1"/>
  <c r="G86" i="79" s="1"/>
  <c r="D84" i="79"/>
  <c r="E84" i="79" s="1"/>
  <c r="F84" i="79" s="1"/>
  <c r="G84" i="79" s="1"/>
  <c r="D82" i="79"/>
  <c r="E82" i="79" s="1"/>
  <c r="F82" i="79" s="1"/>
  <c r="G82" i="79" s="1"/>
  <c r="D80" i="79"/>
  <c r="E80" i="79" s="1"/>
  <c r="F80" i="79" s="1"/>
  <c r="G80" i="79" s="1"/>
  <c r="D78" i="79"/>
  <c r="E78" i="79" s="1"/>
  <c r="F78" i="79" s="1"/>
  <c r="G78" i="79" s="1"/>
  <c r="B75" i="79"/>
  <c r="B73" i="79"/>
  <c r="B71" i="79"/>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5" i="79"/>
  <c r="Z25" i="79" s="1"/>
  <c r="J25" i="79"/>
  <c r="AC25" i="79" s="1"/>
  <c r="H25" i="79"/>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79"/>
  <c r="D2" i="79"/>
  <c r="U8" i="79" l="1"/>
  <c r="AA8" i="79"/>
  <c r="AC8" i="79"/>
  <c r="U9" i="79"/>
  <c r="S10" i="79"/>
  <c r="W10" i="79"/>
  <c r="U11" i="79"/>
  <c r="S12" i="79"/>
  <c r="W12" i="79"/>
  <c r="U13" i="79"/>
  <c r="S14" i="79"/>
  <c r="W14" i="79"/>
  <c r="S15" i="79"/>
  <c r="W15" i="79"/>
  <c r="S17" i="79"/>
  <c r="W17" i="79"/>
  <c r="S19" i="79"/>
  <c r="W19" i="79"/>
  <c r="S21" i="79"/>
  <c r="W21" i="79"/>
  <c r="S23" i="79"/>
  <c r="W23" i="79"/>
  <c r="AB25" i="79"/>
  <c r="U25" i="79"/>
  <c r="W25" i="79"/>
  <c r="S9" i="79"/>
  <c r="W9" i="79"/>
  <c r="U10" i="79"/>
  <c r="S11" i="79"/>
  <c r="W11" i="79"/>
  <c r="U12" i="79"/>
  <c r="S13" i="79"/>
  <c r="W13" i="79"/>
  <c r="U14" i="79"/>
  <c r="U15" i="79"/>
  <c r="U17" i="79"/>
  <c r="U19" i="79"/>
  <c r="U21" i="79"/>
  <c r="U23" i="79"/>
  <c r="S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U47"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S47" i="79"/>
  <c r="W47" i="79"/>
  <c r="B112" i="77" l="1"/>
  <c r="B110" i="77"/>
  <c r="H39" i="77" s="1"/>
  <c r="AB39" i="77" s="1"/>
  <c r="B108" i="77"/>
  <c r="D107" i="77"/>
  <c r="E107" i="77" s="1"/>
  <c r="F107" i="77" s="1"/>
  <c r="G107" i="77" s="1"/>
  <c r="H107" i="77" s="1"/>
  <c r="I107" i="77" s="1"/>
  <c r="J107" i="77" s="1"/>
  <c r="K107" i="77" s="1"/>
  <c r="L107" i="77" s="1"/>
  <c r="M107" i="77" s="1"/>
  <c r="D105" i="77"/>
  <c r="E105" i="77" s="1"/>
  <c r="F105" i="77" s="1"/>
  <c r="G105" i="77" s="1"/>
  <c r="D103" i="77"/>
  <c r="E103" i="77" s="1"/>
  <c r="F103" i="77" s="1"/>
  <c r="G103" i="77" s="1"/>
  <c r="H103" i="77" s="1"/>
  <c r="I103" i="77" s="1"/>
  <c r="J103" i="77" s="1"/>
  <c r="K103" i="77" s="1"/>
  <c r="L103" i="77" s="1"/>
  <c r="M103" i="77" s="1"/>
  <c r="D101" i="77"/>
  <c r="E101" i="77" s="1"/>
  <c r="F101" i="77" s="1"/>
  <c r="G101" i="77" s="1"/>
  <c r="H101" i="77" s="1"/>
  <c r="I101" i="77" s="1"/>
  <c r="J101" i="77" s="1"/>
  <c r="K101" i="77" s="1"/>
  <c r="L101" i="77" s="1"/>
  <c r="M101" i="77" s="1"/>
  <c r="D99" i="77"/>
  <c r="E99" i="77" s="1"/>
  <c r="F99" i="77" s="1"/>
  <c r="G99" i="77" s="1"/>
  <c r="H99" i="77" s="1"/>
  <c r="I99" i="77" s="1"/>
  <c r="J99" i="77" s="1"/>
  <c r="K99" i="77" s="1"/>
  <c r="L99" i="77" s="1"/>
  <c r="M99" i="77" s="1"/>
  <c r="G97" i="77"/>
  <c r="F97" i="77"/>
  <c r="E97" i="77"/>
  <c r="D97" i="77"/>
  <c r="C97" i="77"/>
  <c r="D96" i="77"/>
  <c r="E96" i="77" s="1"/>
  <c r="F96" i="77" s="1"/>
  <c r="G96" i="77" s="1"/>
  <c r="H96" i="77" s="1"/>
  <c r="I96" i="77" s="1"/>
  <c r="J96" i="77" s="1"/>
  <c r="K96" i="77" s="1"/>
  <c r="L96" i="77" s="1"/>
  <c r="M96" i="77" s="1"/>
  <c r="D94" i="77"/>
  <c r="E94" i="77" s="1"/>
  <c r="F94" i="77" s="1"/>
  <c r="G94" i="77" s="1"/>
  <c r="H94" i="77" s="1"/>
  <c r="I94" i="77" s="1"/>
  <c r="J94" i="77" s="1"/>
  <c r="K94" i="77" s="1"/>
  <c r="L94" i="77" s="1"/>
  <c r="M94" i="77" s="1"/>
  <c r="M90" i="77"/>
  <c r="L90" i="77"/>
  <c r="K90" i="77"/>
  <c r="J90" i="77"/>
  <c r="I90" i="77"/>
  <c r="H90" i="77"/>
  <c r="G90" i="77"/>
  <c r="F90" i="77"/>
  <c r="E90" i="77"/>
  <c r="D90" i="77"/>
  <c r="C90" i="77"/>
  <c r="D89" i="77"/>
  <c r="E89" i="77" s="1"/>
  <c r="F89" i="77" s="1"/>
  <c r="G89" i="77" s="1"/>
  <c r="H89" i="77" s="1"/>
  <c r="I89" i="77" s="1"/>
  <c r="J89" i="77" s="1"/>
  <c r="K89" i="77" s="1"/>
  <c r="L89" i="77" s="1"/>
  <c r="M89" i="77" s="1"/>
  <c r="B86" i="77"/>
  <c r="H28" i="77" s="1"/>
  <c r="AB28" i="77" s="1"/>
  <c r="B84" i="77"/>
  <c r="B82" i="77"/>
  <c r="H26" i="77" s="1"/>
  <c r="AB26" i="77" s="1"/>
  <c r="B80" i="77"/>
  <c r="D79" i="77"/>
  <c r="E79" i="77" s="1"/>
  <c r="F79" i="77" s="1"/>
  <c r="G79" i="77" s="1"/>
  <c r="D77" i="77"/>
  <c r="E77" i="77" s="1"/>
  <c r="F77" i="77" s="1"/>
  <c r="G77" i="77" s="1"/>
  <c r="D75" i="77"/>
  <c r="E75" i="77" s="1"/>
  <c r="F75" i="77" s="1"/>
  <c r="G75" i="77" s="1"/>
  <c r="D73" i="77"/>
  <c r="E73" i="77" s="1"/>
  <c r="F73" i="77" s="1"/>
  <c r="G73" i="77" s="1"/>
  <c r="D71" i="77"/>
  <c r="E71" i="77" s="1"/>
  <c r="F71" i="77" s="1"/>
  <c r="G71" i="77" s="1"/>
  <c r="B68" i="77"/>
  <c r="B66" i="77"/>
  <c r="J13" i="77" s="1"/>
  <c r="AC13" i="77" s="1"/>
  <c r="B64" i="77"/>
  <c r="D63" i="77"/>
  <c r="E63" i="77" s="1"/>
  <c r="F63" i="77" s="1"/>
  <c r="G63" i="77" s="1"/>
  <c r="H63" i="77" s="1"/>
  <c r="I63" i="77" s="1"/>
  <c r="J63" i="77" s="1"/>
  <c r="K63" i="77" s="1"/>
  <c r="L63" i="77" s="1"/>
  <c r="M63" i="77" s="1"/>
  <c r="M61" i="77"/>
  <c r="L61" i="77"/>
  <c r="K61" i="77"/>
  <c r="J61" i="77"/>
  <c r="I61" i="77"/>
  <c r="H61" i="77"/>
  <c r="G61" i="77"/>
  <c r="F61" i="77"/>
  <c r="E61" i="77"/>
  <c r="D61" i="77"/>
  <c r="C61" i="77"/>
  <c r="F60" i="77"/>
  <c r="G60" i="77" s="1"/>
  <c r="H60" i="77" s="1"/>
  <c r="I60" i="77" s="1"/>
  <c r="C57" i="77"/>
  <c r="I48" i="77"/>
  <c r="J48" i="77" s="1"/>
  <c r="G48" i="77"/>
  <c r="H48" i="77" s="1"/>
  <c r="E48" i="77"/>
  <c r="F48" i="77" s="1"/>
  <c r="P43" i="77"/>
  <c r="P42" i="77"/>
  <c r="V41" i="77"/>
  <c r="T41" i="77"/>
  <c r="R41" i="77"/>
  <c r="P41" i="77"/>
  <c r="Q40" i="77"/>
  <c r="Z40" i="77" s="1"/>
  <c r="J40" i="77"/>
  <c r="AC40" i="77" s="1"/>
  <c r="H40" i="77"/>
  <c r="AB40" i="77" s="1"/>
  <c r="F40" i="77"/>
  <c r="AA40" i="77" s="1"/>
  <c r="Q39" i="77"/>
  <c r="Z39" i="77" s="1"/>
  <c r="J39" i="77"/>
  <c r="AC39" i="77" s="1"/>
  <c r="F39" i="77"/>
  <c r="AA39" i="77" s="1"/>
  <c r="Q38" i="77"/>
  <c r="Z38" i="77" s="1"/>
  <c r="J38" i="77"/>
  <c r="AC38" i="77" s="1"/>
  <c r="H38" i="77"/>
  <c r="AB38" i="77" s="1"/>
  <c r="F38" i="77"/>
  <c r="AA38" i="77" s="1"/>
  <c r="Q37" i="77"/>
  <c r="Z37" i="77" s="1"/>
  <c r="J37" i="77"/>
  <c r="AC37" i="77" s="1"/>
  <c r="F37" i="77"/>
  <c r="AA37" i="77" s="1"/>
  <c r="Q36" i="77"/>
  <c r="Z36" i="77" s="1"/>
  <c r="J36" i="77"/>
  <c r="AC36" i="77" s="1"/>
  <c r="H36" i="77"/>
  <c r="F36" i="77"/>
  <c r="AA36" i="77" s="1"/>
  <c r="Q35" i="77"/>
  <c r="Z35" i="77" s="1"/>
  <c r="J35" i="77"/>
  <c r="W35" i="77" s="1"/>
  <c r="H35" i="77"/>
  <c r="AB35" i="77" s="1"/>
  <c r="F35" i="77"/>
  <c r="AA35" i="77" s="1"/>
  <c r="Q34" i="77"/>
  <c r="Z34" i="77" s="1"/>
  <c r="J34" i="77"/>
  <c r="AC34" i="77" s="1"/>
  <c r="H34" i="77"/>
  <c r="AB34" i="77" s="1"/>
  <c r="F34" i="77"/>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F28" i="77"/>
  <c r="Q27" i="77"/>
  <c r="Z27" i="77" s="1"/>
  <c r="J27" i="77"/>
  <c r="AC27" i="77" s="1"/>
  <c r="H27" i="77"/>
  <c r="AB27" i="77" s="1"/>
  <c r="F27" i="77"/>
  <c r="AA27" i="77" s="1"/>
  <c r="Q26" i="77"/>
  <c r="Z26" i="77" s="1"/>
  <c r="J26" i="77"/>
  <c r="W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W21" i="77" s="1"/>
  <c r="H21" i="77"/>
  <c r="AB21" i="77" s="1"/>
  <c r="F21" i="77"/>
  <c r="AA21" i="77" s="1"/>
  <c r="C21" i="77"/>
  <c r="Q19" i="77"/>
  <c r="Z19" i="77" s="1"/>
  <c r="J19" i="77"/>
  <c r="AC19" i="77" s="1"/>
  <c r="H19" i="77"/>
  <c r="AB19" i="77" s="1"/>
  <c r="F19" i="77"/>
  <c r="AA19" i="77" s="1"/>
  <c r="C19" i="77"/>
  <c r="Q17" i="77"/>
  <c r="Z17" i="77" s="1"/>
  <c r="J17" i="77"/>
  <c r="W17" i="77" s="1"/>
  <c r="H17" i="77"/>
  <c r="AB17" i="77" s="1"/>
  <c r="F17" i="77"/>
  <c r="AA17" i="77" s="1"/>
  <c r="C17" i="77"/>
  <c r="Q15" i="77"/>
  <c r="Z15" i="77" s="1"/>
  <c r="J15" i="77"/>
  <c r="AC15" i="77" s="1"/>
  <c r="F15" i="77"/>
  <c r="AA15" i="77" s="1"/>
  <c r="C15" i="77"/>
  <c r="Q14" i="77"/>
  <c r="Z14" i="77" s="1"/>
  <c r="J14" i="77"/>
  <c r="W14" i="77" s="1"/>
  <c r="H14" i="77"/>
  <c r="AB14" i="77" s="1"/>
  <c r="F14" i="77"/>
  <c r="AA14" i="77" s="1"/>
  <c r="Q13" i="77"/>
  <c r="Z13" i="77" s="1"/>
  <c r="H13" i="77"/>
  <c r="AB13" i="77" s="1"/>
  <c r="Q12" i="77"/>
  <c r="Z12" i="77" s="1"/>
  <c r="J12" i="77"/>
  <c r="AC12" i="77" s="1"/>
  <c r="H12" i="77"/>
  <c r="AB12" i="77" s="1"/>
  <c r="F12" i="77"/>
  <c r="AA12" i="77" s="1"/>
  <c r="Q11" i="77"/>
  <c r="Z11" i="77" s="1"/>
  <c r="J11" i="77"/>
  <c r="AC11" i="77" s="1"/>
  <c r="H11" i="77"/>
  <c r="AB11" i="77" s="1"/>
  <c r="F11" i="77"/>
  <c r="AA11" i="77" s="1"/>
  <c r="Q10" i="77"/>
  <c r="Z10" i="77" s="1"/>
  <c r="H10" i="77"/>
  <c r="AB10" i="77" s="1"/>
  <c r="Q9" i="77"/>
  <c r="Z9" i="77" s="1"/>
  <c r="J9" i="77"/>
  <c r="AC9" i="77" s="1"/>
  <c r="H9" i="77"/>
  <c r="U9" i="77" s="1"/>
  <c r="F9" i="77"/>
  <c r="AA9" i="77" s="1"/>
  <c r="J8" i="77"/>
  <c r="W8" i="77" s="1"/>
  <c r="H8" i="77"/>
  <c r="AB8" i="77" s="1"/>
  <c r="F8" i="77"/>
  <c r="S8" i="77" s="1"/>
  <c r="D3" i="77"/>
  <c r="D2" i="77"/>
  <c r="AC14" i="77" l="1"/>
  <c r="U25" i="77"/>
  <c r="F10" i="77"/>
  <c r="AA10" i="77" s="1"/>
  <c r="J10" i="77"/>
  <c r="W10" i="77" s="1"/>
  <c r="F13" i="77"/>
  <c r="AA13" i="77" s="1"/>
  <c r="U13" i="77"/>
  <c r="H15" i="77"/>
  <c r="AB15" i="77" s="1"/>
  <c r="AC26" i="77"/>
  <c r="H37" i="77"/>
  <c r="AB37" i="77" s="1"/>
  <c r="AC35" i="77"/>
  <c r="U34" i="77"/>
  <c r="AC21" i="77"/>
  <c r="AC17" i="77"/>
  <c r="AB9" i="77"/>
  <c r="U8" i="77"/>
  <c r="AA8" i="77"/>
  <c r="S12" i="77"/>
  <c r="S15" i="77"/>
  <c r="S19" i="77"/>
  <c r="S23" i="77"/>
  <c r="AA28" i="77"/>
  <c r="S28" i="77"/>
  <c r="AC28" i="77"/>
  <c r="W28" i="77"/>
  <c r="AC8" i="77"/>
  <c r="U11" i="77"/>
  <c r="W12" i="77"/>
  <c r="S14" i="77"/>
  <c r="W15" i="77"/>
  <c r="S17" i="77"/>
  <c r="W19" i="77"/>
  <c r="S21" i="77"/>
  <c r="W23" i="77"/>
  <c r="S26" i="77"/>
  <c r="U27" i="77"/>
  <c r="U29" i="77"/>
  <c r="S30" i="77"/>
  <c r="W30" i="77"/>
  <c r="U31" i="77"/>
  <c r="S32" i="77"/>
  <c r="W32" i="77"/>
  <c r="U33" i="77"/>
  <c r="AA34" i="77"/>
  <c r="S34" i="77"/>
  <c r="AB36" i="77"/>
  <c r="U36" i="77"/>
  <c r="S9" i="77"/>
  <c r="W9" i="77"/>
  <c r="U10" i="77"/>
  <c r="S11" i="77"/>
  <c r="W11" i="77"/>
  <c r="U12" i="77"/>
  <c r="S13" i="77"/>
  <c r="W13" i="77"/>
  <c r="U14" i="77"/>
  <c r="U17" i="77"/>
  <c r="U19" i="77"/>
  <c r="U21" i="77"/>
  <c r="U23" i="77"/>
  <c r="S25" i="77"/>
  <c r="W25" i="77"/>
  <c r="U26" i="77"/>
  <c r="S27" i="77"/>
  <c r="W27" i="77"/>
  <c r="U28" i="77"/>
  <c r="S29" i="77"/>
  <c r="W29" i="77"/>
  <c r="U30" i="77"/>
  <c r="S31" i="77"/>
  <c r="W31" i="77"/>
  <c r="U32" i="77"/>
  <c r="S33" i="77"/>
  <c r="W33" i="77"/>
  <c r="S35" i="77"/>
  <c r="S37" i="77"/>
  <c r="W37" i="77"/>
  <c r="U38" i="77"/>
  <c r="S39" i="77"/>
  <c r="W39" i="77"/>
  <c r="U40" i="77"/>
  <c r="W34" i="77"/>
  <c r="U35" i="77"/>
  <c r="S36" i="77"/>
  <c r="W36" i="77"/>
  <c r="S38" i="77"/>
  <c r="W38" i="77"/>
  <c r="U39" i="77"/>
  <c r="S40" i="77"/>
  <c r="W40" i="77"/>
  <c r="L3" i="71"/>
  <c r="K3" i="71"/>
  <c r="I3" i="71"/>
  <c r="S10" i="77" l="1"/>
  <c r="U37" i="77"/>
  <c r="U15" i="77"/>
  <c r="AC10" i="77"/>
  <c r="J3" i="7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9" i="76"/>
  <c r="E11" i="76"/>
  <c r="E10" i="76"/>
  <c r="B10" i="76"/>
  <c r="E12" i="76"/>
  <c r="B7" i="76"/>
  <c r="B12" i="76"/>
  <c r="B13" i="76"/>
  <c r="E8" i="76"/>
  <c r="E13" i="76"/>
  <c r="E9" i="76"/>
  <c r="B8" i="76"/>
  <c r="B11" i="76"/>
  <c r="E7" i="76"/>
  <c r="C76" i="9" l="1"/>
  <c r="I107" i="40" l="1"/>
  <c r="K6" i="4" l="1"/>
  <c r="N56" i="9" l="1"/>
  <c r="M56" i="9"/>
  <c r="K56" i="9"/>
  <c r="E18" i="74" l="1"/>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4" i="73"/>
  <c r="F3" i="73"/>
  <c r="F6" i="73"/>
  <c r="D3" i="73"/>
  <c r="F5" i="73"/>
  <c r="I1" i="73" l="1"/>
  <c r="B39" i="1" s="1"/>
  <c r="D7" i="73"/>
  <c r="D5" i="73"/>
  <c r="D6" i="73"/>
  <c r="D4" i="73"/>
  <c r="F11" i="86" l="1"/>
  <c r="M11" i="86"/>
  <c r="F11" i="82"/>
  <c r="M11" i="82"/>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6" l="1"/>
  <c r="C10" i="86"/>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N17" i="71"/>
  <c r="Q16" i="71"/>
  <c r="AB16" i="71" s="1"/>
  <c r="P16" i="71"/>
  <c r="O16" i="71"/>
  <c r="N16" i="71"/>
  <c r="Q15" i="71"/>
  <c r="AB15" i="71" s="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F11" i="71"/>
  <c r="F12" i="71" s="1"/>
  <c r="F13" i="71" s="1"/>
  <c r="V13" i="71" s="1"/>
  <c r="Q10" i="71"/>
  <c r="P10" i="71"/>
  <c r="O10" i="71"/>
  <c r="N10" i="71"/>
  <c r="D10" i="71"/>
  <c r="O9" i="71"/>
  <c r="N9" i="71"/>
  <c r="F24" i="71" l="1"/>
  <c r="F25" i="71" s="1"/>
  <c r="V25" i="71" s="1"/>
  <c r="Y5" i="71"/>
  <c r="Z5" i="71" s="1"/>
  <c r="Y12" i="71"/>
  <c r="Z12" i="71" s="1"/>
  <c r="AB11" i="71"/>
  <c r="AB12" i="71"/>
  <c r="AB13" i="71"/>
  <c r="Y15" i="71"/>
  <c r="Z15" i="71" s="1"/>
  <c r="Y16" i="71"/>
  <c r="Z16" i="71" s="1"/>
  <c r="Y17" i="71"/>
  <c r="Z17" i="71" s="1"/>
  <c r="B56" i="71"/>
  <c r="B55" i="71" s="1"/>
  <c r="Y11" i="71"/>
  <c r="Z11" i="71" s="1"/>
  <c r="Y13" i="71"/>
  <c r="Z13" i="71" s="1"/>
  <c r="B60" i="71"/>
  <c r="B59" i="71" s="1"/>
  <c r="X5" i="7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s="1"/>
  <c r="AA21" i="34" s="1"/>
  <c r="C21" i="34"/>
  <c r="Q21" i="33"/>
  <c r="Z21" i="33" s="1"/>
  <c r="D83" i="33"/>
  <c r="E83" i="33" s="1"/>
  <c r="C21" i="33"/>
  <c r="C21" i="21"/>
  <c r="Q21" i="21"/>
  <c r="Z21" i="21" s="1"/>
  <c r="D83" i="21"/>
  <c r="F21" i="21" s="1"/>
  <c r="AA21" i="21" s="1"/>
  <c r="D81" i="21"/>
  <c r="G20" i="20"/>
  <c r="B86" i="43" s="1"/>
  <c r="C22" i="20"/>
  <c r="AO9" i="1"/>
  <c r="AO13" i="1"/>
  <c r="AO10" i="1"/>
  <c r="AO12"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5" i="66" s="1"/>
  <c r="I12" i="66"/>
  <c r="I9" i="66"/>
  <c r="I8" i="66"/>
  <c r="I7" i="66"/>
  <c r="I6" i="66"/>
  <c r="I5" i="66"/>
  <c r="I4" i="66"/>
  <c r="I10" i="66" s="1"/>
  <c r="I21" i="66" s="1"/>
  <c r="I3" i="66"/>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6" s="1"/>
  <c r="F15" i="4"/>
  <c r="F9" i="1"/>
  <c r="F10" i="1"/>
  <c r="F11" i="1"/>
  <c r="F12" i="1"/>
  <c r="F13" i="1"/>
  <c r="D6" i="1"/>
  <c r="D9" i="1"/>
  <c r="D10" i="1"/>
  <c r="D11" i="1"/>
  <c r="D12" i="1"/>
  <c r="D13" i="1"/>
  <c r="D7" i="1"/>
  <c r="D8" i="1"/>
  <c r="A7" i="1"/>
  <c r="B7" i="1" s="1"/>
  <c r="E7" i="1" s="1"/>
  <c r="A8" i="1"/>
  <c r="B8" i="1" s="1"/>
  <c r="E8" i="1" s="1"/>
  <c r="A9" i="1"/>
  <c r="A10" i="1"/>
  <c r="K10" i="1" s="1"/>
  <c r="M10" i="1" s="1"/>
  <c r="O10" i="1" s="1"/>
  <c r="A11" i="1"/>
  <c r="A12" i="1"/>
  <c r="A13" i="1"/>
  <c r="B13" i="1" s="1"/>
  <c r="E13" i="1" s="1"/>
  <c r="A6" i="1"/>
  <c r="B11" i="1"/>
  <c r="E11"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s="1"/>
  <c r="AZ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A490" i="3" s="1"/>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A486" i="3" s="1"/>
  <c r="BC486" i="3"/>
  <c r="BB486" i="3"/>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A468" i="3" s="1"/>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F30" i="40" s="1"/>
  <c r="AA30" i="40" s="1"/>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360" i="31"/>
  <c r="S328" i="31"/>
  <c r="S298" i="31"/>
  <c r="S26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A493" i="3" s="1"/>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BT5" i="3" s="1"/>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AZ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L584" i="3" s="1"/>
  <c r="BQ584" i="3"/>
  <c r="BR584" i="3"/>
  <c r="BS584" i="3"/>
  <c r="BT584" i="3"/>
  <c r="H7" i="12"/>
  <c r="I7" i="12"/>
  <c r="J7" i="12"/>
  <c r="K7" i="12"/>
  <c r="H111" i="21"/>
  <c r="B110" i="39"/>
  <c r="B112" i="39"/>
  <c r="J30" i="36"/>
  <c r="W30" i="36" s="1"/>
  <c r="H30" i="36"/>
  <c r="U30" i="36" s="1"/>
  <c r="F30" i="36"/>
  <c r="AA30" i="36" s="1"/>
  <c r="C26" i="35"/>
  <c r="C79" i="35" s="1"/>
  <c r="J31" i="35"/>
  <c r="W31" i="35" s="1"/>
  <c r="H31" i="35"/>
  <c r="AB31" i="35" s="1"/>
  <c r="F31" i="35"/>
  <c r="S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D111" i="33"/>
  <c r="E111" i="33" s="1"/>
  <c r="F111" i="33" s="1"/>
  <c r="S515" i="31"/>
  <c r="S517" i="31"/>
  <c r="S519" i="31"/>
  <c r="S521" i="31"/>
  <c r="S523"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U13" i="40" s="1"/>
  <c r="B77" i="40"/>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Q39" i="39"/>
  <c r="Z39" i="39" s="1"/>
  <c r="Q40" i="39"/>
  <c r="Z40" i="39" s="1"/>
  <c r="Q41" i="39"/>
  <c r="Z41" i="39" s="1"/>
  <c r="Q42" i="39"/>
  <c r="Z42" i="39" s="1"/>
  <c r="Q43" i="39"/>
  <c r="Z43" i="39" s="1"/>
  <c r="Q44" i="39"/>
  <c r="Z44" i="39" s="1"/>
  <c r="Q45" i="39"/>
  <c r="Z45" i="39" s="1"/>
  <c r="Q38" i="39"/>
  <c r="Z38" i="39" s="1"/>
  <c r="Q36" i="39"/>
  <c r="Z36" i="39" s="1"/>
  <c r="Q37" i="39"/>
  <c r="Z37" i="39" s="1"/>
  <c r="B131" i="39"/>
  <c r="F45" i="39" s="1"/>
  <c r="S45" i="39" s="1"/>
  <c r="B129" i="39"/>
  <c r="H44" i="39" s="1"/>
  <c r="U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s="1"/>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H38" i="37" s="1"/>
  <c r="AB38" i="37" s="1"/>
  <c r="C23" i="37"/>
  <c r="C19" i="37"/>
  <c r="C17" i="37"/>
  <c r="C15" i="37"/>
  <c r="B112" i="37"/>
  <c r="J40" i="37" s="1"/>
  <c r="D107" i="37"/>
  <c r="E107" i="37" s="1"/>
  <c r="F107" i="37" s="1"/>
  <c r="G107" i="37" s="1"/>
  <c r="H107" i="37" s="1"/>
  <c r="I107" i="37" s="1"/>
  <c r="J107" i="37" s="1"/>
  <c r="K107" i="37" s="1"/>
  <c r="L107" i="37" s="1"/>
  <c r="M107" i="37" s="1"/>
  <c r="D105" i="37"/>
  <c r="E105" i="37"/>
  <c r="F105" i="37" s="1"/>
  <c r="G105" i="37" s="1"/>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J27" i="37" s="1"/>
  <c r="AC27" i="37" s="1"/>
  <c r="H27" i="37"/>
  <c r="U27" i="37" s="1"/>
  <c r="B82" i="37"/>
  <c r="H26" i="37" s="1"/>
  <c r="AB26" i="37" s="1"/>
  <c r="D79" i="37"/>
  <c r="E79" i="37" s="1"/>
  <c r="D75" i="37"/>
  <c r="E75" i="37" s="1"/>
  <c r="D73" i="37"/>
  <c r="E73" i="37" s="1"/>
  <c r="F73" i="37" s="1"/>
  <c r="D71" i="37"/>
  <c r="H15" i="37"/>
  <c r="AB15" i="37" s="1"/>
  <c r="B68" i="37"/>
  <c r="F14" i="37" s="1"/>
  <c r="S14" i="37" s="1"/>
  <c r="H14" i="37"/>
  <c r="B66" i="37"/>
  <c r="B64" i="37"/>
  <c r="J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W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B71" i="36"/>
  <c r="D70" i="36"/>
  <c r="H22" i="36"/>
  <c r="AB22" i="36" s="1"/>
  <c r="D68" i="36"/>
  <c r="E68" i="36" s="1"/>
  <c r="F68" i="36" s="1"/>
  <c r="G68" i="36" s="1"/>
  <c r="D64" i="36"/>
  <c r="E64" i="36" s="1"/>
  <c r="F64" i="36" s="1"/>
  <c r="G64" i="36" s="1"/>
  <c r="J16" i="36"/>
  <c r="W16" i="36" s="1"/>
  <c r="D62" i="36"/>
  <c r="E62" i="36" s="1"/>
  <c r="F62" i="36" s="1"/>
  <c r="G62" i="36" s="1"/>
  <c r="B59" i="36"/>
  <c r="H13" i="36" s="1"/>
  <c r="AB13" i="36" s="1"/>
  <c r="B57" i="36"/>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S36" i="35" s="1"/>
  <c r="B99" i="35"/>
  <c r="F35" i="35" s="1"/>
  <c r="AA35" i="35" s="1"/>
  <c r="B97" i="35"/>
  <c r="H34" i="35" s="1"/>
  <c r="B77" i="35"/>
  <c r="B75" i="35"/>
  <c r="J24" i="35" s="1"/>
  <c r="AC24" i="35" s="1"/>
  <c r="B73" i="35"/>
  <c r="B57" i="35"/>
  <c r="B61" i="35"/>
  <c r="B59" i="35"/>
  <c r="H12" i="35" s="1"/>
  <c r="B131" i="34"/>
  <c r="J47" i="34" s="1"/>
  <c r="AC47" i="34" s="1"/>
  <c r="B129" i="34"/>
  <c r="F46" i="34" s="1"/>
  <c r="B127" i="34"/>
  <c r="B99" i="34"/>
  <c r="F32" i="34" s="1"/>
  <c r="B97" i="34"/>
  <c r="J31" i="34" s="1"/>
  <c r="AC31" i="34" s="1"/>
  <c r="B95" i="34"/>
  <c r="F30" i="34" s="1"/>
  <c r="S30" i="34" s="1"/>
  <c r="B93" i="34"/>
  <c r="B75" i="34"/>
  <c r="B73" i="34"/>
  <c r="F13" i="34" s="1"/>
  <c r="AA13" i="34" s="1"/>
  <c r="B71" i="34"/>
  <c r="H12" i="34" s="1"/>
  <c r="B130" i="33"/>
  <c r="B128" i="33"/>
  <c r="B126" i="33"/>
  <c r="H44" i="33" s="1"/>
  <c r="B98" i="33"/>
  <c r="H31" i="33" s="1"/>
  <c r="B96" i="33"/>
  <c r="B94" i="33"/>
  <c r="H29" i="33" s="1"/>
  <c r="U29" i="33" s="1"/>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F67" i="34"/>
  <c r="G67" i="34" s="1"/>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J25" i="34" s="1"/>
  <c r="AC25" i="34" s="1"/>
  <c r="D86" i="34"/>
  <c r="F23" i="34" s="1"/>
  <c r="AA23" i="34" s="1"/>
  <c r="D82" i="34"/>
  <c r="E82" i="34" s="1"/>
  <c r="F82" i="34" s="1"/>
  <c r="G82" i="34" s="1"/>
  <c r="D80" i="34"/>
  <c r="D78" i="34"/>
  <c r="H15" i="34" s="1"/>
  <c r="AB15"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F26" i="33" s="1"/>
  <c r="AA26" i="33" s="1"/>
  <c r="C23" i="33"/>
  <c r="C19" i="33"/>
  <c r="C17" i="33"/>
  <c r="C15" i="33"/>
  <c r="C15" i="21"/>
  <c r="D125" i="33"/>
  <c r="F43" i="33" s="1"/>
  <c r="AA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A40" i="33"/>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H34" i="21" s="1"/>
  <c r="AB34"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H44" i="21" s="1"/>
  <c r="U44" i="21" s="1"/>
  <c r="B98"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J10" i="21"/>
  <c r="AC10" i="21" s="1"/>
  <c r="H26" i="21"/>
  <c r="AB26" i="21" s="1"/>
  <c r="H12" i="21"/>
  <c r="AB12" i="21" s="1"/>
  <c r="J26" i="21"/>
  <c r="W26" i="21" s="1"/>
  <c r="F26" i="21"/>
  <c r="S26" i="21" s="1"/>
  <c r="H36" i="39"/>
  <c r="AB36" i="39" s="1"/>
  <c r="F39" i="37"/>
  <c r="F29" i="36"/>
  <c r="AA29" i="36" s="1"/>
  <c r="W8" i="36"/>
  <c r="F16" i="36"/>
  <c r="AA16" i="36" s="1"/>
  <c r="W28" i="36"/>
  <c r="AA31" i="36"/>
  <c r="AC31" i="36"/>
  <c r="H22" i="35"/>
  <c r="AB22" i="35" s="1"/>
  <c r="U31" i="35"/>
  <c r="W22" i="35"/>
  <c r="F36" i="34"/>
  <c r="J35" i="34"/>
  <c r="H39" i="33"/>
  <c r="AB39" i="33" s="1"/>
  <c r="S40" i="33"/>
  <c r="H39" i="37"/>
  <c r="F11" i="40"/>
  <c r="AA11" i="40" s="1"/>
  <c r="H11" i="40"/>
  <c r="AB11" i="40" s="1"/>
  <c r="U9" i="40"/>
  <c r="U38" i="40"/>
  <c r="U34" i="40"/>
  <c r="U40" i="40"/>
  <c r="F42" i="39"/>
  <c r="AA42" i="39" s="1"/>
  <c r="F41" i="39"/>
  <c r="S41" i="39" s="1"/>
  <c r="H40" i="39"/>
  <c r="AB40" i="39" s="1"/>
  <c r="H39" i="39"/>
  <c r="U39" i="39" s="1"/>
  <c r="H34" i="39"/>
  <c r="U34" i="39" s="1"/>
  <c r="F31" i="39"/>
  <c r="AA31" i="39" s="1"/>
  <c r="H19" i="39"/>
  <c r="AB19" i="39" s="1"/>
  <c r="F19" i="39"/>
  <c r="AA19" i="39" s="1"/>
  <c r="H17" i="39"/>
  <c r="AB17" i="39" s="1"/>
  <c r="F17" i="39"/>
  <c r="AA17" i="39" s="1"/>
  <c r="J23" i="40"/>
  <c r="AC23" i="40" s="1"/>
  <c r="F21" i="40"/>
  <c r="AA21" i="40" s="1"/>
  <c r="J21" i="40"/>
  <c r="W21" i="40"/>
  <c r="H42" i="39"/>
  <c r="AB42" i="39" s="1"/>
  <c r="J34" i="39"/>
  <c r="AC34" i="39" s="1"/>
  <c r="H27" i="39"/>
  <c r="U27" i="39" s="1"/>
  <c r="J19" i="39"/>
  <c r="AC19" i="39" s="1"/>
  <c r="J17" i="39"/>
  <c r="F27" i="39"/>
  <c r="C25" i="39"/>
  <c r="C15" i="39"/>
  <c r="H32" i="33"/>
  <c r="AB32" i="33" s="1"/>
  <c r="H37" i="40"/>
  <c r="U37" i="40" s="1"/>
  <c r="H36" i="40"/>
  <c r="AB36" i="40" s="1"/>
  <c r="F35" i="40"/>
  <c r="AA35" i="40" s="1"/>
  <c r="H23" i="40"/>
  <c r="H17" i="40"/>
  <c r="U17" i="40" s="1"/>
  <c r="J15" i="40"/>
  <c r="W15" i="40" s="1"/>
  <c r="J11" i="40"/>
  <c r="AB8" i="39"/>
  <c r="J30" i="35"/>
  <c r="W30" i="35" s="1"/>
  <c r="H30" i="35"/>
  <c r="AB30" i="35" s="1"/>
  <c r="F22" i="35"/>
  <c r="AA22" i="35" s="1"/>
  <c r="H10" i="35"/>
  <c r="U10" i="35" s="1"/>
  <c r="AC16" i="36"/>
  <c r="H16" i="36"/>
  <c r="AB16" i="36" s="1"/>
  <c r="J29" i="36"/>
  <c r="AC29" i="36" s="1"/>
  <c r="F12" i="36"/>
  <c r="S8" i="36"/>
  <c r="F14" i="35"/>
  <c r="AA14" i="35" s="1"/>
  <c r="J32" i="35"/>
  <c r="AC32" i="35" s="1"/>
  <c r="J16" i="35"/>
  <c r="AC16" i="35" s="1"/>
  <c r="H16" i="35"/>
  <c r="U16" i="35" s="1"/>
  <c r="F16" i="35"/>
  <c r="S16" i="35" s="1"/>
  <c r="H14" i="35"/>
  <c r="AB14" i="35" s="1"/>
  <c r="J29" i="35"/>
  <c r="AC29" i="35" s="1"/>
  <c r="H33" i="35"/>
  <c r="AB33" i="35" s="1"/>
  <c r="AC8" i="35"/>
  <c r="J20" i="35"/>
  <c r="W20" i="35" s="1"/>
  <c r="F35" i="37"/>
  <c r="S35" i="37" s="1"/>
  <c r="J34" i="37"/>
  <c r="W34" i="37" s="1"/>
  <c r="AB34" i="37"/>
  <c r="J33" i="37"/>
  <c r="AC33" i="37" s="1"/>
  <c r="U42" i="34"/>
  <c r="E114" i="34"/>
  <c r="F114" i="34" s="1"/>
  <c r="G114" i="34" s="1"/>
  <c r="H114" i="34" s="1"/>
  <c r="I114" i="34" s="1"/>
  <c r="J114" i="34" s="1"/>
  <c r="K114" i="34" s="1"/>
  <c r="L114" i="34" s="1"/>
  <c r="M114" i="34" s="1"/>
  <c r="H36" i="34"/>
  <c r="U36" i="34" s="1"/>
  <c r="F37" i="34"/>
  <c r="AA37" i="34" s="1"/>
  <c r="F28" i="34"/>
  <c r="AA28" i="34" s="1"/>
  <c r="J23" i="34"/>
  <c r="H17" i="34"/>
  <c r="U17" i="34" s="1"/>
  <c r="J15" i="34"/>
  <c r="W15" i="34" s="1"/>
  <c r="W8" i="34"/>
  <c r="E113" i="33"/>
  <c r="F113" i="33" s="1"/>
  <c r="G113" i="33" s="1"/>
  <c r="H113" i="33" s="1"/>
  <c r="I113" i="33" s="1"/>
  <c r="J113" i="33" s="1"/>
  <c r="K113" i="33" s="1"/>
  <c r="L113" i="33" s="1"/>
  <c r="M113" i="33" s="1"/>
  <c r="F32" i="33"/>
  <c r="AA32" i="33" s="1"/>
  <c r="J15" i="33"/>
  <c r="AC15" i="33" s="1"/>
  <c r="F11" i="33"/>
  <c r="AA11" i="33" s="1"/>
  <c r="S8" i="33"/>
  <c r="F37" i="40"/>
  <c r="AA37" i="40" s="1"/>
  <c r="F36" i="40"/>
  <c r="AA36" i="40" s="1"/>
  <c r="H28" i="40"/>
  <c r="U28" i="40" s="1"/>
  <c r="F23" i="40"/>
  <c r="AA23" i="40" s="1"/>
  <c r="F17" i="40"/>
  <c r="AA17" i="40" s="1"/>
  <c r="J17" i="40"/>
  <c r="W17" i="40" s="1"/>
  <c r="F15" i="40"/>
  <c r="S15" i="40" s="1"/>
  <c r="H15" i="40"/>
  <c r="AB15" i="40" s="1"/>
  <c r="AB30" i="36"/>
  <c r="U30" i="35"/>
  <c r="U33" i="35"/>
  <c r="F29" i="35"/>
  <c r="H29" i="35"/>
  <c r="AB29" i="35" s="1"/>
  <c r="H33" i="37"/>
  <c r="AB33" i="37" s="1"/>
  <c r="F33" i="37"/>
  <c r="AA33" i="37" s="1"/>
  <c r="W33" i="37"/>
  <c r="AA34" i="37"/>
  <c r="H38" i="34"/>
  <c r="AB38" i="34" s="1"/>
  <c r="H25" i="34"/>
  <c r="AB25" i="34" s="1"/>
  <c r="J19" i="34"/>
  <c r="AC19" i="34" s="1"/>
  <c r="F17" i="34"/>
  <c r="AA17" i="34" s="1"/>
  <c r="H11" i="33"/>
  <c r="AB11" i="33" s="1"/>
  <c r="F28" i="40"/>
  <c r="AA28" i="40" s="1"/>
  <c r="AC38" i="34"/>
  <c r="AA38" i="34"/>
  <c r="J11" i="33"/>
  <c r="W11" i="33" s="1"/>
  <c r="H42" i="21"/>
  <c r="U42" i="21" s="1"/>
  <c r="J44" i="34"/>
  <c r="W44" i="34" s="1"/>
  <c r="F44" i="34"/>
  <c r="AA44" i="34" s="1"/>
  <c r="J10" i="35"/>
  <c r="W10" i="35" s="1"/>
  <c r="F14" i="21"/>
  <c r="S14" i="21" s="1"/>
  <c r="F30" i="21"/>
  <c r="S30" i="21" s="1"/>
  <c r="J44" i="21"/>
  <c r="AC44" i="21" s="1"/>
  <c r="F44" i="21"/>
  <c r="AA44" i="21" s="1"/>
  <c r="J46" i="21"/>
  <c r="W46" i="21" s="1"/>
  <c r="H28" i="33"/>
  <c r="U28" i="33" s="1"/>
  <c r="F33" i="35"/>
  <c r="S33" i="35" s="1"/>
  <c r="J33" i="35"/>
  <c r="AC33" i="35" s="1"/>
  <c r="F30" i="35"/>
  <c r="S30" i="35" s="1"/>
  <c r="H10" i="36"/>
  <c r="AB10" i="36" s="1"/>
  <c r="J14" i="36"/>
  <c r="AC14" i="36" s="1"/>
  <c r="H14" i="36"/>
  <c r="U14" i="36" s="1"/>
  <c r="F28" i="36"/>
  <c r="AA28" i="36" s="1"/>
  <c r="F27" i="21"/>
  <c r="AA27" i="21" s="1"/>
  <c r="H13" i="33"/>
  <c r="AB13" i="33" s="1"/>
  <c r="F14" i="34"/>
  <c r="S14" i="34" s="1"/>
  <c r="H46" i="34"/>
  <c r="U46" i="34" s="1"/>
  <c r="J26" i="36"/>
  <c r="W26" i="36" s="1"/>
  <c r="H28" i="36"/>
  <c r="U28" i="36" s="1"/>
  <c r="H32" i="36"/>
  <c r="AB32" i="36" s="1"/>
  <c r="J11" i="36"/>
  <c r="AC11" i="36" s="1"/>
  <c r="F11" i="36"/>
  <c r="AA11" i="36" s="1"/>
  <c r="J13" i="36"/>
  <c r="AC13" i="36" s="1"/>
  <c r="J29" i="37"/>
  <c r="W29" i="37" s="1"/>
  <c r="F29" i="37"/>
  <c r="S29" i="37" s="1"/>
  <c r="H36" i="37"/>
  <c r="AB36" i="37" s="1"/>
  <c r="J37" i="37"/>
  <c r="AC37" i="37" s="1"/>
  <c r="H37" i="37"/>
  <c r="U37" i="37" s="1"/>
  <c r="H40" i="37"/>
  <c r="U40" i="37" s="1"/>
  <c r="F40" i="37"/>
  <c r="AA40" i="37" s="1"/>
  <c r="H14" i="33"/>
  <c r="U14" i="33" s="1"/>
  <c r="F14" i="33"/>
  <c r="S14" i="33" s="1"/>
  <c r="H30" i="33"/>
  <c r="AB30" i="33" s="1"/>
  <c r="F30" i="33"/>
  <c r="J30" i="33"/>
  <c r="J44" i="33"/>
  <c r="F44" i="33"/>
  <c r="S44" i="33" s="1"/>
  <c r="J46" i="33"/>
  <c r="AC46" i="33" s="1"/>
  <c r="F46" i="33"/>
  <c r="AA46" i="33" s="1"/>
  <c r="H46" i="33"/>
  <c r="AB46" i="33" s="1"/>
  <c r="H13" i="34"/>
  <c r="U13" i="34" s="1"/>
  <c r="J13" i="34"/>
  <c r="W13" i="34" s="1"/>
  <c r="J29" i="34"/>
  <c r="F29" i="34"/>
  <c r="S29" i="34" s="1"/>
  <c r="H29" i="34"/>
  <c r="AB29" i="34" s="1"/>
  <c r="H31" i="34"/>
  <c r="AB31" i="34" s="1"/>
  <c r="F31" i="34"/>
  <c r="S31" i="34" s="1"/>
  <c r="H45" i="34"/>
  <c r="U45" i="34" s="1"/>
  <c r="J45" i="34"/>
  <c r="W45" i="34" s="1"/>
  <c r="F45" i="34"/>
  <c r="S45" i="34" s="1"/>
  <c r="H47" i="34"/>
  <c r="U47" i="34" s="1"/>
  <c r="F47" i="34"/>
  <c r="S47" i="34" s="1"/>
  <c r="F13" i="35"/>
  <c r="S13" i="35" s="1"/>
  <c r="J13" i="35"/>
  <c r="AC13" i="35" s="1"/>
  <c r="H13" i="35"/>
  <c r="U13" i="35" s="1"/>
  <c r="J25" i="35"/>
  <c r="W25" i="35" s="1"/>
  <c r="F25" i="35"/>
  <c r="S25" i="35" s="1"/>
  <c r="H25" i="35"/>
  <c r="AB25" i="35" s="1"/>
  <c r="J35" i="35"/>
  <c r="AC35" i="35" s="1"/>
  <c r="H35" i="35"/>
  <c r="AB35" i="35" s="1"/>
  <c r="J25" i="36"/>
  <c r="W25" i="36" s="1"/>
  <c r="F25" i="36"/>
  <c r="S25" i="36" s="1"/>
  <c r="H13" i="37"/>
  <c r="AB13" i="37" s="1"/>
  <c r="F13" i="37"/>
  <c r="S13" i="37" s="1"/>
  <c r="J13" i="37"/>
  <c r="W13" i="37" s="1"/>
  <c r="J28" i="37"/>
  <c r="AC28" i="37" s="1"/>
  <c r="J38" i="37"/>
  <c r="AC38" i="37" s="1"/>
  <c r="F38" i="37"/>
  <c r="S38" i="37" s="1"/>
  <c r="J14" i="39"/>
  <c r="AC14" i="39" s="1"/>
  <c r="F14" i="39"/>
  <c r="H14" i="39"/>
  <c r="AB14" i="39" s="1"/>
  <c r="H12" i="40"/>
  <c r="AB12" i="40" s="1"/>
  <c r="H30" i="40"/>
  <c r="AB30" i="40" s="1"/>
  <c r="F33" i="40"/>
  <c r="AA33" i="40" s="1"/>
  <c r="H33" i="40"/>
  <c r="U33" i="40" s="1"/>
  <c r="J35" i="40"/>
  <c r="AC35" i="40" s="1"/>
  <c r="J37" i="40"/>
  <c r="AC37" i="40" s="1"/>
  <c r="F27" i="37"/>
  <c r="AA27" i="37" s="1"/>
  <c r="H13" i="39"/>
  <c r="H14" i="40"/>
  <c r="AB14" i="40" s="1"/>
  <c r="J14" i="40"/>
  <c r="W14" i="40" s="1"/>
  <c r="F14" i="40"/>
  <c r="J14" i="37"/>
  <c r="AC14" i="37" s="1"/>
  <c r="J36" i="37"/>
  <c r="AC36" i="37" s="1"/>
  <c r="J10" i="36"/>
  <c r="AC10" i="36" s="1"/>
  <c r="AA14" i="37"/>
  <c r="W31" i="34"/>
  <c r="U13" i="33"/>
  <c r="H17" i="21"/>
  <c r="AB17" i="21" s="1"/>
  <c r="J41" i="39"/>
  <c r="W41" i="39" s="1"/>
  <c r="U36" i="39"/>
  <c r="G540" i="3"/>
  <c r="G535" i="3"/>
  <c r="G518" i="3"/>
  <c r="G510" i="3"/>
  <c r="G496" i="3"/>
  <c r="G564" i="3"/>
  <c r="BL568" i="3"/>
  <c r="BL538" i="3"/>
  <c r="BL530" i="3"/>
  <c r="BL522" i="3"/>
  <c r="BL494" i="3"/>
  <c r="BL570" i="3"/>
  <c r="BL552" i="3"/>
  <c r="G533" i="3"/>
  <c r="G525" i="3"/>
  <c r="BL518" i="3"/>
  <c r="G493" i="3"/>
  <c r="BA558" i="3"/>
  <c r="BA554" i="3"/>
  <c r="BA540" i="3"/>
  <c r="BA536" i="3"/>
  <c r="BA528" i="3"/>
  <c r="BA520" i="3"/>
  <c r="BA512" i="3"/>
  <c r="BA508" i="3"/>
  <c r="BA496" i="3"/>
  <c r="BA577" i="3"/>
  <c r="BA561" i="3"/>
  <c r="BA555" i="3"/>
  <c r="BA545" i="3"/>
  <c r="BA537" i="3"/>
  <c r="BA529" i="3"/>
  <c r="BA525" i="3"/>
  <c r="BA511" i="3"/>
  <c r="BA505" i="3"/>
  <c r="BA501" i="3"/>
  <c r="G583" i="3"/>
  <c r="G575" i="3"/>
  <c r="G563" i="3"/>
  <c r="AC557" i="3"/>
  <c r="BQ557" i="3"/>
  <c r="BQ583" i="3"/>
  <c r="BQ581" i="3"/>
  <c r="BQ579" i="3"/>
  <c r="BQ577" i="3"/>
  <c r="BQ575" i="3"/>
  <c r="BQ573" i="3"/>
  <c r="BQ571" i="3"/>
  <c r="BQ569" i="3"/>
  <c r="BQ567" i="3"/>
  <c r="BQ565" i="3"/>
  <c r="BQ563" i="3"/>
  <c r="BQ561" i="3"/>
  <c r="BQ559" i="3"/>
  <c r="G555" i="3"/>
  <c r="G545" i="3"/>
  <c r="G541" i="3"/>
  <c r="G537" i="3"/>
  <c r="BQ555" i="3"/>
  <c r="BQ553" i="3"/>
  <c r="BQ551" i="3"/>
  <c r="BL551" i="3" s="1"/>
  <c r="BQ549" i="3"/>
  <c r="BQ547" i="3"/>
  <c r="BQ545" i="3"/>
  <c r="BQ543" i="3"/>
  <c r="BL543" i="3" s="1"/>
  <c r="BQ541" i="3"/>
  <c r="BQ539" i="3"/>
  <c r="BQ537" i="3"/>
  <c r="BQ535" i="3"/>
  <c r="BL535" i="3" s="1"/>
  <c r="BQ533" i="3"/>
  <c r="BQ531" i="3"/>
  <c r="BQ529" i="3"/>
  <c r="BQ527" i="3"/>
  <c r="BL527" i="3" s="1"/>
  <c r="BQ525" i="3"/>
  <c r="BQ523" i="3"/>
  <c r="AC521" i="3"/>
  <c r="G521" i="3" s="1"/>
  <c r="BQ521" i="3"/>
  <c r="G513" i="3"/>
  <c r="BQ519" i="3"/>
  <c r="BL519" i="3" s="1"/>
  <c r="BQ517" i="3"/>
  <c r="BQ515" i="3"/>
  <c r="BQ513" i="3"/>
  <c r="BL513" i="3" s="1"/>
  <c r="BQ511" i="3"/>
  <c r="BA509" i="3"/>
  <c r="AC509" i="3"/>
  <c r="BQ509" i="3"/>
  <c r="BL509" i="3" s="1"/>
  <c r="AZ509" i="3" s="1"/>
  <c r="G507" i="3"/>
  <c r="G503" i="3"/>
  <c r="G495" i="3"/>
  <c r="BQ507" i="3"/>
  <c r="BQ505" i="3"/>
  <c r="BL505" i="3" s="1"/>
  <c r="AZ505" i="3" s="1"/>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E123" i="33"/>
  <c r="F14" i="36"/>
  <c r="AA14" i="36" s="1"/>
  <c r="F22" i="36"/>
  <c r="S22" i="36" s="1"/>
  <c r="F26" i="36"/>
  <c r="S26" i="36"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AC33" i="36"/>
  <c r="U33" i="37"/>
  <c r="W26" i="37"/>
  <c r="AC8" i="37"/>
  <c r="W47" i="34"/>
  <c r="U26" i="21"/>
  <c r="U12" i="21"/>
  <c r="W16" i="35"/>
  <c r="H37" i="21"/>
  <c r="U37" i="21" s="1"/>
  <c r="F9" i="37"/>
  <c r="S9" i="37" s="1"/>
  <c r="H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C12" i="43"/>
  <c r="H19" i="40"/>
  <c r="U19" i="40" s="1"/>
  <c r="F88" i="40"/>
  <c r="G88" i="40" s="1"/>
  <c r="F19" i="40"/>
  <c r="S19" i="40" s="1"/>
  <c r="AB33" i="40"/>
  <c r="AB44" i="39"/>
  <c r="H37" i="39"/>
  <c r="AB37" i="39" s="1"/>
  <c r="H25" i="39"/>
  <c r="AB25" i="39" s="1"/>
  <c r="J25" i="39"/>
  <c r="F15" i="39"/>
  <c r="AA15" i="39" s="1"/>
  <c r="H15" i="39"/>
  <c r="U15" i="39" s="1"/>
  <c r="J15" i="39"/>
  <c r="W15" i="39" s="1"/>
  <c r="U40" i="39"/>
  <c r="W14" i="39"/>
  <c r="W9" i="39"/>
  <c r="J19" i="40"/>
  <c r="AC19" i="40" s="1"/>
  <c r="J50" i="40"/>
  <c r="B54" i="72"/>
  <c r="B16" i="53"/>
  <c r="B33" i="72" s="1"/>
  <c r="C7" i="37"/>
  <c r="C7" i="34"/>
  <c r="C7" i="36"/>
  <c r="W35" i="40"/>
  <c r="A118" i="9"/>
  <c r="A4" i="52"/>
  <c r="B41" i="72" s="1"/>
  <c r="A12" i="52"/>
  <c r="B56" i="72" s="1"/>
  <c r="G4" i="4"/>
  <c r="I4" i="4"/>
  <c r="K5" i="4"/>
  <c r="B47" i="48" s="1"/>
  <c r="A2" i="9"/>
  <c r="BL549"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AZ163" i="3" s="1"/>
  <c r="BL164" i="3"/>
  <c r="G165" i="3"/>
  <c r="BA167" i="3"/>
  <c r="AZ167" i="3" s="1"/>
  <c r="BL168" i="3"/>
  <c r="G169" i="3"/>
  <c r="BA171" i="3"/>
  <c r="AZ171" i="3" s="1"/>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22" i="3"/>
  <c r="G512" i="3"/>
  <c r="G498"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AZ303" i="3" s="1"/>
  <c r="G304" i="3"/>
  <c r="BA306" i="3"/>
  <c r="AZ306" i="3" s="1"/>
  <c r="BL307" i="3"/>
  <c r="G308" i="3"/>
  <c r="BA310" i="3"/>
  <c r="BL311" i="3"/>
  <c r="AZ311" i="3" s="1"/>
  <c r="G312" i="3"/>
  <c r="BA314" i="3"/>
  <c r="BL315" i="3"/>
  <c r="G316" i="3"/>
  <c r="BA318" i="3"/>
  <c r="AZ318" i="3"/>
  <c r="BL319" i="3"/>
  <c r="G320" i="3"/>
  <c r="BA322" i="3"/>
  <c r="AZ322" i="3"/>
  <c r="BL323" i="3"/>
  <c r="G324" i="3"/>
  <c r="BA326" i="3"/>
  <c r="BL327" i="3"/>
  <c r="G328" i="3"/>
  <c r="BA330" i="3"/>
  <c r="AZ330" i="3" s="1"/>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AZ374" i="3" s="1"/>
  <c r="G375" i="3"/>
  <c r="BA377" i="3"/>
  <c r="AZ253" i="3"/>
  <c r="AZ370" i="3"/>
  <c r="BA379" i="3"/>
  <c r="AZ379" i="3" s="1"/>
  <c r="BL380" i="3"/>
  <c r="G381" i="3"/>
  <c r="BA383" i="3"/>
  <c r="BL384" i="3"/>
  <c r="G385" i="3"/>
  <c r="BA387" i="3"/>
  <c r="BL388" i="3"/>
  <c r="G389" i="3"/>
  <c r="BA391" i="3"/>
  <c r="BL392" i="3"/>
  <c r="G393" i="3"/>
  <c r="BM5" i="3"/>
  <c r="BH5" i="3"/>
  <c r="BD5" i="3"/>
  <c r="BS5" i="3"/>
  <c r="BN5" i="3"/>
  <c r="G17" i="3"/>
  <c r="BB5" i="3"/>
  <c r="BL493" i="3"/>
  <c r="U36" i="40"/>
  <c r="F36" i="43"/>
  <c r="F81" i="43"/>
  <c r="H83" i="43" s="1"/>
  <c r="H113" i="43"/>
  <c r="F48" i="43"/>
  <c r="H52" i="43" s="1"/>
  <c r="N7" i="43"/>
  <c r="F70" i="43"/>
  <c r="H73" i="43" s="1"/>
  <c r="M6" i="43"/>
  <c r="E17" i="43"/>
  <c r="F39" i="43"/>
  <c r="I17" i="43"/>
  <c r="F35" i="43"/>
  <c r="J17" i="43"/>
  <c r="F6" i="1"/>
  <c r="U17" i="39"/>
  <c r="AC35" i="21"/>
  <c r="U10" i="21"/>
  <c r="G8" i="1"/>
  <c r="G9" i="1"/>
  <c r="G10" i="1"/>
  <c r="F48" i="9"/>
  <c r="O52" i="9" s="1"/>
  <c r="AC44" i="34"/>
  <c r="S15" i="37"/>
  <c r="U13" i="37"/>
  <c r="U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W29" i="35"/>
  <c r="H35" i="37"/>
  <c r="U35" i="37" s="1"/>
  <c r="AC14" i="35"/>
  <c r="H20" i="35"/>
  <c r="U20" i="35" s="1"/>
  <c r="F20" i="35"/>
  <c r="AA20" i="35" s="1"/>
  <c r="U29" i="36"/>
  <c r="H32" i="37"/>
  <c r="AB32" i="37" s="1"/>
  <c r="F96" i="37"/>
  <c r="G96" i="37" s="1"/>
  <c r="H96" i="37" s="1"/>
  <c r="I96" i="37" s="1"/>
  <c r="J96" i="37" s="1"/>
  <c r="K96" i="37" s="1"/>
  <c r="L96" i="37" s="1"/>
  <c r="M96" i="37" s="1"/>
  <c r="J27" i="40"/>
  <c r="AC27" i="40" s="1"/>
  <c r="J30" i="40"/>
  <c r="AC30" i="40" s="1"/>
  <c r="AC21" i="40"/>
  <c r="S11" i="40"/>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AZ248" i="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F42" i="33" l="1"/>
  <c r="AA42" i="33" s="1"/>
  <c r="H50" i="43"/>
  <c r="H75" i="43"/>
  <c r="AZ387" i="3"/>
  <c r="AB12" i="37"/>
  <c r="U12" i="37"/>
  <c r="F123" i="33"/>
  <c r="AZ519" i="3"/>
  <c r="F17" i="21"/>
  <c r="AA17" i="21" s="1"/>
  <c r="W13" i="36"/>
  <c r="AA14" i="40"/>
  <c r="S14" i="40"/>
  <c r="F13" i="39"/>
  <c r="F29" i="33"/>
  <c r="S29" i="33" s="1"/>
  <c r="J13" i="21"/>
  <c r="AC13" i="21" s="1"/>
  <c r="J28" i="33"/>
  <c r="W28" i="33" s="1"/>
  <c r="J42" i="21"/>
  <c r="AC42" i="21" s="1"/>
  <c r="J36" i="34"/>
  <c r="W36" i="34" s="1"/>
  <c r="AA12" i="36"/>
  <c r="S12" i="36"/>
  <c r="S38" i="40"/>
  <c r="AA9" i="40"/>
  <c r="W40" i="39"/>
  <c r="BA586" i="3"/>
  <c r="F28" i="21"/>
  <c r="AA28" i="21" s="1"/>
  <c r="J28" i="21"/>
  <c r="W28" i="21" s="1"/>
  <c r="F81" i="21"/>
  <c r="G81" i="21" s="1"/>
  <c r="H19" i="21"/>
  <c r="F42" i="21"/>
  <c r="AA42" i="21" s="1"/>
  <c r="J9" i="33"/>
  <c r="AC9" i="33" s="1"/>
  <c r="F15" i="33"/>
  <c r="AA15" i="33" s="1"/>
  <c r="E124" i="34"/>
  <c r="F124" i="34" s="1"/>
  <c r="H43" i="34"/>
  <c r="AB43" i="34" s="1"/>
  <c r="E90" i="34"/>
  <c r="F90" i="34" s="1"/>
  <c r="G90" i="34" s="1"/>
  <c r="H90" i="34" s="1"/>
  <c r="I90" i="34" s="1"/>
  <c r="J90" i="34" s="1"/>
  <c r="K90" i="34" s="1"/>
  <c r="L90" i="34" s="1"/>
  <c r="M90" i="34" s="1"/>
  <c r="H27" i="34"/>
  <c r="AB27" i="34" s="1"/>
  <c r="F12" i="35"/>
  <c r="F32" i="36"/>
  <c r="J32" i="36"/>
  <c r="E99" i="39"/>
  <c r="F99" i="39" s="1"/>
  <c r="G99" i="39" s="1"/>
  <c r="F25" i="39"/>
  <c r="AA25" i="39" s="1"/>
  <c r="AA34" i="39"/>
  <c r="S34" i="39"/>
  <c r="H124" i="39"/>
  <c r="I124" i="39" s="1"/>
  <c r="J124" i="39" s="1"/>
  <c r="K124" i="39" s="1"/>
  <c r="L124" i="39" s="1"/>
  <c r="M124" i="39" s="1"/>
  <c r="H41" i="39"/>
  <c r="J12" i="40"/>
  <c r="F12" i="40"/>
  <c r="F37" i="33"/>
  <c r="H37" i="33"/>
  <c r="AB37" i="33" s="1"/>
  <c r="G554" i="3"/>
  <c r="BL546" i="3"/>
  <c r="G531" i="3"/>
  <c r="G517" i="3"/>
  <c r="AZ540" i="3"/>
  <c r="AC44" i="33"/>
  <c r="W44" i="33"/>
  <c r="E81" i="33"/>
  <c r="J19" i="33"/>
  <c r="AC19" i="33" s="1"/>
  <c r="J28" i="34"/>
  <c r="H28" i="34"/>
  <c r="AB28" i="34" s="1"/>
  <c r="AC31" i="40"/>
  <c r="W31" i="40"/>
  <c r="BL578" i="3"/>
  <c r="BA569" i="3"/>
  <c r="BL562" i="3"/>
  <c r="BA516" i="3"/>
  <c r="BA515" i="3"/>
  <c r="BL512" i="3"/>
  <c r="BA500" i="3"/>
  <c r="J45" i="33"/>
  <c r="W45" i="33" s="1"/>
  <c r="H45" i="33"/>
  <c r="BA582" i="3"/>
  <c r="H48" i="43"/>
  <c r="H19" i="34"/>
  <c r="AB19" i="34" s="1"/>
  <c r="J43" i="33"/>
  <c r="AC43" i="33" s="1"/>
  <c r="F39" i="33"/>
  <c r="AA39" i="33" s="1"/>
  <c r="BQ5" i="3"/>
  <c r="BL559" i="3"/>
  <c r="BL573" i="3"/>
  <c r="AA13" i="35"/>
  <c r="J13" i="40"/>
  <c r="W13" i="40" s="1"/>
  <c r="J30" i="34"/>
  <c r="F45" i="21"/>
  <c r="AA45" i="21" s="1"/>
  <c r="H28" i="21"/>
  <c r="AB28" i="21" s="1"/>
  <c r="H15" i="33"/>
  <c r="AB15" i="33" s="1"/>
  <c r="J40" i="34"/>
  <c r="F41" i="33"/>
  <c r="AA41" i="33" s="1"/>
  <c r="S35" i="34"/>
  <c r="H40" i="34"/>
  <c r="U40" i="34" s="1"/>
  <c r="U8" i="35"/>
  <c r="AB23" i="40"/>
  <c r="U23" i="40"/>
  <c r="J27" i="39"/>
  <c r="AC27" i="39" s="1"/>
  <c r="J31" i="39"/>
  <c r="U30" i="37"/>
  <c r="J44" i="39"/>
  <c r="AC44" i="39" s="1"/>
  <c r="J19" i="21"/>
  <c r="W19" i="21" s="1"/>
  <c r="F35" i="21"/>
  <c r="AA35" i="21" s="1"/>
  <c r="G585" i="3"/>
  <c r="H23" i="36"/>
  <c r="AB23" i="36" s="1"/>
  <c r="J23" i="36"/>
  <c r="AC23" i="36" s="1"/>
  <c r="F44" i="39"/>
  <c r="J42" i="33"/>
  <c r="AC42" i="33" s="1"/>
  <c r="AZ326" i="3"/>
  <c r="F19" i="34"/>
  <c r="AB39" i="37"/>
  <c r="U39" i="37"/>
  <c r="W25" i="37"/>
  <c r="H31" i="21"/>
  <c r="J31" i="21"/>
  <c r="AC31" i="21" s="1"/>
  <c r="E106" i="21"/>
  <c r="F106" i="21" s="1"/>
  <c r="G106" i="21" s="1"/>
  <c r="H106" i="21" s="1"/>
  <c r="I106" i="21" s="1"/>
  <c r="J106" i="21" s="1"/>
  <c r="K106" i="21" s="1"/>
  <c r="L106" i="21" s="1"/>
  <c r="M106" i="21" s="1"/>
  <c r="J34" i="21"/>
  <c r="W34" i="21" s="1"/>
  <c r="J39" i="33"/>
  <c r="AC39" i="33" s="1"/>
  <c r="E78" i="34"/>
  <c r="F78" i="34" s="1"/>
  <c r="G78" i="34" s="1"/>
  <c r="F15" i="34"/>
  <c r="H88" i="34"/>
  <c r="I88" i="34" s="1"/>
  <c r="J88" i="34" s="1"/>
  <c r="K88" i="34" s="1"/>
  <c r="L88" i="34" s="1"/>
  <c r="M88" i="34" s="1"/>
  <c r="F25" i="34"/>
  <c r="S25" i="34" s="1"/>
  <c r="H11" i="35"/>
  <c r="J11" i="35"/>
  <c r="AB34" i="35"/>
  <c r="U34" i="35"/>
  <c r="AC30" i="36"/>
  <c r="H34" i="36"/>
  <c r="F34" i="36"/>
  <c r="S34" i="36" s="1"/>
  <c r="H9" i="37"/>
  <c r="AB9" i="37" s="1"/>
  <c r="J9" i="37"/>
  <c r="W9" i="37" s="1"/>
  <c r="J43" i="39"/>
  <c r="H43" i="39"/>
  <c r="S42" i="34"/>
  <c r="AA42" i="34"/>
  <c r="H35" i="39"/>
  <c r="AB35" i="39" s="1"/>
  <c r="J35" i="39"/>
  <c r="BA581" i="3"/>
  <c r="BL576" i="3"/>
  <c r="BA573" i="3"/>
  <c r="BA549" i="3"/>
  <c r="AZ549" i="3" s="1"/>
  <c r="BA548" i="3"/>
  <c r="BA533" i="3"/>
  <c r="BA532" i="3"/>
  <c r="BL500" i="3"/>
  <c r="BA497" i="3"/>
  <c r="BE5" i="3"/>
  <c r="AZ247" i="3"/>
  <c r="AZ252" i="3"/>
  <c r="AZ121" i="3"/>
  <c r="BA399" i="3"/>
  <c r="BL413" i="3"/>
  <c r="BA415" i="3"/>
  <c r="BA443" i="3"/>
  <c r="BA459" i="3"/>
  <c r="BL461" i="3"/>
  <c r="BL463" i="3"/>
  <c r="BA465" i="3"/>
  <c r="BA466" i="3"/>
  <c r="AZ466" i="3" s="1"/>
  <c r="BA467" i="3"/>
  <c r="AZ467" i="3" s="1"/>
  <c r="BA469" i="3"/>
  <c r="BA470" i="3"/>
  <c r="AZ470" i="3" s="1"/>
  <c r="BA484" i="3"/>
  <c r="AZ484" i="3" s="1"/>
  <c r="BA485" i="3"/>
  <c r="AZ485" i="3" s="1"/>
  <c r="BA487" i="3"/>
  <c r="BA488" i="3"/>
  <c r="AZ488" i="3" s="1"/>
  <c r="BA489" i="3"/>
  <c r="AZ489" i="3" s="1"/>
  <c r="BA491" i="3"/>
  <c r="BA492" i="3"/>
  <c r="AZ492" i="3" s="1"/>
  <c r="BA319" i="3"/>
  <c r="AZ319" i="3" s="1"/>
  <c r="BA323" i="3"/>
  <c r="AZ323" i="3" s="1"/>
  <c r="BA335" i="3"/>
  <c r="BA339" i="3"/>
  <c r="AZ339" i="3" s="1"/>
  <c r="BA215" i="3"/>
  <c r="BL221" i="3"/>
  <c r="BL45" i="3"/>
  <c r="BA55" i="3"/>
  <c r="AZ335" i="3"/>
  <c r="AZ307" i="3"/>
  <c r="AZ136" i="3"/>
  <c r="AZ378" i="3"/>
  <c r="BL523" i="3"/>
  <c r="BL531" i="3"/>
  <c r="BL539" i="3"/>
  <c r="BL547" i="3"/>
  <c r="BL555" i="3"/>
  <c r="AZ555" i="3" s="1"/>
  <c r="BL563" i="3"/>
  <c r="BL569" i="3"/>
  <c r="AZ569" i="3" s="1"/>
  <c r="BI5" i="3"/>
  <c r="F27" i="33"/>
  <c r="AA27" i="33" s="1"/>
  <c r="F7" i="1"/>
  <c r="G7" i="1" s="1"/>
  <c r="C10" i="39"/>
  <c r="G413" i="3"/>
  <c r="BA418" i="3"/>
  <c r="BL420" i="3"/>
  <c r="BL424" i="3"/>
  <c r="G429" i="3"/>
  <c r="BA434" i="3"/>
  <c r="BL436" i="3"/>
  <c r="BL440" i="3"/>
  <c r="BL340" i="3"/>
  <c r="AZ340" i="3" s="1"/>
  <c r="BL348" i="3"/>
  <c r="G349" i="3"/>
  <c r="BA350" i="3"/>
  <c r="AZ350" i="3" s="1"/>
  <c r="BL353" i="3"/>
  <c r="AZ353" i="3" s="1"/>
  <c r="G358" i="3"/>
  <c r="G362" i="3"/>
  <c r="BA384" i="3"/>
  <c r="AZ384" i="3" s="1"/>
  <c r="BA396" i="3"/>
  <c r="G209" i="3"/>
  <c r="BL212" i="3"/>
  <c r="G221" i="3"/>
  <c r="BL232" i="3"/>
  <c r="BA234" i="3"/>
  <c r="BL236" i="3"/>
  <c r="BA238" i="3"/>
  <c r="BL240" i="3"/>
  <c r="G241" i="3"/>
  <c r="BA242" i="3"/>
  <c r="AZ242" i="3" s="1"/>
  <c r="BL246" i="3"/>
  <c r="AZ246" i="3" s="1"/>
  <c r="BL251" i="3"/>
  <c r="AZ251" i="3" s="1"/>
  <c r="BL255" i="3"/>
  <c r="G256" i="3"/>
  <c r="G260" i="3"/>
  <c r="G264" i="3"/>
  <c r="BL267" i="3"/>
  <c r="G272" i="3"/>
  <c r="G276" i="3"/>
  <c r="BA277" i="3"/>
  <c r="BL279" i="3"/>
  <c r="G280" i="3"/>
  <c r="BA281" i="3"/>
  <c r="BA282" i="3"/>
  <c r="AZ282" i="3" s="1"/>
  <c r="BA283" i="3"/>
  <c r="AZ283" i="3" s="1"/>
  <c r="G288" i="3"/>
  <c r="G292" i="3"/>
  <c r="BA293" i="3"/>
  <c r="BL295" i="3"/>
  <c r="G296" i="3"/>
  <c r="BA300" i="3"/>
  <c r="BA118" i="3"/>
  <c r="AZ118" i="3" s="1"/>
  <c r="BL121" i="3"/>
  <c r="BL126" i="3"/>
  <c r="G127" i="3"/>
  <c r="M20" i="86"/>
  <c r="F34" i="86"/>
  <c r="F62" i="86" s="1"/>
  <c r="G404" i="3"/>
  <c r="BA405" i="3"/>
  <c r="BL407" i="3"/>
  <c r="G436" i="3"/>
  <c r="BA437" i="3"/>
  <c r="BL439" i="3"/>
  <c r="BA441" i="3"/>
  <c r="G452" i="3"/>
  <c r="BA453" i="3"/>
  <c r="BL455" i="3"/>
  <c r="BA457" i="3"/>
  <c r="G460" i="3"/>
  <c r="BA461" i="3"/>
  <c r="AZ461" i="3" s="1"/>
  <c r="BL465" i="3"/>
  <c r="BL469" i="3"/>
  <c r="BL471" i="3"/>
  <c r="BA473" i="3"/>
  <c r="BL475" i="3"/>
  <c r="G476" i="3"/>
  <c r="BA477" i="3"/>
  <c r="BL479" i="3"/>
  <c r="G480" i="3"/>
  <c r="BA481" i="3"/>
  <c r="BL483" i="3"/>
  <c r="BL487" i="3"/>
  <c r="BL491" i="3"/>
  <c r="BL385" i="3"/>
  <c r="G212" i="3"/>
  <c r="BA213" i="3"/>
  <c r="BL223" i="3"/>
  <c r="BL301" i="3"/>
  <c r="G302" i="3"/>
  <c r="G116" i="3"/>
  <c r="BA117" i="3"/>
  <c r="G120" i="3"/>
  <c r="BL165" i="3"/>
  <c r="BA128" i="3"/>
  <c r="AZ128" i="3" s="1"/>
  <c r="BL130" i="3"/>
  <c r="G131" i="3"/>
  <c r="BA132" i="3"/>
  <c r="AZ132" i="3" s="1"/>
  <c r="BL134" i="3"/>
  <c r="BA136" i="3"/>
  <c r="BL138" i="3"/>
  <c r="BA140" i="3"/>
  <c r="AZ140" i="3" s="1"/>
  <c r="BL142" i="3"/>
  <c r="BA144" i="3"/>
  <c r="AZ144" i="3" s="1"/>
  <c r="BL146" i="3"/>
  <c r="G155" i="3"/>
  <c r="BA185" i="3"/>
  <c r="BL187" i="3"/>
  <c r="AZ187" i="3" s="1"/>
  <c r="BA193" i="3"/>
  <c r="BL195" i="3"/>
  <c r="AZ195" i="3" s="1"/>
  <c r="BA197" i="3"/>
  <c r="BL201" i="3"/>
  <c r="BL203" i="3"/>
  <c r="AZ203" i="3" s="1"/>
  <c r="G204" i="3"/>
  <c r="BL207" i="3"/>
  <c r="G18" i="3"/>
  <c r="BA19" i="3"/>
  <c r="BL29" i="3"/>
  <c r="G34" i="3"/>
  <c r="BL37" i="3"/>
  <c r="G38" i="3"/>
  <c r="BA39" i="3"/>
  <c r="BL41" i="3"/>
  <c r="BL43" i="3"/>
  <c r="BL47" i="3"/>
  <c r="BL50" i="3"/>
  <c r="BL52" i="3"/>
  <c r="G53" i="3"/>
  <c r="BA54" i="3"/>
  <c r="G59" i="3"/>
  <c r="G63" i="3"/>
  <c r="G67" i="3"/>
  <c r="G71" i="3"/>
  <c r="BA72" i="3"/>
  <c r="BL74" i="3"/>
  <c r="G75" i="3"/>
  <c r="BA76" i="3"/>
  <c r="BA78" i="3"/>
  <c r="AZ78" i="3" s="1"/>
  <c r="BA79" i="3"/>
  <c r="AZ79" i="3" s="1"/>
  <c r="BA81" i="3"/>
  <c r="AZ81" i="3" s="1"/>
  <c r="BA82" i="3"/>
  <c r="AZ82" i="3" s="1"/>
  <c r="BA83" i="3"/>
  <c r="AZ83" i="3" s="1"/>
  <c r="BA85" i="3"/>
  <c r="AZ85" i="3" s="1"/>
  <c r="BA87" i="3"/>
  <c r="AZ87" i="3" s="1"/>
  <c r="BA89" i="3"/>
  <c r="BA90" i="3"/>
  <c r="AZ90" i="3" s="1"/>
  <c r="BL94" i="3"/>
  <c r="G95" i="3"/>
  <c r="G99" i="3"/>
  <c r="BA100" i="3"/>
  <c r="BA102" i="3"/>
  <c r="AZ102" i="3" s="1"/>
  <c r="BA103" i="3"/>
  <c r="AZ103" i="3" s="1"/>
  <c r="BA105" i="3"/>
  <c r="AZ105" i="3" s="1"/>
  <c r="BA170" i="3"/>
  <c r="AZ170" i="3" s="1"/>
  <c r="BA172" i="3"/>
  <c r="AZ172" i="3" s="1"/>
  <c r="BL28" i="3"/>
  <c r="BA30" i="3"/>
  <c r="BL111" i="3"/>
  <c r="BL112" i="3"/>
  <c r="BA297" i="3"/>
  <c r="BA298" i="3"/>
  <c r="AZ298" i="3" s="1"/>
  <c r="BA299" i="3"/>
  <c r="AZ299" i="3" s="1"/>
  <c r="BL113" i="3"/>
  <c r="G114" i="3"/>
  <c r="BL117" i="3"/>
  <c r="BL119" i="3"/>
  <c r="AZ119" i="3" s="1"/>
  <c r="BL123" i="3"/>
  <c r="AZ123" i="3" s="1"/>
  <c r="G124" i="3"/>
  <c r="BA150" i="3"/>
  <c r="G182" i="3"/>
  <c r="G190" i="3"/>
  <c r="G194" i="3"/>
  <c r="BL197" i="3"/>
  <c r="BL199" i="3"/>
  <c r="AZ199" i="3" s="1"/>
  <c r="G200" i="3"/>
  <c r="BA201" i="3"/>
  <c r="AZ201" i="3" s="1"/>
  <c r="BL205" i="3"/>
  <c r="G206" i="3"/>
  <c r="BA207" i="3"/>
  <c r="AZ207" i="3" s="1"/>
  <c r="BA21" i="3"/>
  <c r="G24" i="3"/>
  <c r="BL27" i="3"/>
  <c r="G32" i="3"/>
  <c r="G36" i="3"/>
  <c r="G40" i="3"/>
  <c r="BA41" i="3"/>
  <c r="BA43" i="3"/>
  <c r="AZ43" i="3" s="1"/>
  <c r="BA44" i="3"/>
  <c r="AZ44" i="3" s="1"/>
  <c r="BA45" i="3"/>
  <c r="AZ45" i="3" s="1"/>
  <c r="BA47" i="3"/>
  <c r="BA48" i="3"/>
  <c r="AZ48" i="3" s="1"/>
  <c r="BA50" i="3"/>
  <c r="AZ50" i="3" s="1"/>
  <c r="BL54" i="3"/>
  <c r="BL56" i="3"/>
  <c r="G57" i="3"/>
  <c r="BA58" i="3"/>
  <c r="BL60" i="3"/>
  <c r="BA62" i="3"/>
  <c r="BL64" i="3"/>
  <c r="G65" i="3"/>
  <c r="BA66" i="3"/>
  <c r="BL68" i="3"/>
  <c r="BA70" i="3"/>
  <c r="G73" i="3"/>
  <c r="BL76" i="3"/>
  <c r="BL85" i="3"/>
  <c r="BL89" i="3"/>
  <c r="BL92" i="3"/>
  <c r="G93" i="3"/>
  <c r="BL96" i="3"/>
  <c r="BA98" i="3"/>
  <c r="BL100" i="3"/>
  <c r="BL102" i="3"/>
  <c r="BL105" i="3"/>
  <c r="BL106" i="3"/>
  <c r="G1" i="86"/>
  <c r="K100" i="43"/>
  <c r="M8" i="1"/>
  <c r="U46" i="33"/>
  <c r="U43" i="33"/>
  <c r="S41" i="33"/>
  <c r="U32" i="33"/>
  <c r="S38" i="39"/>
  <c r="AA41" i="39"/>
  <c r="W27" i="39"/>
  <c r="S42" i="21"/>
  <c r="U43" i="21"/>
  <c r="AZ573" i="3"/>
  <c r="AZ391" i="3"/>
  <c r="AZ380" i="3"/>
  <c r="AZ390" i="3"/>
  <c r="AZ389" i="3"/>
  <c r="AZ372" i="3"/>
  <c r="AZ364" i="3"/>
  <c r="AZ356" i="3"/>
  <c r="AZ320" i="3"/>
  <c r="AZ394" i="3"/>
  <c r="AZ376" i="3"/>
  <c r="AZ360" i="3"/>
  <c r="AZ341" i="3"/>
  <c r="AZ325" i="3"/>
  <c r="AZ309" i="3"/>
  <c r="BL579" i="3"/>
  <c r="AZ579" i="3" s="1"/>
  <c r="BL583" i="3"/>
  <c r="AZ512" i="3"/>
  <c r="BL587" i="3"/>
  <c r="AZ587" i="3" s="1"/>
  <c r="BL585" i="3"/>
  <c r="BA585" i="3"/>
  <c r="BA584" i="3"/>
  <c r="AZ584" i="3" s="1"/>
  <c r="BA583" i="3"/>
  <c r="BL582" i="3"/>
  <c r="BL580" i="3"/>
  <c r="BA580" i="3"/>
  <c r="BA579" i="3"/>
  <c r="BA578" i="3"/>
  <c r="AZ578" i="3" s="1"/>
  <c r="BA560" i="3"/>
  <c r="AZ560" i="3" s="1"/>
  <c r="BA559" i="3"/>
  <c r="AZ559" i="3" s="1"/>
  <c r="BA557" i="3"/>
  <c r="BL556" i="3"/>
  <c r="BA556" i="3"/>
  <c r="BL554" i="3"/>
  <c r="AZ554" i="3" s="1"/>
  <c r="BA553" i="3"/>
  <c r="BA552" i="3"/>
  <c r="BA547" i="3"/>
  <c r="AZ547" i="3" s="1"/>
  <c r="BA546" i="3"/>
  <c r="AZ546" i="3" s="1"/>
  <c r="G578" i="3"/>
  <c r="G577" i="3"/>
  <c r="BA576" i="3"/>
  <c r="AZ576" i="3" s="1"/>
  <c r="G576" i="3"/>
  <c r="BA575" i="3"/>
  <c r="BL574" i="3"/>
  <c r="BA574" i="3"/>
  <c r="G573" i="3"/>
  <c r="BL572" i="3"/>
  <c r="BA572" i="3"/>
  <c r="BA571" i="3"/>
  <c r="BA570" i="3"/>
  <c r="AZ570" i="3" s="1"/>
  <c r="G570" i="3"/>
  <c r="G569" i="3"/>
  <c r="BA568" i="3"/>
  <c r="AZ568" i="3" s="1"/>
  <c r="G568" i="3"/>
  <c r="BA567" i="3"/>
  <c r="AZ567" i="3" s="1"/>
  <c r="BL566" i="3"/>
  <c r="BA566" i="3"/>
  <c r="G566" i="3"/>
  <c r="G565" i="3"/>
  <c r="BL564" i="3"/>
  <c r="BA564" i="3"/>
  <c r="BA563" i="3"/>
  <c r="AZ563" i="3" s="1"/>
  <c r="BA562" i="3"/>
  <c r="AZ562" i="3" s="1"/>
  <c r="BA398" i="3"/>
  <c r="AZ398" i="3" s="1"/>
  <c r="BL400" i="3"/>
  <c r="G401" i="3"/>
  <c r="BA402" i="3"/>
  <c r="G403" i="3"/>
  <c r="BL404" i="3"/>
  <c r="G407" i="3"/>
  <c r="BA408" i="3"/>
  <c r="G409" i="3"/>
  <c r="BL410" i="3"/>
  <c r="G411" i="3"/>
  <c r="BA412" i="3"/>
  <c r="BL412" i="3"/>
  <c r="BA413" i="3"/>
  <c r="AZ413" i="3" s="1"/>
  <c r="BA414" i="3"/>
  <c r="AZ414" i="3" s="1"/>
  <c r="BL416" i="3"/>
  <c r="G417" i="3"/>
  <c r="BL544" i="3"/>
  <c r="AZ544" i="3" s="1"/>
  <c r="BA543" i="3"/>
  <c r="AZ543" i="3" s="1"/>
  <c r="BL542" i="3"/>
  <c r="BA542" i="3"/>
  <c r="BA539" i="3"/>
  <c r="AZ539" i="3" s="1"/>
  <c r="BA538" i="3"/>
  <c r="BL536" i="3"/>
  <c r="AZ536" i="3" s="1"/>
  <c r="BA535" i="3"/>
  <c r="AZ535" i="3" s="1"/>
  <c r="BL534" i="3"/>
  <c r="BA534" i="3"/>
  <c r="BL532" i="3"/>
  <c r="BA531" i="3"/>
  <c r="AZ531" i="3" s="1"/>
  <c r="BA530" i="3"/>
  <c r="BL528" i="3"/>
  <c r="AZ528" i="3" s="1"/>
  <c r="BA527" i="3"/>
  <c r="AZ527" i="3" s="1"/>
  <c r="BL526" i="3"/>
  <c r="AZ526" i="3" s="1"/>
  <c r="BA526" i="3"/>
  <c r="BL524" i="3"/>
  <c r="AZ524" i="3" s="1"/>
  <c r="BA523" i="3"/>
  <c r="BA522" i="3"/>
  <c r="AZ522" i="3" s="1"/>
  <c r="BA521" i="3"/>
  <c r="BA518" i="3"/>
  <c r="BA517" i="3"/>
  <c r="BL516" i="3"/>
  <c r="AZ516" i="3" s="1"/>
  <c r="BL514" i="3"/>
  <c r="BA514" i="3"/>
  <c r="AZ514" i="3" s="1"/>
  <c r="BA513" i="3"/>
  <c r="BA510" i="3"/>
  <c r="AZ510" i="3" s="1"/>
  <c r="G509" i="3"/>
  <c r="BL508" i="3"/>
  <c r="AZ508" i="3" s="1"/>
  <c r="BA507" i="3"/>
  <c r="BL506" i="3"/>
  <c r="BA506" i="3"/>
  <c r="BL504" i="3"/>
  <c r="AZ504" i="3" s="1"/>
  <c r="BA503" i="3"/>
  <c r="BA502" i="3"/>
  <c r="AZ502" i="3" s="1"/>
  <c r="BA499" i="3"/>
  <c r="BL498" i="3"/>
  <c r="BA498" i="3"/>
  <c r="BL496" i="3"/>
  <c r="AZ496" i="3" s="1"/>
  <c r="BA495" i="3"/>
  <c r="BA494" i="3"/>
  <c r="BJ5" i="3"/>
  <c r="BF5" i="3"/>
  <c r="G15" i="3"/>
  <c r="G420" i="3"/>
  <c r="BA421" i="3"/>
  <c r="G422" i="3"/>
  <c r="BL423" i="3"/>
  <c r="BA425" i="3"/>
  <c r="G426" i="3"/>
  <c r="BL427" i="3"/>
  <c r="G428" i="3"/>
  <c r="BL429" i="3"/>
  <c r="BA431" i="3"/>
  <c r="G432" i="3"/>
  <c r="BA433" i="3"/>
  <c r="BL433" i="3"/>
  <c r="BA435" i="3"/>
  <c r="BL435" i="3"/>
  <c r="BA436" i="3"/>
  <c r="AZ436" i="3" s="1"/>
  <c r="BA438" i="3"/>
  <c r="BL438" i="3"/>
  <c r="BA439" i="3"/>
  <c r="AZ439" i="3" s="1"/>
  <c r="BA440" i="3"/>
  <c r="AZ440" i="3" s="1"/>
  <c r="BA442" i="3"/>
  <c r="BL442" i="3"/>
  <c r="BL444" i="3"/>
  <c r="G445" i="3"/>
  <c r="BA446" i="3"/>
  <c r="G447" i="3"/>
  <c r="BL448" i="3"/>
  <c r="G449" i="3"/>
  <c r="BA450" i="3"/>
  <c r="G451" i="3"/>
  <c r="BL452" i="3"/>
  <c r="G455" i="3"/>
  <c r="BL456" i="3"/>
  <c r="G459" i="3"/>
  <c r="BL472" i="3"/>
  <c r="G477" i="3"/>
  <c r="G481" i="3"/>
  <c r="BL314" i="3"/>
  <c r="AZ314" i="3" s="1"/>
  <c r="BA316" i="3"/>
  <c r="AZ316" i="3" s="1"/>
  <c r="BL316" i="3"/>
  <c r="G323" i="3"/>
  <c r="BL324" i="3"/>
  <c r="AZ324" i="3" s="1"/>
  <c r="BL328" i="3"/>
  <c r="AZ328" i="3" s="1"/>
  <c r="G329" i="3"/>
  <c r="BA331" i="3"/>
  <c r="AZ331" i="3" s="1"/>
  <c r="BL333" i="3"/>
  <c r="G334" i="3"/>
  <c r="BA367" i="3"/>
  <c r="G380" i="3"/>
  <c r="G382" i="3"/>
  <c r="BL383" i="3"/>
  <c r="AZ383" i="3" s="1"/>
  <c r="BA385" i="3"/>
  <c r="AZ385" i="3" s="1"/>
  <c r="BA395" i="3"/>
  <c r="AZ395" i="3" s="1"/>
  <c r="BL395" i="3"/>
  <c r="BL397" i="3"/>
  <c r="G208" i="3"/>
  <c r="BA209" i="3"/>
  <c r="G210" i="3"/>
  <c r="BA211" i="3"/>
  <c r="AZ211" i="3" s="1"/>
  <c r="BL211" i="3"/>
  <c r="BA212" i="3"/>
  <c r="AZ212" i="3" s="1"/>
  <c r="BA214" i="3"/>
  <c r="BL214" i="3"/>
  <c r="BL216" i="3"/>
  <c r="G217" i="3"/>
  <c r="BA218" i="3"/>
  <c r="G219" i="3"/>
  <c r="BA220" i="3"/>
  <c r="BL220" i="3"/>
  <c r="BA221" i="3"/>
  <c r="AZ221" i="3" s="1"/>
  <c r="BA222" i="3"/>
  <c r="AZ222" i="3" s="1"/>
  <c r="BA223" i="3"/>
  <c r="AZ223" i="3" s="1"/>
  <c r="BL225" i="3"/>
  <c r="G226" i="3"/>
  <c r="BA227" i="3"/>
  <c r="G228" i="3"/>
  <c r="BL229" i="3"/>
  <c r="G230" i="3"/>
  <c r="BL231" i="3"/>
  <c r="BL233" i="3"/>
  <c r="G236" i="3"/>
  <c r="BL237" i="3"/>
  <c r="G259" i="3"/>
  <c r="G263" i="3"/>
  <c r="G267" i="3"/>
  <c r="BL268" i="3"/>
  <c r="BA270" i="3"/>
  <c r="G271" i="3"/>
  <c r="BL272" i="3"/>
  <c r="BA274" i="3"/>
  <c r="G275" i="3"/>
  <c r="BL276" i="3"/>
  <c r="G287" i="3"/>
  <c r="G107" i="3"/>
  <c r="G289" i="3"/>
  <c r="BA290" i="3"/>
  <c r="G291" i="3"/>
  <c r="BL292" i="3"/>
  <c r="G134" i="3"/>
  <c r="G136" i="3"/>
  <c r="BL137" i="3"/>
  <c r="G140" i="3"/>
  <c r="BL141" i="3"/>
  <c r="G144" i="3"/>
  <c r="BL145" i="3"/>
  <c r="BL147" i="3"/>
  <c r="AZ147" i="3" s="1"/>
  <c r="BA149" i="3"/>
  <c r="BL149" i="3"/>
  <c r="BL151" i="3"/>
  <c r="AZ151" i="3" s="1"/>
  <c r="G152" i="3"/>
  <c r="BA154" i="3"/>
  <c r="AZ154" i="3" s="1"/>
  <c r="BL154" i="3"/>
  <c r="BA156" i="3"/>
  <c r="AZ156" i="3" s="1"/>
  <c r="BA158" i="3"/>
  <c r="G159" i="3"/>
  <c r="G163" i="3"/>
  <c r="G174" i="3"/>
  <c r="BA177" i="3"/>
  <c r="G178" i="3"/>
  <c r="BL179" i="3"/>
  <c r="AZ179" i="3" s="1"/>
  <c r="BA181" i="3"/>
  <c r="BL181" i="3"/>
  <c r="BL183" i="3"/>
  <c r="AZ183" i="3" s="1"/>
  <c r="G184" i="3"/>
  <c r="BA186" i="3"/>
  <c r="AZ186" i="3" s="1"/>
  <c r="BL186" i="3"/>
  <c r="BA188" i="3"/>
  <c r="AZ188" i="3" s="1"/>
  <c r="BA190" i="3"/>
  <c r="G191" i="3"/>
  <c r="G195" i="3"/>
  <c r="BA20" i="3"/>
  <c r="BL20" i="3"/>
  <c r="BL22" i="3"/>
  <c r="G23" i="3"/>
  <c r="BA24" i="3"/>
  <c r="G25" i="3"/>
  <c r="BA26" i="3"/>
  <c r="BL26" i="3"/>
  <c r="BA27" i="3"/>
  <c r="AZ27" i="3" s="1"/>
  <c r="BA28" i="3"/>
  <c r="AZ28" i="3" s="1"/>
  <c r="BA29" i="3"/>
  <c r="AZ29" i="3" s="1"/>
  <c r="BA31" i="3"/>
  <c r="BL31" i="3"/>
  <c r="BA33" i="3"/>
  <c r="BL33" i="3"/>
  <c r="BL34" i="3"/>
  <c r="G35" i="3"/>
  <c r="G39" i="3"/>
  <c r="G58" i="3"/>
  <c r="G60" i="3"/>
  <c r="BL61" i="3"/>
  <c r="G66" i="3"/>
  <c r="G68" i="3"/>
  <c r="BL69" i="3"/>
  <c r="G72" i="3"/>
  <c r="G96" i="3"/>
  <c r="BL97" i="3"/>
  <c r="BA17" i="3"/>
  <c r="BA16" i="3"/>
  <c r="BA18" i="3"/>
  <c r="AZ18" i="3" s="1"/>
  <c r="BA15" i="3"/>
  <c r="BP5" i="3"/>
  <c r="G29" i="6" s="1"/>
  <c r="BO5" i="3"/>
  <c r="BK5" i="3"/>
  <c r="BG5" i="3"/>
  <c r="BC5" i="3"/>
  <c r="E8" i="6" s="1"/>
  <c r="BR5" i="3"/>
  <c r="G28" i="6" s="1"/>
  <c r="AZ343" i="3"/>
  <c r="AZ558" i="3"/>
  <c r="AB31" i="33"/>
  <c r="U31" i="33"/>
  <c r="AZ580" i="3"/>
  <c r="BL557" i="3"/>
  <c r="G557" i="3"/>
  <c r="AZ556" i="3"/>
  <c r="AZ542" i="3"/>
  <c r="AZ534" i="3"/>
  <c r="BL515" i="3"/>
  <c r="AZ515" i="3" s="1"/>
  <c r="BL501" i="3"/>
  <c r="AZ501" i="3" s="1"/>
  <c r="BL499" i="3"/>
  <c r="AZ499" i="3" s="1"/>
  <c r="AZ498" i="3"/>
  <c r="BL497" i="3"/>
  <c r="AZ497" i="3" s="1"/>
  <c r="BL495" i="3"/>
  <c r="AZ495" i="3" s="1"/>
  <c r="AZ373" i="3"/>
  <c r="AZ351" i="3"/>
  <c r="AZ493" i="3"/>
  <c r="U11" i="36"/>
  <c r="AB11" i="36"/>
  <c r="W12" i="37"/>
  <c r="AC12" i="37"/>
  <c r="AC40" i="37"/>
  <c r="W40" i="37"/>
  <c r="BL575" i="3"/>
  <c r="AZ575" i="3" s="1"/>
  <c r="AZ574" i="3"/>
  <c r="AZ572" i="3"/>
  <c r="AZ582" i="3"/>
  <c r="BL16" i="3"/>
  <c r="AZ16" i="3"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BL445" i="3"/>
  <c r="BL447" i="3"/>
  <c r="G448" i="3"/>
  <c r="BA449" i="3"/>
  <c r="BL449" i="3"/>
  <c r="BA451" i="3"/>
  <c r="BL451" i="3"/>
  <c r="BA452" i="3"/>
  <c r="AZ452" i="3" s="1"/>
  <c r="BA454" i="3"/>
  <c r="BL454" i="3"/>
  <c r="BA455" i="3"/>
  <c r="AZ455" i="3" s="1"/>
  <c r="BA456" i="3"/>
  <c r="AZ456" i="3" s="1"/>
  <c r="BA458" i="3"/>
  <c r="BL458" i="3"/>
  <c r="BL460" i="3"/>
  <c r="G461" i="3"/>
  <c r="G463" i="3"/>
  <c r="BL464" i="3"/>
  <c r="G465" i="3"/>
  <c r="G469" i="3"/>
  <c r="AZ494" i="3"/>
  <c r="AZ530" i="3"/>
  <c r="AC38" i="39"/>
  <c r="S31" i="39"/>
  <c r="F27" i="40"/>
  <c r="S27" i="40" s="1"/>
  <c r="H27" i="40"/>
  <c r="U27" i="40" s="1"/>
  <c r="AC33" i="40"/>
  <c r="W37" i="37"/>
  <c r="U35" i="21"/>
  <c r="S14" i="35"/>
  <c r="M11" i="43"/>
  <c r="N4" i="43"/>
  <c r="AC5" i="3"/>
  <c r="AZ377" i="3"/>
  <c r="AZ357" i="3"/>
  <c r="AZ338" i="3"/>
  <c r="AZ382" i="3"/>
  <c r="AZ355" i="3"/>
  <c r="AZ347" i="3"/>
  <c r="AZ344" i="3"/>
  <c r="AZ313" i="3"/>
  <c r="AZ305" i="3"/>
  <c r="N2" i="43"/>
  <c r="F59" i="43" s="1"/>
  <c r="H103" i="9"/>
  <c r="D8" i="53" s="1"/>
  <c r="D9" i="53" s="1"/>
  <c r="B25" i="72" s="1"/>
  <c r="W8" i="39"/>
  <c r="S42" i="39"/>
  <c r="AB34" i="39"/>
  <c r="W23" i="39"/>
  <c r="AC13" i="40"/>
  <c r="F12" i="37"/>
  <c r="S12" i="37" s="1"/>
  <c r="AC15" i="34"/>
  <c r="AB38" i="21"/>
  <c r="AC46" i="21"/>
  <c r="W44" i="21"/>
  <c r="U11" i="33"/>
  <c r="AC45" i="33"/>
  <c r="U26" i="37"/>
  <c r="W14" i="37"/>
  <c r="U35" i="35"/>
  <c r="H24" i="35"/>
  <c r="AB24" i="35" s="1"/>
  <c r="AB27" i="37"/>
  <c r="S21" i="40"/>
  <c r="BL503" i="3"/>
  <c r="AZ503" i="3" s="1"/>
  <c r="BL507" i="3"/>
  <c r="AZ507" i="3" s="1"/>
  <c r="BL511" i="3"/>
  <c r="AZ511" i="3" s="1"/>
  <c r="BL517" i="3"/>
  <c r="AZ517" i="3" s="1"/>
  <c r="BL521" i="3"/>
  <c r="BL525" i="3"/>
  <c r="AZ525" i="3" s="1"/>
  <c r="BL529" i="3"/>
  <c r="AZ529" i="3" s="1"/>
  <c r="BL533" i="3"/>
  <c r="AZ533" i="3" s="1"/>
  <c r="BL537" i="3"/>
  <c r="AZ537" i="3" s="1"/>
  <c r="BL541" i="3"/>
  <c r="AZ541" i="3" s="1"/>
  <c r="BL545" i="3"/>
  <c r="AZ545" i="3" s="1"/>
  <c r="BL553" i="3"/>
  <c r="BL561" i="3"/>
  <c r="AZ561" i="3" s="1"/>
  <c r="BL565" i="3"/>
  <c r="AZ565" i="3" s="1"/>
  <c r="BL571" i="3"/>
  <c r="AZ571" i="3" s="1"/>
  <c r="BL577" i="3"/>
  <c r="AZ577" i="3" s="1"/>
  <c r="BL581" i="3"/>
  <c r="W44" i="39"/>
  <c r="AC28" i="21"/>
  <c r="AA14" i="34"/>
  <c r="AB46" i="34"/>
  <c r="W11" i="36"/>
  <c r="AA14" i="33"/>
  <c r="U31" i="34"/>
  <c r="F13" i="40"/>
  <c r="AA13" i="40" s="1"/>
  <c r="F43" i="39"/>
  <c r="AA43" i="39" s="1"/>
  <c r="H28" i="37"/>
  <c r="F13" i="36"/>
  <c r="S13" i="36" s="1"/>
  <c r="F11" i="35"/>
  <c r="S11" i="35" s="1"/>
  <c r="J46" i="34"/>
  <c r="AC46" i="34" s="1"/>
  <c r="H30" i="34"/>
  <c r="F45" i="33"/>
  <c r="AA45" i="33" s="1"/>
  <c r="J29" i="33"/>
  <c r="AC29" i="33" s="1"/>
  <c r="F31" i="21"/>
  <c r="S31" i="21" s="1"/>
  <c r="H29" i="21"/>
  <c r="U29" i="21" s="1"/>
  <c r="H27" i="21"/>
  <c r="AB27" i="21" s="1"/>
  <c r="S28" i="34"/>
  <c r="J37" i="34"/>
  <c r="AC37" i="34" s="1"/>
  <c r="H37" i="34"/>
  <c r="U37" i="34" s="1"/>
  <c r="W40" i="33"/>
  <c r="S38" i="33"/>
  <c r="AB8" i="36"/>
  <c r="C27" i="39"/>
  <c r="U34" i="21"/>
  <c r="AC9" i="40"/>
  <c r="S27" i="35"/>
  <c r="W39" i="33"/>
  <c r="U35" i="33"/>
  <c r="S34" i="34"/>
  <c r="W34" i="35"/>
  <c r="AC27" i="35"/>
  <c r="S30" i="36"/>
  <c r="F35" i="39"/>
  <c r="I4" i="6"/>
  <c r="W41" i="33"/>
  <c r="F9" i="34"/>
  <c r="AA9" i="34" s="1"/>
  <c r="J12" i="35"/>
  <c r="W12" i="35" s="1"/>
  <c r="AC31" i="35"/>
  <c r="F34" i="35"/>
  <c r="AA34" i="35" s="1"/>
  <c r="G582" i="3"/>
  <c r="G556" i="3"/>
  <c r="G552" i="3"/>
  <c r="G551" i="3"/>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AZ226" i="3" s="1"/>
  <c r="BL226"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AZ286" i="3" s="1"/>
  <c r="BA288" i="3"/>
  <c r="BL288" i="3"/>
  <c r="BA289" i="3"/>
  <c r="AZ289" i="3" s="1"/>
  <c r="BA291" i="3"/>
  <c r="AZ291" i="3" s="1"/>
  <c r="BL291" i="3"/>
  <c r="BA292" i="3"/>
  <c r="AZ292" i="3" s="1"/>
  <c r="BL294" i="3"/>
  <c r="G295" i="3"/>
  <c r="BL296" i="3"/>
  <c r="G297" i="3"/>
  <c r="G301" i="3"/>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G203" i="3"/>
  <c r="G205" i="3"/>
  <c r="BL206" i="3"/>
  <c r="G207" i="3"/>
  <c r="G20" i="3"/>
  <c r="G22" i="3"/>
  <c r="BA23" i="3"/>
  <c r="BL23" i="3"/>
  <c r="G100" i="4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AZ557" i="3"/>
  <c r="S29" i="35"/>
  <c r="AA29" i="35"/>
  <c r="BL586" i="3"/>
  <c r="AZ586" i="3" s="1"/>
  <c r="AZ585" i="3"/>
  <c r="AB40" i="33"/>
  <c r="U40" i="33"/>
  <c r="J26" i="33"/>
  <c r="AC26" i="33" s="1"/>
  <c r="H26" i="33"/>
  <c r="S34" i="35"/>
  <c r="H23" i="35"/>
  <c r="J23" i="35"/>
  <c r="AA10" i="36"/>
  <c r="S10" i="36"/>
  <c r="AB9" i="36"/>
  <c r="U9" i="36"/>
  <c r="J24" i="36"/>
  <c r="H24" i="36"/>
  <c r="AB24" i="36" s="1"/>
  <c r="F24" i="36"/>
  <c r="AA24" i="36" s="1"/>
  <c r="H33" i="36"/>
  <c r="F33" i="36"/>
  <c r="AA33" i="36" s="1"/>
  <c r="AB31" i="36"/>
  <c r="U31" i="36"/>
  <c r="AB14" i="37"/>
  <c r="U14" i="37"/>
  <c r="H45" i="39"/>
  <c r="J45" i="39"/>
  <c r="AA34" i="40"/>
  <c r="S34" i="40"/>
  <c r="AA40" i="40"/>
  <c r="S40" i="40"/>
  <c r="W40" i="40"/>
  <c r="AC40" i="40"/>
  <c r="AC32" i="40"/>
  <c r="W32" i="40"/>
  <c r="J39" i="40"/>
  <c r="H39" i="40"/>
  <c r="U41" i="21"/>
  <c r="AB41" i="21"/>
  <c r="AZ362" i="3"/>
  <c r="H87" i="43"/>
  <c r="H86" i="43"/>
  <c r="H49" i="43"/>
  <c r="H74" i="43"/>
  <c r="F29" i="6"/>
  <c r="AZ327" i="3"/>
  <c r="AZ310" i="3"/>
  <c r="AZ371" i="3"/>
  <c r="AZ336" i="3"/>
  <c r="AZ329" i="3"/>
  <c r="AZ321" i="3"/>
  <c r="AZ304" i="3"/>
  <c r="AB13" i="34"/>
  <c r="U14" i="40"/>
  <c r="AZ513" i="3"/>
  <c r="AZ521" i="3"/>
  <c r="AZ553" i="3"/>
  <c r="AZ583" i="3"/>
  <c r="AZ581" i="3"/>
  <c r="AZ518" i="3"/>
  <c r="AZ538" i="3"/>
  <c r="AZ552" i="3"/>
  <c r="W29" i="33"/>
  <c r="S11" i="36"/>
  <c r="AA44" i="33"/>
  <c r="S26" i="33"/>
  <c r="F23" i="35"/>
  <c r="AA23" i="35" s="1"/>
  <c r="J34" i="36"/>
  <c r="AB12" i="33"/>
  <c r="W11" i="40"/>
  <c r="AC11" i="40"/>
  <c r="S39" i="37"/>
  <c r="AA39" i="37"/>
  <c r="W31" i="37"/>
  <c r="U9" i="39"/>
  <c r="S41" i="21"/>
  <c r="AA34" i="21"/>
  <c r="S34" i="21"/>
  <c r="F12" i="21"/>
  <c r="J12" i="21"/>
  <c r="AC12" i="21" s="1"/>
  <c r="J14" i="21"/>
  <c r="W14" i="21" s="1"/>
  <c r="H14" i="21"/>
  <c r="U14" i="21" s="1"/>
  <c r="H30" i="21"/>
  <c r="J30" i="21"/>
  <c r="AC30" i="21" s="1"/>
  <c r="H46" i="21"/>
  <c r="U46" i="21" s="1"/>
  <c r="F46" i="21"/>
  <c r="AA46" i="21" s="1"/>
  <c r="AA40" i="21"/>
  <c r="S40" i="21"/>
  <c r="AB8" i="33"/>
  <c r="U8" i="33"/>
  <c r="F9" i="33"/>
  <c r="AC9" i="34"/>
  <c r="W9" i="34"/>
  <c r="E80" i="34"/>
  <c r="F80" i="34" s="1"/>
  <c r="G80" i="34" s="1"/>
  <c r="J17" i="34"/>
  <c r="E86" i="34"/>
  <c r="F86" i="34" s="1"/>
  <c r="G86" i="34" s="1"/>
  <c r="H23" i="34"/>
  <c r="J27" i="34"/>
  <c r="F27" i="34"/>
  <c r="AA27" i="34" s="1"/>
  <c r="AC28" i="35"/>
  <c r="W28" i="35"/>
  <c r="J13" i="33"/>
  <c r="F13" i="33"/>
  <c r="J31" i="33"/>
  <c r="F31" i="33"/>
  <c r="S31" i="33" s="1"/>
  <c r="J12" i="34"/>
  <c r="F12" i="34"/>
  <c r="J14" i="34"/>
  <c r="W14" i="34" s="1"/>
  <c r="H14" i="34"/>
  <c r="AB14" i="34" s="1"/>
  <c r="H32" i="34"/>
  <c r="J32" i="34"/>
  <c r="W32" i="34" s="1"/>
  <c r="U12" i="35"/>
  <c r="AB12" i="35"/>
  <c r="H36" i="35"/>
  <c r="AB36" i="35" s="1"/>
  <c r="J36" i="35"/>
  <c r="F9" i="36"/>
  <c r="AA9" i="36" s="1"/>
  <c r="J12" i="36"/>
  <c r="H12" i="36"/>
  <c r="AA40" i="39"/>
  <c r="S40" i="39"/>
  <c r="J37" i="39"/>
  <c r="F37" i="39"/>
  <c r="AA37" i="39" s="1"/>
  <c r="AC8" i="40"/>
  <c r="W8" i="40"/>
  <c r="F36" i="39"/>
  <c r="J36" i="39"/>
  <c r="BA551" i="3"/>
  <c r="AZ551" i="3" s="1"/>
  <c r="BL550" i="3"/>
  <c r="BA550" i="3"/>
  <c r="BL548" i="3"/>
  <c r="AZ548" i="3" s="1"/>
  <c r="G574" i="3"/>
  <c r="G558" i="3"/>
  <c r="G14" i="3"/>
  <c r="BL15" i="3"/>
  <c r="AZ15" i="3" s="1"/>
  <c r="AZ403" i="3"/>
  <c r="AZ406" i="3"/>
  <c r="AZ419" i="3"/>
  <c r="AZ422" i="3"/>
  <c r="AZ435" i="3"/>
  <c r="AZ438" i="3"/>
  <c r="AZ442" i="3"/>
  <c r="AZ451" i="3"/>
  <c r="AZ454" i="3"/>
  <c r="AZ458" i="3"/>
  <c r="AZ469" i="3"/>
  <c r="AZ487" i="3"/>
  <c r="J51" i="82"/>
  <c r="C7" i="79"/>
  <c r="C59" i="79" s="1"/>
  <c r="C7" i="77"/>
  <c r="C52" i="77" s="1"/>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AZ453" i="3" s="1"/>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AZ473" i="3" s="1"/>
  <c r="BA474" i="3"/>
  <c r="BA475" i="3"/>
  <c r="AZ475" i="3" s="1"/>
  <c r="BL477" i="3"/>
  <c r="AZ477" i="3" s="1"/>
  <c r="BA478" i="3"/>
  <c r="AZ478" i="3" s="1"/>
  <c r="BA479" i="3"/>
  <c r="AZ479" i="3" s="1"/>
  <c r="BL481" i="3"/>
  <c r="AZ481" i="3" s="1"/>
  <c r="BA482" i="3"/>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G253" i="3"/>
  <c r="G254" i="3"/>
  <c r="BL254" i="3"/>
  <c r="BA255" i="3"/>
  <c r="AZ255" i="3" s="1"/>
  <c r="BA256" i="3"/>
  <c r="BA257" i="3"/>
  <c r="AZ257" i="3" s="1"/>
  <c r="BL259" i="3"/>
  <c r="AZ259" i="3" s="1"/>
  <c r="BA260" i="3"/>
  <c r="BA261" i="3"/>
  <c r="AZ261" i="3" s="1"/>
  <c r="BL263" i="3"/>
  <c r="AZ263" i="3" s="1"/>
  <c r="BA264" i="3"/>
  <c r="AZ264" i="3" s="1"/>
  <c r="BA265" i="3"/>
  <c r="AZ265" i="3" s="1"/>
  <c r="G268" i="3"/>
  <c r="G269" i="3"/>
  <c r="G270" i="3"/>
  <c r="BL270" i="3"/>
  <c r="AZ270" i="3" s="1"/>
  <c r="G273" i="3"/>
  <c r="G274" i="3"/>
  <c r="BL274" i="3"/>
  <c r="AZ274" i="3" s="1"/>
  <c r="G277" i="3"/>
  <c r="BL277" i="3"/>
  <c r="AZ277" i="3" s="1"/>
  <c r="BA278" i="3"/>
  <c r="BA279" i="3"/>
  <c r="AZ279" i="3" s="1"/>
  <c r="BA280" i="3"/>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AZ80" i="3" s="1"/>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G1" i="82"/>
  <c r="J51" i="15"/>
  <c r="I20" i="66"/>
  <c r="C21" i="39"/>
  <c r="W37" i="34"/>
  <c r="C5" i="11"/>
  <c r="M20" i="15"/>
  <c r="M20" i="82"/>
  <c r="F34" i="82"/>
  <c r="AB37" i="34"/>
  <c r="U34" i="34"/>
  <c r="AA41" i="34"/>
  <c r="S44" i="34"/>
  <c r="AC36" i="34"/>
  <c r="AB17" i="34"/>
  <c r="S10" i="37"/>
  <c r="A15" i="62"/>
  <c r="B61" i="72" s="1"/>
  <c r="D93" i="9"/>
  <c r="E13" i="6"/>
  <c r="E58" i="40" s="1"/>
  <c r="W26" i="33"/>
  <c r="W27" i="34"/>
  <c r="AC27" i="34"/>
  <c r="AB34" i="36"/>
  <c r="U34" i="36"/>
  <c r="AB33" i="36"/>
  <c r="U33" i="36"/>
  <c r="AC12" i="39"/>
  <c r="W12" i="39"/>
  <c r="AC39" i="40"/>
  <c r="W39" i="40"/>
  <c r="AZ401" i="3"/>
  <c r="AZ412" i="3"/>
  <c r="AZ417" i="3"/>
  <c r="AZ428" i="3"/>
  <c r="AZ433" i="3"/>
  <c r="AZ465" i="3"/>
  <c r="W12" i="33"/>
  <c r="AC12" i="33"/>
  <c r="AA32" i="36"/>
  <c r="S32" i="36"/>
  <c r="AZ550" i="3"/>
  <c r="AZ441" i="3"/>
  <c r="AZ490" i="3"/>
  <c r="AA39" i="34"/>
  <c r="F28" i="6"/>
  <c r="BL14" i="3"/>
  <c r="AZ266" i="3"/>
  <c r="U30" i="33"/>
  <c r="AC13" i="34"/>
  <c r="AA47" i="34"/>
  <c r="W28" i="37"/>
  <c r="S19" i="39"/>
  <c r="F12" i="33"/>
  <c r="H12" i="39"/>
  <c r="AB12" i="39" s="1"/>
  <c r="F39" i="40"/>
  <c r="BA14" i="3"/>
  <c r="AZ367" i="3"/>
  <c r="AZ213" i="3"/>
  <c r="AZ224" i="3"/>
  <c r="AZ234" i="3"/>
  <c r="AZ238" i="3"/>
  <c r="AZ254" i="3"/>
  <c r="AZ281"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27" i="36"/>
  <c r="AA26" i="36"/>
  <c r="AA34" i="36"/>
  <c r="S29" i="36"/>
  <c r="AC26" i="36"/>
  <c r="AA22" i="36"/>
  <c r="W14" i="36"/>
  <c r="AB14" i="36"/>
  <c r="U22" i="36"/>
  <c r="S16" i="36"/>
  <c r="AA25"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F11" i="34" s="1"/>
  <c r="S11" i="34" s="1"/>
  <c r="W42" i="33"/>
  <c r="AA35" i="33"/>
  <c r="S27" i="33"/>
  <c r="S32" i="33"/>
  <c r="AA29" i="33"/>
  <c r="AB29" i="33"/>
  <c r="W38" i="33"/>
  <c r="H41" i="33"/>
  <c r="F121" i="33"/>
  <c r="G121" i="33" s="1"/>
  <c r="H121" i="33" s="1"/>
  <c r="I121" i="33" s="1"/>
  <c r="J121" i="33" s="1"/>
  <c r="K121" i="33" s="1"/>
  <c r="L121" i="33" s="1"/>
  <c r="M121" i="33" s="1"/>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F77" i="21"/>
  <c r="F23" i="21"/>
  <c r="S23" i="21" s="1"/>
  <c r="E85" i="21"/>
  <c r="AA14" i="21"/>
  <c r="AB8" i="21"/>
  <c r="S8" i="21"/>
  <c r="M3" i="43"/>
  <c r="N10" i="43"/>
  <c r="M1" i="43"/>
  <c r="M8" i="43"/>
  <c r="N8" i="43"/>
  <c r="N9" i="43"/>
  <c r="C18" i="9"/>
  <c r="D18" i="9" s="1"/>
  <c r="F34" i="67"/>
  <c r="F62" i="67" s="1"/>
  <c r="M20" i="67"/>
  <c r="F34" i="15"/>
  <c r="F62" i="15" s="1"/>
  <c r="G13" i="3"/>
  <c r="G5" i="3" s="1"/>
  <c r="B3" i="3" s="1"/>
  <c r="BA13" i="3"/>
  <c r="E10" i="6"/>
  <c r="E11" i="6"/>
  <c r="E61" i="39" s="1"/>
  <c r="BL17" i="3"/>
  <c r="AZ17" i="3" s="1"/>
  <c r="BL13" i="3"/>
  <c r="J56" i="9"/>
  <c r="J57" i="9" s="1"/>
  <c r="A24" i="51"/>
  <c r="B18" i="72" s="1"/>
  <c r="U29" i="34"/>
  <c r="E14" i="6"/>
  <c r="E64" i="39" s="1"/>
  <c r="E5" i="6"/>
  <c r="D9" i="11" s="1"/>
  <c r="C9" i="11" s="1"/>
  <c r="P10" i="1"/>
  <c r="E32" i="6"/>
  <c r="L19" i="6" s="1"/>
  <c r="G1" i="68"/>
  <c r="K1" i="12"/>
  <c r="F30" i="6"/>
  <c r="AQ12" i="1"/>
  <c r="AR10"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M20" i="43"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29" i="34"/>
  <c r="W29" i="34"/>
  <c r="W46" i="34"/>
  <c r="S32" i="34"/>
  <c r="AA32" i="34"/>
  <c r="U30" i="34"/>
  <c r="AB30" i="34"/>
  <c r="S37" i="34"/>
  <c r="U38" i="34"/>
  <c r="AC40" i="34"/>
  <c r="W40" i="34"/>
  <c r="AA19" i="34"/>
  <c r="S19" i="34"/>
  <c r="AA36" i="34"/>
  <c r="S36" i="34"/>
  <c r="AA8" i="34"/>
  <c r="S8" i="34"/>
  <c r="AB9" i="34"/>
  <c r="U9" i="34"/>
  <c r="S46" i="34"/>
  <c r="AA46" i="34"/>
  <c r="U32" i="34"/>
  <c r="AB32" i="34"/>
  <c r="U14" i="34"/>
  <c r="W23" i="34"/>
  <c r="AC23" i="34"/>
  <c r="AC35" i="34"/>
  <c r="W35" i="34"/>
  <c r="U12" i="34"/>
  <c r="AB12" i="34"/>
  <c r="AB28" i="33"/>
  <c r="AC37" i="33"/>
  <c r="W46" i="33"/>
  <c r="U39" i="33"/>
  <c r="U38" i="33"/>
  <c r="AB34" i="33"/>
  <c r="U44" i="33"/>
  <c r="AB44" i="33"/>
  <c r="S30" i="33"/>
  <c r="AA30" i="33"/>
  <c r="AC14" i="33"/>
  <c r="W14" i="33"/>
  <c r="AC30" i="33"/>
  <c r="W30"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W30" i="21"/>
  <c r="S46" i="21"/>
  <c r="H45" i="21"/>
  <c r="U45" i="21" s="1"/>
  <c r="F29" i="21"/>
  <c r="S29" i="21" s="1"/>
  <c r="F13" i="21"/>
  <c r="AA13" i="21" s="1"/>
  <c r="AC38" i="21"/>
  <c r="H32" i="21"/>
  <c r="H9" i="21"/>
  <c r="J9" i="21"/>
  <c r="J32" i="21"/>
  <c r="F32" i="21"/>
  <c r="U17" i="21"/>
  <c r="W29" i="21"/>
  <c r="S19" i="21"/>
  <c r="S9" i="21"/>
  <c r="AA9" i="21"/>
  <c r="K141" i="21"/>
  <c r="K144" i="21"/>
  <c r="K143" i="21"/>
  <c r="U27" i="21"/>
  <c r="AB25" i="21"/>
  <c r="AB44" i="21"/>
  <c r="AA30" i="21"/>
  <c r="W13" i="21"/>
  <c r="W42" i="21"/>
  <c r="AC45" i="21"/>
  <c r="F10" i="21"/>
  <c r="K145" i="21"/>
  <c r="W25" i="21"/>
  <c r="W31" i="21"/>
  <c r="S27" i="21"/>
  <c r="S17"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3" i="67"/>
  <c r="L47" i="15"/>
  <c r="M24" i="15"/>
  <c r="G1" i="73"/>
  <c r="M28" i="15"/>
  <c r="F42" i="15"/>
  <c r="L47" i="67"/>
  <c r="F16" i="67"/>
  <c r="F9" i="67"/>
  <c r="M8" i="67"/>
  <c r="F8" i="67"/>
  <c r="C76" i="67"/>
  <c r="C76" i="15"/>
  <c r="F6" i="67"/>
  <c r="M22" i="67"/>
  <c r="F37" i="67"/>
  <c r="F16" i="15"/>
  <c r="F42" i="67"/>
  <c r="F9" i="15"/>
  <c r="M9" i="67"/>
  <c r="F36" i="15"/>
  <c r="M6" i="15"/>
  <c r="F38" i="15"/>
  <c r="F38" i="67"/>
  <c r="L48" i="15"/>
  <c r="M9" i="15"/>
  <c r="L48" i="67"/>
  <c r="C4" i="4" l="1"/>
  <c r="AA29" i="21"/>
  <c r="F28" i="86"/>
  <c r="C28" i="86" s="1"/>
  <c r="F32" i="86"/>
  <c r="F60" i="86" s="1"/>
  <c r="M18" i="86"/>
  <c r="AZ14" i="3"/>
  <c r="AZ523" i="3"/>
  <c r="AZ532" i="3"/>
  <c r="AZ47" i="3"/>
  <c r="AZ100" i="3"/>
  <c r="AZ491" i="3"/>
  <c r="AC35" i="39"/>
  <c r="W35" i="39"/>
  <c r="AZ500" i="3"/>
  <c r="AC12" i="40"/>
  <c r="W12" i="40"/>
  <c r="E7" i="21"/>
  <c r="G7" i="21"/>
  <c r="I7" i="21"/>
  <c r="AZ89" i="3"/>
  <c r="AZ76" i="3"/>
  <c r="AZ54" i="3"/>
  <c r="W43" i="39"/>
  <c r="AC43" i="39"/>
  <c r="AC11" i="35"/>
  <c r="W11" i="35"/>
  <c r="AA15" i="34"/>
  <c r="S15" i="34"/>
  <c r="S12" i="35"/>
  <c r="AA12" i="35"/>
  <c r="G124" i="34"/>
  <c r="H124" i="34" s="1"/>
  <c r="I124" i="34" s="1"/>
  <c r="J124" i="34" s="1"/>
  <c r="K124" i="34" s="1"/>
  <c r="L124" i="34" s="1"/>
  <c r="M124" i="34" s="1"/>
  <c r="J43" i="34"/>
  <c r="AB19" i="21"/>
  <c r="U19" i="21"/>
  <c r="AZ117" i="3"/>
  <c r="U11" i="35"/>
  <c r="AB11" i="35"/>
  <c r="AA44" i="39"/>
  <c r="S44" i="39"/>
  <c r="W30" i="34"/>
  <c r="AC30" i="34"/>
  <c r="U45" i="33"/>
  <c r="AB45" i="33"/>
  <c r="W28" i="34"/>
  <c r="AC28" i="34"/>
  <c r="G123" i="33"/>
  <c r="H123" i="33" s="1"/>
  <c r="I123" i="33" s="1"/>
  <c r="J123" i="33" s="1"/>
  <c r="K123" i="33" s="1"/>
  <c r="L123" i="33" s="1"/>
  <c r="M123" i="33" s="1"/>
  <c r="H42" i="33"/>
  <c r="E28" i="6"/>
  <c r="S12" i="40"/>
  <c r="AA12" i="40"/>
  <c r="W32" i="36"/>
  <c r="AC32" i="36"/>
  <c r="G77" i="21"/>
  <c r="F15" i="21"/>
  <c r="J15" i="21"/>
  <c r="O8" i="1"/>
  <c r="P8" i="1" s="1"/>
  <c r="C58" i="33"/>
  <c r="D58" i="33" s="1"/>
  <c r="E58" i="33" s="1"/>
  <c r="F58" i="33" s="1"/>
  <c r="G58" i="33" s="1"/>
  <c r="H58" i="33" s="1"/>
  <c r="I58" i="33" s="1"/>
  <c r="J58" i="33" s="1"/>
  <c r="K58" i="33" s="1"/>
  <c r="L58" i="33" s="1"/>
  <c r="M58" i="33" s="1"/>
  <c r="N58" i="33" s="1"/>
  <c r="O58" i="33" s="1"/>
  <c r="I7" i="33"/>
  <c r="E7" i="33"/>
  <c r="G7" i="33"/>
  <c r="AZ20" i="3"/>
  <c r="G3" i="43"/>
  <c r="K101" i="43" s="1"/>
  <c r="K109" i="43" s="1"/>
  <c r="E12" i="6"/>
  <c r="AZ480" i="3"/>
  <c r="AZ476" i="3"/>
  <c r="AZ449" i="3"/>
  <c r="AZ445" i="3"/>
  <c r="AZ33" i="3"/>
  <c r="AZ31" i="3"/>
  <c r="AZ220" i="3"/>
  <c r="AZ214" i="3"/>
  <c r="AZ506" i="3"/>
  <c r="AZ564" i="3"/>
  <c r="AZ566" i="3"/>
  <c r="E29" i="6"/>
  <c r="G30" i="6"/>
  <c r="G31" i="6" s="1"/>
  <c r="E15" i="6"/>
  <c r="E60" i="40" s="1"/>
  <c r="E56" i="40"/>
  <c r="AA31" i="21"/>
  <c r="AC14" i="21"/>
  <c r="AC32" i="34"/>
  <c r="AA13" i="36"/>
  <c r="T12" i="1"/>
  <c r="BA5" i="3"/>
  <c r="D120" i="9"/>
  <c r="S27" i="34"/>
  <c r="S24" i="36"/>
  <c r="S33" i="36"/>
  <c r="AZ110" i="3"/>
  <c r="AZ108" i="3"/>
  <c r="AZ93" i="3"/>
  <c r="AZ53" i="3"/>
  <c r="AZ36" i="3"/>
  <c r="AZ280" i="3"/>
  <c r="AZ278" i="3"/>
  <c r="AZ260" i="3"/>
  <c r="AZ256" i="3"/>
  <c r="AZ354" i="3"/>
  <c r="AZ482" i="3"/>
  <c r="AZ474" i="3"/>
  <c r="S9" i="34"/>
  <c r="S45" i="33"/>
  <c r="AZ63" i="3"/>
  <c r="AZ59" i="3"/>
  <c r="AZ57" i="3"/>
  <c r="AZ23" i="3"/>
  <c r="AZ194" i="3"/>
  <c r="AZ162" i="3"/>
  <c r="AZ288" i="3"/>
  <c r="AZ275" i="3"/>
  <c r="AZ271" i="3"/>
  <c r="AZ235" i="3"/>
  <c r="AZ217" i="3"/>
  <c r="AZ208" i="3"/>
  <c r="AZ332" i="3"/>
  <c r="AA35" i="39"/>
  <c r="S35" i="39"/>
  <c r="U28" i="37"/>
  <c r="AB28" i="37"/>
  <c r="D52" i="77"/>
  <c r="E52" i="77" s="1"/>
  <c r="F52" i="77" s="1"/>
  <c r="G52" i="77" s="1"/>
  <c r="H52" i="77" s="1"/>
  <c r="I52" i="77" s="1"/>
  <c r="J52" i="77" s="1"/>
  <c r="K52" i="77" s="1"/>
  <c r="L52" i="77" s="1"/>
  <c r="M52" i="77" s="1"/>
  <c r="N52" i="77" s="1"/>
  <c r="O52" i="77" s="1"/>
  <c r="AC36" i="39"/>
  <c r="W36" i="39"/>
  <c r="U12" i="36"/>
  <c r="AB12" i="36"/>
  <c r="W12" i="34"/>
  <c r="AC12" i="34"/>
  <c r="W31" i="33"/>
  <c r="AC31" i="33"/>
  <c r="W34" i="36"/>
  <c r="AC34" i="36"/>
  <c r="AB45" i="39"/>
  <c r="U45" i="39"/>
  <c r="AC23" i="35"/>
  <c r="W23" i="35"/>
  <c r="U26" i="33"/>
  <c r="AB26" i="33"/>
  <c r="W17" i="21"/>
  <c r="C7" i="43"/>
  <c r="D59" i="79"/>
  <c r="E59" i="79" s="1"/>
  <c r="F59" i="79" s="1"/>
  <c r="G59" i="79" s="1"/>
  <c r="H59" i="79" s="1"/>
  <c r="I59" i="79" s="1"/>
  <c r="J59" i="79" s="1"/>
  <c r="K59" i="79" s="1"/>
  <c r="L59" i="79" s="1"/>
  <c r="M59" i="79" s="1"/>
  <c r="N59" i="79" s="1"/>
  <c r="O59" i="79" s="1"/>
  <c r="J7" i="79"/>
  <c r="S36" i="39"/>
  <c r="AA36" i="39"/>
  <c r="W37" i="39"/>
  <c r="AC37" i="39"/>
  <c r="W12" i="36"/>
  <c r="AC12" i="36"/>
  <c r="AC36" i="35"/>
  <c r="W36" i="35"/>
  <c r="S12" i="34"/>
  <c r="AA12" i="34"/>
  <c r="S13" i="33"/>
  <c r="AA13" i="33"/>
  <c r="U23" i="34"/>
  <c r="AB23" i="34"/>
  <c r="W17" i="34"/>
  <c r="AC17" i="34"/>
  <c r="AA9" i="33"/>
  <c r="S9" i="33"/>
  <c r="U30" i="21"/>
  <c r="AB30" i="21"/>
  <c r="S12" i="21"/>
  <c r="AA12" i="21"/>
  <c r="U39" i="40"/>
  <c r="AB39" i="40"/>
  <c r="W45" i="39"/>
  <c r="AC45" i="39"/>
  <c r="AC24" i="36"/>
  <c r="W24" i="36"/>
  <c r="U23" i="35"/>
  <c r="AB23" i="35"/>
  <c r="E4" i="4"/>
  <c r="F53" i="9"/>
  <c r="F32" i="82"/>
  <c r="F28" i="82"/>
  <c r="C28" i="82" s="1"/>
  <c r="M18" i="82"/>
  <c r="F62" i="82"/>
  <c r="T10" i="1"/>
  <c r="AA11" i="34"/>
  <c r="C53" i="67"/>
  <c r="C53" i="15"/>
  <c r="L58" i="67"/>
  <c r="L58" i="15"/>
  <c r="Q73" i="15" s="1"/>
  <c r="N59" i="67"/>
  <c r="L59" i="67" s="1"/>
  <c r="M59" i="67"/>
  <c r="M59" i="15"/>
  <c r="J53" i="67"/>
  <c r="I54" i="67"/>
  <c r="N59" i="15"/>
  <c r="I54" i="15"/>
  <c r="J53" i="15"/>
  <c r="L56" i="15" s="1"/>
  <c r="AQ13" i="1"/>
  <c r="AZ13" i="3"/>
  <c r="F30" i="68"/>
  <c r="C30" i="68" s="1"/>
  <c r="F30" i="11"/>
  <c r="C48" i="11" s="1"/>
  <c r="F28" i="67"/>
  <c r="C28" i="67" s="1"/>
  <c r="F31" i="12"/>
  <c r="F52" i="9"/>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7" s="1"/>
  <c r="F11" i="37"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L27" i="6"/>
  <c r="L56" i="67"/>
  <c r="J57" i="67"/>
  <c r="J55" i="67" s="1"/>
  <c r="J58" i="67" s="1"/>
  <c r="Q50" i="67" s="1"/>
  <c r="F70" i="67"/>
  <c r="F51" i="67"/>
  <c r="F66" i="67"/>
  <c r="Q71" i="67"/>
  <c r="F65" i="67"/>
  <c r="Q71" i="15"/>
  <c r="F64" i="15"/>
  <c r="J57" i="15"/>
  <c r="J55" i="15" s="1"/>
  <c r="J58" i="15" s="1"/>
  <c r="Q50" i="15" s="1"/>
  <c r="F66" i="15"/>
  <c r="AP7" i="1"/>
  <c r="AB45" i="21"/>
  <c r="AC33" i="21"/>
  <c r="W33" i="21"/>
  <c r="S33" i="21"/>
  <c r="AA33" i="21"/>
  <c r="W32" i="21"/>
  <c r="AC32" i="21"/>
  <c r="AB9" i="21"/>
  <c r="U9" i="21"/>
  <c r="AA32" i="21"/>
  <c r="S32" i="21"/>
  <c r="W9" i="21"/>
  <c r="AC9" i="21"/>
  <c r="AB32" i="21"/>
  <c r="U32" i="21"/>
  <c r="AA10" i="21"/>
  <c r="S10" i="21"/>
  <c r="M17" i="67"/>
  <c r="F31" i="15"/>
  <c r="F31" i="67"/>
  <c r="F59" i="15"/>
  <c r="F59" i="67"/>
  <c r="M17" i="15"/>
  <c r="D9" i="68"/>
  <c r="F40" i="82"/>
  <c r="M29" i="86"/>
  <c r="F36" i="67"/>
  <c r="F16" i="86"/>
  <c r="L47" i="86"/>
  <c r="M22" i="15"/>
  <c r="M24" i="82"/>
  <c r="J15" i="82"/>
  <c r="F42" i="82"/>
  <c r="L47" i="82"/>
  <c r="F36" i="82"/>
  <c r="M26" i="15"/>
  <c r="F8" i="82"/>
  <c r="M6" i="86"/>
  <c r="F9" i="86"/>
  <c r="F41" i="82"/>
  <c r="M23" i="82"/>
  <c r="F42" i="86"/>
  <c r="F9" i="82"/>
  <c r="J15" i="86"/>
  <c r="M28" i="67"/>
  <c r="F26" i="67"/>
  <c r="F43" i="86"/>
  <c r="M6" i="82"/>
  <c r="M6" i="67"/>
  <c r="F6" i="86"/>
  <c r="F13" i="67"/>
  <c r="F37" i="82"/>
  <c r="F40" i="67"/>
  <c r="F7" i="86"/>
  <c r="L48" i="86"/>
  <c r="L48" i="82"/>
  <c r="M26" i="82"/>
  <c r="M26" i="86"/>
  <c r="C76" i="86"/>
  <c r="F6" i="15"/>
  <c r="F8" i="15"/>
  <c r="F13" i="86"/>
  <c r="M8" i="15"/>
  <c r="M28" i="82"/>
  <c r="F16" i="82"/>
  <c r="F13" i="82"/>
  <c r="F13" i="15"/>
  <c r="F40" i="15"/>
  <c r="F36" i="86"/>
  <c r="F40" i="86"/>
  <c r="F38" i="86"/>
  <c r="M24" i="67"/>
  <c r="M28" i="86"/>
  <c r="M24" i="86"/>
  <c r="M26" i="67"/>
  <c r="M23" i="86"/>
  <c r="M22" i="82"/>
  <c r="M8" i="86"/>
  <c r="F26" i="15"/>
  <c r="M27" i="86"/>
  <c r="F37" i="86"/>
  <c r="F8" i="86"/>
  <c r="F38" i="82"/>
  <c r="C76" i="82"/>
  <c r="M22" i="86"/>
  <c r="J15" i="67"/>
  <c r="F26" i="82"/>
  <c r="M9" i="82"/>
  <c r="M9" i="86"/>
  <c r="M8" i="82"/>
  <c r="J15" i="15"/>
  <c r="F37" i="15"/>
  <c r="M23" i="15"/>
  <c r="F26" i="86"/>
  <c r="K4" i="4" l="1"/>
  <c r="B46" i="48" s="1"/>
  <c r="B4" i="72" s="1"/>
  <c r="M7" i="86"/>
  <c r="J6" i="86" s="1"/>
  <c r="J10" i="86" s="1"/>
  <c r="J5" i="86" s="1"/>
  <c r="F50" i="86"/>
  <c r="C27" i="86"/>
  <c r="L58" i="86"/>
  <c r="N59" i="86"/>
  <c r="L59" i="86" s="1"/>
  <c r="M59" i="86"/>
  <c r="Q71" i="86"/>
  <c r="F64" i="86"/>
  <c r="F66" i="86"/>
  <c r="C6" i="86"/>
  <c r="C5" i="86" s="1"/>
  <c r="F71" i="86"/>
  <c r="L57" i="86"/>
  <c r="L56" i="86"/>
  <c r="L60" i="86"/>
  <c r="J53" i="86"/>
  <c r="J60" i="86"/>
  <c r="Q48" i="86" s="1"/>
  <c r="J57" i="86"/>
  <c r="J55" i="86" s="1"/>
  <c r="J58" i="86" s="1"/>
  <c r="Q50" i="86" s="1"/>
  <c r="J59" i="86"/>
  <c r="I54" i="86"/>
  <c r="F65" i="86"/>
  <c r="F68" i="86"/>
  <c r="F51" i="86"/>
  <c r="AC43" i="34"/>
  <c r="W43" i="34"/>
  <c r="F7" i="79"/>
  <c r="AZ5" i="3"/>
  <c r="E3" i="6" s="1"/>
  <c r="AB42" i="33"/>
  <c r="U42" i="33"/>
  <c r="S15" i="21"/>
  <c r="AA15" i="21"/>
  <c r="W15" i="21"/>
  <c r="AC15" i="21"/>
  <c r="N101" i="43"/>
  <c r="N109" i="43" s="1"/>
  <c r="F24" i="82"/>
  <c r="F24" i="86"/>
  <c r="C9" i="68"/>
  <c r="F101" i="43"/>
  <c r="F103" i="43" s="1"/>
  <c r="M101" i="43"/>
  <c r="M107" i="43" s="1"/>
  <c r="AG11" i="43"/>
  <c r="AG13" i="43" s="1"/>
  <c r="C101" i="43"/>
  <c r="C106" i="43" s="1"/>
  <c r="H22" i="43"/>
  <c r="AD11" i="43"/>
  <c r="AD13" i="43" s="1"/>
  <c r="Y11" i="43"/>
  <c r="Y13" i="43" s="1"/>
  <c r="E22" i="43"/>
  <c r="N104" i="46"/>
  <c r="H101" i="43"/>
  <c r="E101" i="43"/>
  <c r="AH11" i="43"/>
  <c r="AH13" i="43" s="1"/>
  <c r="Z11" i="43"/>
  <c r="Z13" i="43" s="1"/>
  <c r="AC11" i="43"/>
  <c r="AC13" i="43" s="1"/>
  <c r="F22" i="43"/>
  <c r="J101" i="43"/>
  <c r="J107" i="43" s="1"/>
  <c r="J11" i="39"/>
  <c r="F11" i="39"/>
  <c r="H11" i="39"/>
  <c r="B113" i="43"/>
  <c r="D101" i="43"/>
  <c r="G22" i="43"/>
  <c r="AF11" i="43"/>
  <c r="AF13" i="43" s="1"/>
  <c r="Z7" i="43"/>
  <c r="AE11" i="43"/>
  <c r="AE13" i="43" s="1"/>
  <c r="G101" i="43"/>
  <c r="L101" i="43"/>
  <c r="I101" i="43"/>
  <c r="AJ11" i="43"/>
  <c r="AJ13" i="43" s="1"/>
  <c r="AB11" i="43"/>
  <c r="AB13" i="43" s="1"/>
  <c r="AI11" i="43"/>
  <c r="AI13" i="43" s="1"/>
  <c r="AA11" i="43"/>
  <c r="AA13" i="43" s="1"/>
  <c r="E57" i="40"/>
  <c r="E62" i="39"/>
  <c r="E65" i="39"/>
  <c r="M106" i="43"/>
  <c r="B5" i="62"/>
  <c r="K102" i="43"/>
  <c r="K105" i="43"/>
  <c r="J102" i="43"/>
  <c r="K103" i="43"/>
  <c r="K107" i="43"/>
  <c r="K106" i="43"/>
  <c r="K104" i="43"/>
  <c r="N103" i="43"/>
  <c r="N104" i="43"/>
  <c r="H7" i="79"/>
  <c r="AB7" i="79" s="1"/>
  <c r="T49" i="79" s="1"/>
  <c r="G49" i="79" s="1"/>
  <c r="J7" i="77"/>
  <c r="AC7" i="77" s="1"/>
  <c r="V42" i="77" s="1"/>
  <c r="I42" i="77" s="1"/>
  <c r="F68" i="67"/>
  <c r="F51" i="15"/>
  <c r="F64" i="67"/>
  <c r="C27" i="15"/>
  <c r="F68" i="15"/>
  <c r="F65" i="15"/>
  <c r="C27" i="67"/>
  <c r="F102" i="43"/>
  <c r="F109" i="43"/>
  <c r="C104" i="43"/>
  <c r="C107" i="43"/>
  <c r="C103" i="43"/>
  <c r="C105" i="43"/>
  <c r="C102" i="43"/>
  <c r="C109" i="43"/>
  <c r="F51" i="82"/>
  <c r="F66" i="82"/>
  <c r="Q71" i="82"/>
  <c r="L56" i="82"/>
  <c r="L60" i="82"/>
  <c r="L57" i="82"/>
  <c r="J53" i="82"/>
  <c r="J57" i="82"/>
  <c r="J55" i="82" s="1"/>
  <c r="J58" i="82" s="1"/>
  <c r="Q50" i="82" s="1"/>
  <c r="I54" i="82"/>
  <c r="F69" i="82"/>
  <c r="F68" i="82"/>
  <c r="L59" i="82"/>
  <c r="M59" i="82"/>
  <c r="N59" i="82"/>
  <c r="L58" i="82"/>
  <c r="F64" i="82"/>
  <c r="F65" i="82"/>
  <c r="C27" i="82"/>
  <c r="S7" i="79"/>
  <c r="AA7" i="79"/>
  <c r="R49" i="79" s="1"/>
  <c r="U7" i="79"/>
  <c r="S11" i="37"/>
  <c r="AA11" i="37"/>
  <c r="H11" i="37"/>
  <c r="AB11" i="37" s="1"/>
  <c r="W7" i="79"/>
  <c r="AC7" i="79"/>
  <c r="V49" i="79" s="1"/>
  <c r="I49" i="79" s="1"/>
  <c r="F7" i="77"/>
  <c r="H7" i="77"/>
  <c r="B71" i="72"/>
  <c r="F60" i="82"/>
  <c r="C24" i="82"/>
  <c r="C30" i="69"/>
  <c r="L59" i="15"/>
  <c r="Q74" i="15" s="1"/>
  <c r="C30" i="11"/>
  <c r="A18" i="62"/>
  <c r="B64" i="72" s="1"/>
  <c r="D3" i="33"/>
  <c r="C33" i="43"/>
  <c r="G33" i="43" s="1"/>
  <c r="I33" i="43" s="1"/>
  <c r="C36" i="43"/>
  <c r="E36" i="43" s="1"/>
  <c r="C34" i="43"/>
  <c r="C35" i="43"/>
  <c r="U32" i="39"/>
  <c r="AB32" i="39"/>
  <c r="AC32" i="39"/>
  <c r="W32" i="39"/>
  <c r="W19" i="37"/>
  <c r="AC19" i="37"/>
  <c r="W23" i="37"/>
  <c r="AC23"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C17" i="4"/>
  <c r="B4" i="52" s="1"/>
  <c r="B43" i="72" s="1"/>
  <c r="D3" i="37"/>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Q60" i="15"/>
  <c r="Q60" i="67"/>
  <c r="Q73" i="67"/>
  <c r="Q61" i="67"/>
  <c r="Q74" i="67"/>
  <c r="F1" i="67"/>
  <c r="Q52" i="67"/>
  <c r="C16" i="86"/>
  <c r="U11" i="37" l="1"/>
  <c r="D37" i="11"/>
  <c r="D19" i="11"/>
  <c r="C19" i="11" s="1"/>
  <c r="C20" i="11" s="1"/>
  <c r="D3" i="34"/>
  <c r="M18" i="9"/>
  <c r="B118" i="9" s="1"/>
  <c r="B14" i="74" s="1"/>
  <c r="F107" i="43"/>
  <c r="M102" i="43"/>
  <c r="AY6" i="3"/>
  <c r="F106" i="43"/>
  <c r="F104" i="43"/>
  <c r="N106" i="43"/>
  <c r="B73" i="72"/>
  <c r="L46" i="86"/>
  <c r="Q52" i="86"/>
  <c r="F1" i="86"/>
  <c r="D14" i="12"/>
  <c r="D17" i="12" s="1"/>
  <c r="C17" i="12" s="1"/>
  <c r="E6" i="6"/>
  <c r="Q66" i="86"/>
  <c r="Q57" i="86"/>
  <c r="C32" i="86"/>
  <c r="C38" i="86"/>
  <c r="W7" i="77"/>
  <c r="F105" i="43"/>
  <c r="J103" i="43"/>
  <c r="N102" i="43"/>
  <c r="N107" i="43"/>
  <c r="M103" i="43"/>
  <c r="Q61" i="86"/>
  <c r="Q74" i="86"/>
  <c r="C49" i="86"/>
  <c r="C48" i="86" s="1"/>
  <c r="N105" i="43"/>
  <c r="Q73" i="86"/>
  <c r="Q60" i="86"/>
  <c r="J24" i="86"/>
  <c r="J18" i="86"/>
  <c r="J26" i="86"/>
  <c r="C24" i="86"/>
  <c r="AY16" i="3"/>
  <c r="BG6" i="3"/>
  <c r="AY510" i="3"/>
  <c r="AY495" i="3"/>
  <c r="AY546" i="3"/>
  <c r="AY571" i="3"/>
  <c r="BF6" i="3"/>
  <c r="AY534" i="3"/>
  <c r="AY561" i="3"/>
  <c r="AY585" i="3"/>
  <c r="BM6" i="3"/>
  <c r="BQ6" i="3"/>
  <c r="AY581" i="3"/>
  <c r="AY411" i="3"/>
  <c r="AY427" i="3"/>
  <c r="AY398" i="3"/>
  <c r="AY414" i="3"/>
  <c r="AY430" i="3"/>
  <c r="AY446" i="3"/>
  <c r="AY462" i="3"/>
  <c r="AY457" i="3"/>
  <c r="AY472" i="3"/>
  <c r="AY488" i="3"/>
  <c r="AY475" i="3"/>
  <c r="AY491" i="3"/>
  <c r="AY316" i="3"/>
  <c r="AY332" i="3"/>
  <c r="AY348" i="3"/>
  <c r="AY317" i="3"/>
  <c r="AY333" i="3"/>
  <c r="AY349" i="3"/>
  <c r="AY353" i="3"/>
  <c r="AY377" i="3"/>
  <c r="AY388" i="3"/>
  <c r="AY210" i="3"/>
  <c r="AY242" i="3"/>
  <c r="AY274" i="3"/>
  <c r="AY259" i="3"/>
  <c r="AY290" i="3"/>
  <c r="AY295" i="3"/>
  <c r="AY114" i="3"/>
  <c r="AY161" i="3"/>
  <c r="AY181" i="3"/>
  <c r="AY29" i="3"/>
  <c r="AY72" i="3"/>
  <c r="AY88" i="3"/>
  <c r="BB6" i="3"/>
  <c r="AY507" i="3"/>
  <c r="AY368" i="3"/>
  <c r="AY373" i="3"/>
  <c r="AY384" i="3"/>
  <c r="AY227" i="3"/>
  <c r="AY238" i="3"/>
  <c r="AY270" i="3"/>
  <c r="AY255" i="3"/>
  <c r="AY286" i="3"/>
  <c r="AY291" i="3"/>
  <c r="AY134" i="3"/>
  <c r="AY141" i="3"/>
  <c r="AY173" i="3"/>
  <c r="AY162" i="3"/>
  <c r="AY193" i="3"/>
  <c r="AY25" i="3"/>
  <c r="AY68" i="3"/>
  <c r="AY85" i="3"/>
  <c r="AY555" i="3"/>
  <c r="AY574" i="3"/>
  <c r="AY535" i="3"/>
  <c r="AY447" i="3"/>
  <c r="AY311" i="3"/>
  <c r="AY390" i="3"/>
  <c r="AY269" i="3"/>
  <c r="AY526" i="3"/>
  <c r="AY444" i="3"/>
  <c r="AY334" i="3"/>
  <c r="AY387" i="3"/>
  <c r="AY237" i="3"/>
  <c r="AY75" i="3"/>
  <c r="AY163" i="3"/>
  <c r="AY90" i="3"/>
  <c r="AY171" i="3"/>
  <c r="AY1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M23" i="1"/>
  <c r="M24" i="1" s="1"/>
  <c r="C33" i="33"/>
  <c r="M109" i="43"/>
  <c r="M105" i="43"/>
  <c r="M104" i="43"/>
  <c r="J104" i="43"/>
  <c r="D22"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E104" i="43"/>
  <c r="E107" i="43"/>
  <c r="E105" i="43"/>
  <c r="E109" i="43"/>
  <c r="E102" i="43"/>
  <c r="E106" i="43"/>
  <c r="E103" i="43"/>
  <c r="J106" i="43"/>
  <c r="J105" i="43"/>
  <c r="J109" i="43"/>
  <c r="H102" i="43"/>
  <c r="H103" i="43"/>
  <c r="H104" i="43"/>
  <c r="H107" i="43"/>
  <c r="H106" i="43"/>
  <c r="H105" i="43"/>
  <c r="H109" i="43"/>
  <c r="I109" i="43"/>
  <c r="I104" i="43"/>
  <c r="I107" i="43"/>
  <c r="I105" i="43"/>
  <c r="I106" i="43"/>
  <c r="I102" i="43"/>
  <c r="I103" i="43"/>
  <c r="G105" i="43"/>
  <c r="G109" i="43"/>
  <c r="G103" i="43"/>
  <c r="G106" i="43"/>
  <c r="G107" i="43"/>
  <c r="G102" i="43"/>
  <c r="G104" i="43"/>
  <c r="D117" i="43"/>
  <c r="E117" i="43" s="1"/>
  <c r="F117" i="43" s="1"/>
  <c r="G117" i="43" s="1"/>
  <c r="H117" i="43" s="1"/>
  <c r="G118" i="43"/>
  <c r="H118" i="43" s="1"/>
  <c r="I116" i="43"/>
  <c r="J116" i="43" s="1"/>
  <c r="K116" i="43" s="1"/>
  <c r="L116" i="43" s="1"/>
  <c r="M116" i="43" s="1"/>
  <c r="I118" i="43"/>
  <c r="J118" i="43" s="1"/>
  <c r="K118" i="43" s="1"/>
  <c r="L118" i="43" s="1"/>
  <c r="M118" i="43" s="1"/>
  <c r="B116" i="43"/>
  <c r="C116" i="43" s="1"/>
  <c r="B117" i="43"/>
  <c r="C117" i="43" s="1"/>
  <c r="B115" i="43"/>
  <c r="D116" i="43"/>
  <c r="E116" i="43" s="1"/>
  <c r="F116" i="43" s="1"/>
  <c r="G116" i="43" s="1"/>
  <c r="H116" i="43" s="1"/>
  <c r="B118" i="43"/>
  <c r="C118" i="43" s="1"/>
  <c r="I115" i="43"/>
  <c r="J115" i="43" s="1"/>
  <c r="K115" i="43" s="1"/>
  <c r="L115" i="43" s="1"/>
  <c r="M115" i="43" s="1"/>
  <c r="D118" i="43"/>
  <c r="E118" i="43" s="1"/>
  <c r="F118" i="43" s="1"/>
  <c r="I117" i="43"/>
  <c r="J117" i="43" s="1"/>
  <c r="K117" i="43" s="1"/>
  <c r="L117" i="43" s="1"/>
  <c r="M117" i="43" s="1"/>
  <c r="D115" i="43"/>
  <c r="E115" i="43" s="1"/>
  <c r="F115" i="43" s="1"/>
  <c r="G115" i="43" s="1"/>
  <c r="H115" i="43" s="1"/>
  <c r="AA11" i="39"/>
  <c r="S11" i="39"/>
  <c r="L109" i="43"/>
  <c r="L106" i="43"/>
  <c r="L107" i="43"/>
  <c r="L103" i="43"/>
  <c r="L105" i="43"/>
  <c r="L102" i="43"/>
  <c r="L104" i="43"/>
  <c r="D109" i="43"/>
  <c r="D105" i="43"/>
  <c r="D106" i="43"/>
  <c r="D102" i="43"/>
  <c r="D103" i="43"/>
  <c r="D107" i="43"/>
  <c r="D104" i="43"/>
  <c r="U11" i="39"/>
  <c r="AB11" i="39"/>
  <c r="W11" i="39"/>
  <c r="AC11" i="39"/>
  <c r="E66" i="39"/>
  <c r="C23" i="43"/>
  <c r="C21" i="43" s="1"/>
  <c r="C29" i="43" s="1"/>
  <c r="C30" i="43" s="1"/>
  <c r="E30" i="43" s="1"/>
  <c r="AA7" i="77"/>
  <c r="R42" i="77" s="1"/>
  <c r="S7" i="77"/>
  <c r="G54" i="79"/>
  <c r="H54" i="79" s="1"/>
  <c r="G53" i="79"/>
  <c r="H53" i="79" s="1"/>
  <c r="Q73" i="82"/>
  <c r="Q60" i="82"/>
  <c r="Q52" i="82"/>
  <c r="F1" i="82"/>
  <c r="Q57" i="82"/>
  <c r="Q66" i="82"/>
  <c r="U7" i="77"/>
  <c r="AB7" i="77"/>
  <c r="T42" i="77" s="1"/>
  <c r="G42" i="77" s="1"/>
  <c r="I53" i="79"/>
  <c r="J53" i="79" s="1"/>
  <c r="I46" i="77"/>
  <c r="J46" i="77" s="1"/>
  <c r="R50" i="79"/>
  <c r="E49" i="79"/>
  <c r="Q74" i="82"/>
  <c r="Q61" i="82"/>
  <c r="Q61" i="15"/>
  <c r="E37" i="43"/>
  <c r="AA7" i="36"/>
  <c r="R36" i="36" s="1"/>
  <c r="E36" i="36" s="1"/>
  <c r="E40" i="36" s="1"/>
  <c r="F40" i="36" s="1"/>
  <c r="AC11" i="37"/>
  <c r="W11" i="37"/>
  <c r="AB7" i="37"/>
  <c r="T42" i="37" s="1"/>
  <c r="G42" i="37" s="1"/>
  <c r="G46" i="37" s="1"/>
  <c r="H46" i="37" s="1"/>
  <c r="W11" i="34"/>
  <c r="AC11" i="34"/>
  <c r="AB7" i="36"/>
  <c r="T36" i="36" s="1"/>
  <c r="E38" i="43"/>
  <c r="E6" i="3"/>
  <c r="D10" i="11"/>
  <c r="C10" i="11" s="1"/>
  <c r="D20" i="12"/>
  <c r="C20" i="12" s="1"/>
  <c r="C26" i="12"/>
  <c r="D25" i="12" s="1"/>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D10" i="68"/>
  <c r="AY98" i="3" l="1"/>
  <c r="AY82" i="3"/>
  <c r="AY292" i="3"/>
  <c r="AY486" i="3"/>
  <c r="AY355" i="3"/>
  <c r="BO6" i="3"/>
  <c r="AY182" i="3"/>
  <c r="AY126" i="3"/>
  <c r="AY239" i="3"/>
  <c r="AY389" i="3"/>
  <c r="AY93" i="3"/>
  <c r="AY150" i="3"/>
  <c r="AY275" i="3"/>
  <c r="AY215" i="3"/>
  <c r="AY341" i="3"/>
  <c r="AY324" i="3"/>
  <c r="AY480" i="3"/>
  <c r="AY438" i="3"/>
  <c r="AY419" i="3"/>
  <c r="AY580" i="3"/>
  <c r="AY536" i="3"/>
  <c r="AY552"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1" i="3"/>
  <c r="AY350" i="3"/>
  <c r="AY244" i="3"/>
  <c r="AY562" i="3"/>
  <c r="AY36" i="3"/>
  <c r="AY157" i="3"/>
  <c r="AY271" i="3"/>
  <c r="AY211" i="3"/>
  <c r="BI6" i="3"/>
  <c r="AY186" i="3"/>
  <c r="AY279" i="3"/>
  <c r="AY226" i="3"/>
  <c r="AY356" i="3"/>
  <c r="AY340" i="3"/>
  <c r="AY467" i="3"/>
  <c r="AY454" i="3"/>
  <c r="AY435" i="3"/>
  <c r="AY525" i="3"/>
  <c r="BN6" i="3"/>
  <c r="AY518"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147" i="3"/>
  <c r="AY481" i="3"/>
  <c r="AY178" i="3"/>
  <c r="AY254" i="3"/>
  <c r="AY57" i="3"/>
  <c r="AY243" i="3"/>
  <c r="AY325" i="3"/>
  <c r="AY464" i="3"/>
  <c r="AY403" i="3"/>
  <c r="AY527" i="3"/>
  <c r="AY584" i="3"/>
  <c r="AY519" i="3"/>
  <c r="AY80" i="3"/>
  <c r="AY189" i="3"/>
  <c r="AY129" i="3"/>
  <c r="AY266" i="3"/>
  <c r="AY369" i="3"/>
  <c r="AY313" i="3"/>
  <c r="AY487" i="3"/>
  <c r="AY453" i="3"/>
  <c r="AY410" i="3"/>
  <c r="D3" i="6"/>
  <c r="AY509" i="3"/>
  <c r="AY531" i="3"/>
  <c r="AY35" i="3"/>
  <c r="AY280" i="3"/>
  <c r="AY466" i="3"/>
  <c r="AY27" i="3"/>
  <c r="AY477" i="3"/>
  <c r="BT6" i="3"/>
  <c r="AY220" i="3"/>
  <c r="AY146" i="3"/>
  <c r="AY258" i="3"/>
  <c r="AY449" i="3"/>
  <c r="AY532" i="3"/>
  <c r="AY174" i="3"/>
  <c r="AY361" i="3"/>
  <c r="AY445" i="3"/>
  <c r="AY522" i="3"/>
  <c r="AY79" i="3"/>
  <c r="AY265" i="3"/>
  <c r="AY451" i="3"/>
  <c r="AY71" i="3"/>
  <c r="AY257" i="3"/>
  <c r="AY490" i="3"/>
  <c r="BD6" i="3"/>
  <c r="AY191" i="3"/>
  <c r="AY425" i="3"/>
  <c r="AY89" i="3"/>
  <c r="AY117" i="3"/>
  <c r="AY365" i="3"/>
  <c r="AY130" i="3"/>
  <c r="AY393" i="3"/>
  <c r="AY308" i="3"/>
  <c r="AY422" i="3"/>
  <c r="AY516" i="3"/>
  <c r="AY559"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22" i="3"/>
  <c r="AY474" i="3"/>
  <c r="AY432" i="3"/>
  <c r="AY413" i="3"/>
  <c r="AY15" i="3"/>
  <c r="AY583" i="3"/>
  <c r="AY567" i="3"/>
  <c r="AY40" i="3"/>
  <c r="AY503" i="3"/>
  <c r="AY64" i="3"/>
  <c r="AY250" i="3"/>
  <c r="AY479" i="3"/>
  <c r="AY505" i="3"/>
  <c r="BP6" i="3"/>
  <c r="AY151" i="3"/>
  <c r="AY315" i="3"/>
  <c r="AY568" i="3"/>
  <c r="AY143" i="3"/>
  <c r="AY307" i="3"/>
  <c r="AY429" i="3"/>
  <c r="AY586" i="3"/>
  <c r="AY132" i="3"/>
  <c r="AY199" i="3"/>
  <c r="AY53" i="3"/>
  <c r="AY302" i="3"/>
  <c r="BS6" i="3"/>
  <c r="AY121" i="3"/>
  <c r="AY370" i="3"/>
  <c r="AY483" i="3"/>
  <c r="AY406" i="3"/>
  <c r="AY572"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306" i="3"/>
  <c r="AY459" i="3"/>
  <c r="AY416" i="3"/>
  <c r="AY550" i="3"/>
  <c r="BC6" i="3"/>
  <c r="AY504" i="3"/>
  <c r="AY498" i="3"/>
  <c r="AY579" i="3"/>
  <c r="AY94" i="3"/>
  <c r="AY167" i="3"/>
  <c r="AY221" i="3"/>
  <c r="AY331" i="3"/>
  <c r="AY405" i="3"/>
  <c r="AY512" i="3"/>
  <c r="AY86" i="3"/>
  <c r="AY159" i="3"/>
  <c r="AY273" i="3"/>
  <c r="AY213" i="3"/>
  <c r="AY323" i="3"/>
  <c r="AY443" i="3"/>
  <c r="AY400" i="3"/>
  <c r="AY521" i="3"/>
  <c r="AY566" i="3"/>
  <c r="AY404" i="3"/>
  <c r="AY222" i="3"/>
  <c r="AY309" i="3"/>
  <c r="AY520" i="3"/>
  <c r="AY523" i="3"/>
  <c r="AY113" i="3"/>
  <c r="AY305" i="3"/>
  <c r="AY402" i="3"/>
  <c r="AY551" i="3"/>
  <c r="AY19" i="3"/>
  <c r="AY394" i="3"/>
  <c r="AY500" i="3"/>
  <c r="AY200" i="3"/>
  <c r="AY386" i="3"/>
  <c r="AY448" i="3"/>
  <c r="AY511" i="3"/>
  <c r="S6" i="43"/>
  <c r="T6" i="43" s="1"/>
  <c r="V6" i="43" s="1"/>
  <c r="I41" i="36"/>
  <c r="J41" i="36" s="1"/>
  <c r="S7" i="43"/>
  <c r="T7" i="43" s="1"/>
  <c r="V7" i="43" s="1"/>
  <c r="S4" i="43"/>
  <c r="T4" i="43" s="1"/>
  <c r="V4" i="43" s="1"/>
  <c r="S5" i="43"/>
  <c r="T5" i="43" s="1"/>
  <c r="V5" i="43" s="1"/>
  <c r="S3" i="43"/>
  <c r="T3" i="43" s="1"/>
  <c r="V3" i="43" s="1"/>
  <c r="C66" i="86"/>
  <c r="C60" i="86"/>
  <c r="S2" i="43"/>
  <c r="T2" i="43" s="1"/>
  <c r="V2" i="43" s="1"/>
  <c r="B29" i="1"/>
  <c r="C18" i="12" s="1"/>
  <c r="J33" i="33"/>
  <c r="F33" i="33"/>
  <c r="H33" i="33"/>
  <c r="C115" i="43"/>
  <c r="D113" i="43" s="1"/>
  <c r="J22" i="43" s="1"/>
  <c r="E29" i="43"/>
  <c r="C26" i="43" s="1"/>
  <c r="C49" i="79"/>
  <c r="C50" i="79"/>
  <c r="B2" i="79" s="1"/>
  <c r="B3" i="79" s="1"/>
  <c r="E53" i="79"/>
  <c r="F53" i="79" s="1"/>
  <c r="E54" i="79"/>
  <c r="F54" i="79" s="1"/>
  <c r="I54" i="79"/>
  <c r="J54" i="79" s="1"/>
  <c r="G46" i="77"/>
  <c r="H46" i="77" s="1"/>
  <c r="G47" i="77"/>
  <c r="H47" i="77" s="1"/>
  <c r="E42" i="77"/>
  <c r="R43" i="77"/>
  <c r="J59" i="82"/>
  <c r="J60" i="82" s="1"/>
  <c r="G36" i="36"/>
  <c r="R37" i="36"/>
  <c r="AB7" i="34"/>
  <c r="T49" i="34" s="1"/>
  <c r="G49" i="34" s="1"/>
  <c r="G53" i="34" s="1"/>
  <c r="H53" i="34" s="1"/>
  <c r="W7" i="21"/>
  <c r="AA7" i="21"/>
  <c r="D19" i="68"/>
  <c r="C10" i="68"/>
  <c r="U7" i="21"/>
  <c r="C22" i="11"/>
  <c r="C27" i="43"/>
  <c r="I40" i="36"/>
  <c r="J40" i="36" s="1"/>
  <c r="R43" i="37"/>
  <c r="E42" i="37"/>
  <c r="I47" i="37" s="1"/>
  <c r="J47" i="37" s="1"/>
  <c r="G43" i="35"/>
  <c r="H43" i="35" s="1"/>
  <c r="I42" i="35"/>
  <c r="J42" i="35" s="1"/>
  <c r="R39" i="35"/>
  <c r="E38" i="35"/>
  <c r="I43" i="35" s="1"/>
  <c r="J43" i="35" s="1"/>
  <c r="G47" i="37"/>
  <c r="H47" i="37" s="1"/>
  <c r="I46" i="37"/>
  <c r="J46" i="37" s="1"/>
  <c r="G63" i="40"/>
  <c r="F65" i="40"/>
  <c r="E49" i="34"/>
  <c r="G70" i="39"/>
  <c r="E6" i="76"/>
  <c r="D26" i="6" l="1"/>
  <c r="D8" i="6"/>
  <c r="D14" i="6"/>
  <c r="D9" i="6"/>
  <c r="D28" i="6"/>
  <c r="D23" i="6"/>
  <c r="D10" i="6"/>
  <c r="D25" i="6"/>
  <c r="D22" i="6"/>
  <c r="D24" i="6"/>
  <c r="D12" i="6"/>
  <c r="D13" i="6"/>
  <c r="D15" i="6"/>
  <c r="D21" i="6"/>
  <c r="D5" i="6"/>
  <c r="D11" i="6"/>
  <c r="D29" i="6"/>
  <c r="C18" i="4"/>
  <c r="D6" i="6"/>
  <c r="E61" i="40"/>
  <c r="C8" i="68"/>
  <c r="C33" i="86"/>
  <c r="AA33" i="33"/>
  <c r="S33" i="33"/>
  <c r="AB33" i="33"/>
  <c r="U33" i="33"/>
  <c r="AC33" i="33"/>
  <c r="W33" i="33"/>
  <c r="E46" i="77"/>
  <c r="F46" i="77" s="1"/>
  <c r="E47" i="77"/>
  <c r="F47" i="77" s="1"/>
  <c r="I47" i="77"/>
  <c r="J47" i="77" s="1"/>
  <c r="C42" i="77"/>
  <c r="C43" i="77"/>
  <c r="Q48" i="82"/>
  <c r="L46" i="82"/>
  <c r="R50" i="34"/>
  <c r="C50" i="34" s="1"/>
  <c r="E2" i="76"/>
  <c r="B2" i="43"/>
  <c r="G54" i="34"/>
  <c r="H54" i="34" s="1"/>
  <c r="C37" i="36"/>
  <c r="C36" i="36"/>
  <c r="G40" i="36"/>
  <c r="H40" i="36" s="1"/>
  <c r="E41" i="36"/>
  <c r="F41" i="36" s="1"/>
  <c r="G41" i="36"/>
  <c r="H41" i="36" s="1"/>
  <c r="C19" i="68"/>
  <c r="D37" i="68"/>
  <c r="E47" i="37"/>
  <c r="F47" i="37" s="1"/>
  <c r="E46" i="37"/>
  <c r="F46" i="37" s="1"/>
  <c r="C43" i="37"/>
  <c r="C42" i="37"/>
  <c r="C39" i="35"/>
  <c r="C38" i="35"/>
  <c r="E43" i="35"/>
  <c r="F43" i="35" s="1"/>
  <c r="E42" i="35"/>
  <c r="F42" i="35" s="1"/>
  <c r="E54" i="34"/>
  <c r="F54" i="34" s="1"/>
  <c r="I54" i="34"/>
  <c r="J54" i="34" s="1"/>
  <c r="E53" i="34"/>
  <c r="F53" i="34" s="1"/>
  <c r="H63" i="40"/>
  <c r="G65" i="40"/>
  <c r="H70" i="39"/>
  <c r="B6" i="76"/>
  <c r="C4" i="52" l="1"/>
  <c r="B45" i="72" s="1"/>
  <c r="A7" i="51"/>
  <c r="B7" i="72" s="1"/>
  <c r="A10" i="51"/>
  <c r="B9" i="72" s="1"/>
  <c r="D16" i="6"/>
  <c r="D30" i="6"/>
  <c r="B3" i="77"/>
  <c r="B2" i="77"/>
  <c r="C49" i="34"/>
  <c r="B2" i="76"/>
  <c r="B3" i="76" s="1"/>
  <c r="B3" i="43"/>
  <c r="C24" i="68"/>
  <c r="I63" i="40"/>
  <c r="H65" i="40"/>
  <c r="I70" i="39"/>
  <c r="J63" i="40" l="1"/>
  <c r="I65" i="40"/>
  <c r="J70" i="39"/>
  <c r="K63" i="40" l="1"/>
  <c r="J65" i="40"/>
  <c r="K70" i="39"/>
  <c r="L63" i="40" l="1"/>
  <c r="K65" i="40"/>
  <c r="L70" i="39"/>
  <c r="M63" i="40" l="1"/>
  <c r="L65" i="40"/>
  <c r="M70" i="39"/>
  <c r="D10" i="69"/>
  <c r="N63" i="40" l="1"/>
  <c r="M65" i="40"/>
  <c r="O70" i="39"/>
  <c r="N70" i="39"/>
  <c r="D19" i="69"/>
  <c r="C10" i="69"/>
  <c r="C8" i="69" s="1"/>
  <c r="O63" i="40" l="1"/>
  <c r="O65" i="40" s="1"/>
  <c r="N65" i="40"/>
  <c r="C19" i="69"/>
  <c r="C24" i="69" s="1"/>
  <c r="D37" i="69"/>
  <c r="C37" i="69" s="1"/>
  <c r="F7" i="40" l="1"/>
  <c r="H7" i="40"/>
  <c r="J7" i="40"/>
  <c r="W7" i="40" l="1"/>
  <c r="AC7" i="40"/>
  <c r="V42" i="40" s="1"/>
  <c r="I42" i="40" s="1"/>
  <c r="AB7" i="40"/>
  <c r="T42" i="40" s="1"/>
  <c r="G42" i="40" s="1"/>
  <c r="U7" i="40"/>
  <c r="AA7" i="40"/>
  <c r="R42" i="40" s="1"/>
  <c r="S7" i="40"/>
  <c r="I46" i="40" l="1"/>
  <c r="J46" i="40" s="1"/>
  <c r="E42" i="40"/>
  <c r="I47" i="40" s="1"/>
  <c r="J47" i="40" s="1"/>
  <c r="R43" i="40"/>
  <c r="G47" i="40"/>
  <c r="H47" i="40" s="1"/>
  <c r="G46" i="40"/>
  <c r="H46" i="40" s="1"/>
  <c r="C42" i="40" l="1"/>
  <c r="C43" i="40"/>
  <c r="E46" i="40"/>
  <c r="F46" i="40" s="1"/>
  <c r="E47" i="40"/>
  <c r="F47" i="40" s="1"/>
  <c r="B55" i="40" l="1"/>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AE6" i="1"/>
  <c r="AE8" i="1"/>
  <c r="AE7" i="1"/>
  <c r="AG6" i="1" l="1"/>
  <c r="F41" i="15"/>
  <c r="M27" i="82"/>
  <c r="M27" i="15"/>
  <c r="F41" i="67"/>
  <c r="F41" i="86"/>
  <c r="M27" i="67"/>
  <c r="F69" i="86" l="1"/>
  <c r="J29" i="86"/>
  <c r="F69" i="15"/>
  <c r="F69" i="67"/>
  <c r="D2" i="36"/>
  <c r="D2" i="21"/>
  <c r="E2" i="69"/>
  <c r="D2" i="37"/>
  <c r="E2" i="68"/>
  <c r="D2" i="35"/>
  <c r="D2" i="33"/>
  <c r="B2" i="36" l="1"/>
  <c r="B3" i="36" s="1"/>
  <c r="B2" i="35"/>
  <c r="B3" i="35" s="1"/>
  <c r="B2" i="37"/>
  <c r="B3" i="37" s="1"/>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F7" i="39"/>
  <c r="S7" i="39" s="1"/>
  <c r="H7" i="39"/>
  <c r="AB7" i="39" s="1"/>
  <c r="W7" i="39" l="1"/>
  <c r="U7" i="39"/>
  <c r="AA7" i="39"/>
  <c r="H112" i="9" l="1"/>
  <c r="D21" i="53" s="1"/>
  <c r="B39" i="72" s="1"/>
  <c r="H111" i="9"/>
  <c r="D126" i="9" s="1"/>
  <c r="D19" i="53"/>
  <c r="D59" i="9"/>
  <c r="M55" i="9"/>
  <c r="B38" i="72" l="1"/>
  <c r="D20" i="53"/>
  <c r="B40" i="72" s="1"/>
  <c r="I14" i="74"/>
  <c r="B8" i="74" s="1"/>
  <c r="D127" i="9"/>
  <c r="D13" i="52" s="1"/>
  <c r="D12" i="52"/>
  <c r="AD3" i="71" l="1"/>
  <c r="P21" i="43" s="1"/>
  <c r="P22" i="43" l="1"/>
  <c r="P23" i="43"/>
  <c r="B71" i="39" s="1"/>
  <c r="P24" i="43"/>
  <c r="B66" i="40" s="1"/>
  <c r="P25" i="43"/>
  <c r="E20" i="6" l="1"/>
  <c r="D7" i="12" s="1"/>
  <c r="K7" i="1" l="1"/>
  <c r="D20" i="6"/>
  <c r="M7" i="1" l="1"/>
  <c r="E19" i="6"/>
  <c r="C7" i="12" l="1"/>
  <c r="D3" i="21"/>
  <c r="F27" i="6"/>
  <c r="F31" i="6" s="1"/>
  <c r="B22" i="31"/>
  <c r="O7" i="1"/>
  <c r="D19" i="6"/>
  <c r="K6" i="1"/>
  <c r="F7" i="67"/>
  <c r="F6" i="82"/>
  <c r="M29" i="67"/>
  <c r="F43" i="67"/>
  <c r="M29" i="82"/>
  <c r="F43" i="82"/>
  <c r="F7" i="15"/>
  <c r="M29" i="15"/>
  <c r="F43" i="15"/>
  <c r="F7" i="82"/>
  <c r="P7" i="1" l="1"/>
  <c r="F71" i="67"/>
  <c r="F50" i="67"/>
  <c r="C49" i="67" s="1"/>
  <c r="C48" i="67" s="1"/>
  <c r="C6" i="67"/>
  <c r="C10" i="67" s="1"/>
  <c r="C5" i="67" s="1"/>
  <c r="C38" i="67" s="1"/>
  <c r="M7" i="67"/>
  <c r="J6" i="67" s="1"/>
  <c r="J5" i="67" s="1"/>
  <c r="E27" i="6"/>
  <c r="K25" i="6" s="1"/>
  <c r="M25" i="6" s="1"/>
  <c r="I25" i="6" s="1"/>
  <c r="F71" i="15"/>
  <c r="F50" i="15"/>
  <c r="C49" i="15" s="1"/>
  <c r="M7" i="15"/>
  <c r="J6" i="15" s="1"/>
  <c r="J10" i="15" s="1"/>
  <c r="J5" i="15" s="1"/>
  <c r="J24" i="15" s="1"/>
  <c r="C6" i="15"/>
  <c r="C10" i="15" s="1"/>
  <c r="C5" i="15" s="1"/>
  <c r="C38" i="15" s="1"/>
  <c r="AP6" i="1"/>
  <c r="C36" i="69" s="1"/>
  <c r="M19" i="9"/>
  <c r="C118" i="9" s="1"/>
  <c r="C14" i="74" s="1"/>
  <c r="M7" i="82"/>
  <c r="J6" i="82" s="1"/>
  <c r="J10" i="82" s="1"/>
  <c r="J5" i="82" s="1"/>
  <c r="F50" i="82"/>
  <c r="C49" i="82" s="1"/>
  <c r="C53" i="82" s="1"/>
  <c r="C48" i="82" s="1"/>
  <c r="C6" i="82"/>
  <c r="C10" i="82" s="1"/>
  <c r="C5" i="82" s="1"/>
  <c r="F71" i="82"/>
  <c r="K20" i="6"/>
  <c r="E31" i="6"/>
  <c r="K26" i="6"/>
  <c r="M26" i="6" s="1"/>
  <c r="I26" i="6" s="1"/>
  <c r="K22" i="6"/>
  <c r="M22" i="6" s="1"/>
  <c r="I22" i="6" s="1"/>
  <c r="K16" i="1"/>
  <c r="C34" i="69"/>
  <c r="M6" i="1"/>
  <c r="O6" i="1" s="1"/>
  <c r="P6" i="1" s="1"/>
  <c r="C13" i="12" s="1"/>
  <c r="Q16" i="1"/>
  <c r="G16" i="1"/>
  <c r="H16" i="1"/>
  <c r="D27" i="6"/>
  <c r="D31" i="6" s="1"/>
  <c r="I6" i="6" s="1"/>
  <c r="K19" i="6"/>
  <c r="C16" i="15"/>
  <c r="C16" i="82"/>
  <c r="C16" i="67"/>
  <c r="K23" i="6" l="1"/>
  <c r="M23" i="6" s="1"/>
  <c r="I23" i="6" s="1"/>
  <c r="K21" i="6"/>
  <c r="K24" i="6"/>
  <c r="M24" i="6" s="1"/>
  <c r="I24" i="6" s="1"/>
  <c r="P16" i="1"/>
  <c r="C11" i="12" s="1"/>
  <c r="C15" i="12" s="1"/>
  <c r="O16" i="1"/>
  <c r="C32" i="67"/>
  <c r="M21" i="6"/>
  <c r="I21" i="6" s="1"/>
  <c r="S8" i="1"/>
  <c r="J18" i="67"/>
  <c r="J24" i="67"/>
  <c r="J26" i="67"/>
  <c r="J29" i="67" s="1"/>
  <c r="C66" i="67"/>
  <c r="C60" i="67"/>
  <c r="J18" i="15"/>
  <c r="C32" i="15"/>
  <c r="J26" i="15"/>
  <c r="J29" i="15" s="1"/>
  <c r="C66" i="82"/>
  <c r="C60" i="82"/>
  <c r="C38" i="82"/>
  <c r="C32" i="82"/>
  <c r="C33" i="82"/>
  <c r="J24" i="82"/>
  <c r="J18" i="82"/>
  <c r="J19" i="82"/>
  <c r="I5" i="6"/>
  <c r="C11" i="21" s="1"/>
  <c r="S6" i="1"/>
  <c r="M19" i="6"/>
  <c r="K27" i="6"/>
  <c r="F27" i="69"/>
  <c r="F28" i="12"/>
  <c r="F27" i="11"/>
  <c r="C35" i="69"/>
  <c r="C38" i="69"/>
  <c r="S22" i="6"/>
  <c r="H22" i="6"/>
  <c r="R22" i="6" s="1"/>
  <c r="S26" i="6"/>
  <c r="H26" i="6"/>
  <c r="R26" i="6" s="1"/>
  <c r="M20" i="6"/>
  <c r="I20" i="6" s="1"/>
  <c r="S7" i="1"/>
  <c r="H10" i="39"/>
  <c r="F10" i="39"/>
  <c r="F10" i="40"/>
  <c r="H10" i="40"/>
  <c r="J10" i="39"/>
  <c r="J10" i="40"/>
  <c r="M16" i="1"/>
  <c r="N16" i="1" s="1"/>
  <c r="H23" i="6"/>
  <c r="R23" i="6" s="1"/>
  <c r="S23" i="6"/>
  <c r="H24" i="6"/>
  <c r="R24" i="6" s="1"/>
  <c r="S24" i="6"/>
  <c r="S21" i="6"/>
  <c r="H21" i="6"/>
  <c r="R21" i="6" s="1"/>
  <c r="R8" i="1" s="1"/>
  <c r="S25" i="6"/>
  <c r="H25" i="6"/>
  <c r="R25" i="6" s="1"/>
  <c r="F27" i="68"/>
  <c r="C17" i="15"/>
  <c r="C14" i="67"/>
  <c r="M21" i="86"/>
  <c r="C17" i="82"/>
  <c r="C17" i="67"/>
  <c r="F35" i="86"/>
  <c r="C17" i="86"/>
  <c r="C12" i="12" l="1"/>
  <c r="J11" i="21"/>
  <c r="F11" i="21"/>
  <c r="H11" i="21"/>
  <c r="E8" i="70"/>
  <c r="F63" i="86"/>
  <c r="C62" i="86" s="1"/>
  <c r="C34" i="86"/>
  <c r="C31" i="86" s="1"/>
  <c r="J20" i="86"/>
  <c r="F34" i="11"/>
  <c r="F11" i="12"/>
  <c r="AQ8" i="1"/>
  <c r="AR8" i="1"/>
  <c r="T8" i="1"/>
  <c r="C18" i="67"/>
  <c r="C15" i="67"/>
  <c r="C33" i="69"/>
  <c r="C42" i="69" s="1"/>
  <c r="F50" i="11"/>
  <c r="F50" i="69"/>
  <c r="F50" i="68"/>
  <c r="W10" i="39"/>
  <c r="AC10" i="39"/>
  <c r="V47" i="39" s="1"/>
  <c r="I47" i="39" s="1"/>
  <c r="S10" i="40"/>
  <c r="AA10" i="40"/>
  <c r="U10" i="39"/>
  <c r="AB10" i="39"/>
  <c r="T47" i="39" s="1"/>
  <c r="G47" i="39" s="1"/>
  <c r="S20" i="6"/>
  <c r="H20" i="6"/>
  <c r="R20" i="6" s="1"/>
  <c r="R7" i="1" s="1"/>
  <c r="C47" i="11"/>
  <c r="D45" i="11" s="1"/>
  <c r="C28" i="11"/>
  <c r="C27" i="11" s="1"/>
  <c r="C29" i="11"/>
  <c r="D27" i="11" s="1"/>
  <c r="C47" i="69"/>
  <c r="D45" i="69" s="1"/>
  <c r="C29" i="69"/>
  <c r="D27" i="69" s="1"/>
  <c r="C34" i="11"/>
  <c r="L16" i="1"/>
  <c r="W10" i="40"/>
  <c r="AC10" i="40"/>
  <c r="AB10" i="40"/>
  <c r="U10" i="40"/>
  <c r="AA10" i="39"/>
  <c r="R47" i="39" s="1"/>
  <c r="S10" i="39"/>
  <c r="E7" i="70"/>
  <c r="AQ7" i="1"/>
  <c r="T7" i="1"/>
  <c r="AR7" i="1"/>
  <c r="C29" i="12"/>
  <c r="D28" i="12" s="1"/>
  <c r="C47" i="68"/>
  <c r="D45" i="68" s="1"/>
  <c r="C29" i="68"/>
  <c r="D27" i="68" s="1"/>
  <c r="I19" i="6"/>
  <c r="L18" i="9" s="1"/>
  <c r="M27" i="6"/>
  <c r="AR6" i="1"/>
  <c r="AQ6" i="1"/>
  <c r="S16" i="1"/>
  <c r="T6" i="1"/>
  <c r="E6" i="70"/>
  <c r="F34" i="68"/>
  <c r="C14" i="86"/>
  <c r="C14" i="15"/>
  <c r="C14" i="82"/>
  <c r="C18" i="86" l="1"/>
  <c r="C15" i="86"/>
  <c r="S11" i="21"/>
  <c r="AA11" i="21"/>
  <c r="R48" i="21" s="1"/>
  <c r="U11" i="21"/>
  <c r="AB11" i="21"/>
  <c r="T48" i="21" s="1"/>
  <c r="G48" i="21" s="1"/>
  <c r="W11" i="21"/>
  <c r="AC11" i="21"/>
  <c r="V48" i="21" s="1"/>
  <c r="I48" i="21" s="1"/>
  <c r="C14" i="12"/>
  <c r="C16" i="12" s="1"/>
  <c r="C21" i="12" s="1"/>
  <c r="C37" i="11"/>
  <c r="C36" i="11"/>
  <c r="C37" i="68"/>
  <c r="E47" i="39"/>
  <c r="I52" i="39" s="1"/>
  <c r="J52" i="39" s="1"/>
  <c r="R48" i="39"/>
  <c r="G52" i="39"/>
  <c r="H52" i="39" s="1"/>
  <c r="G51" i="39"/>
  <c r="H51" i="39" s="1"/>
  <c r="I51" i="39"/>
  <c r="J51" i="39" s="1"/>
  <c r="C19" i="67"/>
  <c r="C20" i="67" s="1"/>
  <c r="C23" i="67" s="1"/>
  <c r="C31" i="11"/>
  <c r="C15" i="82"/>
  <c r="C18" i="82"/>
  <c r="C15" i="15"/>
  <c r="C18" i="15"/>
  <c r="T16" i="1"/>
  <c r="C39" i="69"/>
  <c r="C43" i="69" s="1"/>
  <c r="C41" i="69" s="1"/>
  <c r="E2" i="70"/>
  <c r="H19" i="6"/>
  <c r="L19" i="9" s="1"/>
  <c r="I27" i="6"/>
  <c r="S19" i="6"/>
  <c r="S27" i="6" s="1"/>
  <c r="C35" i="11"/>
  <c r="C38" i="11"/>
  <c r="C34" i="68"/>
  <c r="C36" i="68"/>
  <c r="C19" i="86" l="1"/>
  <c r="C20" i="86" s="1"/>
  <c r="C26" i="86" s="1"/>
  <c r="I52" i="21"/>
  <c r="J52" i="21" s="1"/>
  <c r="G53" i="21"/>
  <c r="H53" i="21" s="1"/>
  <c r="G52" i="21"/>
  <c r="H52" i="21" s="1"/>
  <c r="E48" i="21"/>
  <c r="I53" i="21" s="1"/>
  <c r="J53" i="21" s="1"/>
  <c r="R49" i="21"/>
  <c r="C38" i="68"/>
  <c r="C35" i="68"/>
  <c r="C22" i="12"/>
  <c r="C46" i="69"/>
  <c r="C45" i="69" s="1"/>
  <c r="C49" i="69" s="1"/>
  <c r="C51" i="69" s="1"/>
  <c r="C48" i="39"/>
  <c r="C47" i="39"/>
  <c r="E51" i="39"/>
  <c r="F51" i="39" s="1"/>
  <c r="E52" i="39"/>
  <c r="F52" i="39" s="1"/>
  <c r="C26" i="67"/>
  <c r="C29" i="67" s="1"/>
  <c r="C19" i="82"/>
  <c r="C20" i="82" s="1"/>
  <c r="C26" i="82" s="1"/>
  <c r="C19" i="15"/>
  <c r="C20" i="15" s="1"/>
  <c r="C26" i="15" s="1"/>
  <c r="C33" i="11"/>
  <c r="C42" i="11" s="1"/>
  <c r="H27" i="6"/>
  <c r="R19" i="6"/>
  <c r="C23" i="86" l="1"/>
  <c r="C29" i="86" s="1"/>
  <c r="C57" i="86" s="1"/>
  <c r="C48" i="21"/>
  <c r="C49" i="21"/>
  <c r="E52" i="21"/>
  <c r="F52" i="21" s="1"/>
  <c r="E53" i="21"/>
  <c r="F53" i="21" s="1"/>
  <c r="C33" i="68"/>
  <c r="C42" i="68" s="1"/>
  <c r="B61" i="39"/>
  <c r="F61" i="39" s="1"/>
  <c r="B56" i="39"/>
  <c r="F56" i="39" s="1"/>
  <c r="B59" i="39"/>
  <c r="F59" i="39" s="1"/>
  <c r="B65" i="39"/>
  <c r="F65" i="39" s="1"/>
  <c r="B63" i="39"/>
  <c r="F63" i="39" s="1"/>
  <c r="B60" i="39"/>
  <c r="F60" i="39" s="1"/>
  <c r="B58" i="39"/>
  <c r="F58" i="39" s="1"/>
  <c r="B64" i="39"/>
  <c r="F64" i="39" s="1"/>
  <c r="B57" i="39"/>
  <c r="F57" i="39" s="1"/>
  <c r="B62" i="39"/>
  <c r="F62" i="39" s="1"/>
  <c r="J59" i="67"/>
  <c r="J60" i="67" s="1"/>
  <c r="C13" i="67"/>
  <c r="C36" i="67"/>
  <c r="C33" i="67"/>
  <c r="Q49" i="67"/>
  <c r="J19" i="67"/>
  <c r="J14" i="67"/>
  <c r="C57" i="67"/>
  <c r="C23" i="82"/>
  <c r="C29" i="82" s="1"/>
  <c r="C57" i="82" s="1"/>
  <c r="C39" i="11"/>
  <c r="C43" i="11" s="1"/>
  <c r="C41" i="11" s="1"/>
  <c r="C23" i="15"/>
  <c r="C29" i="15" s="1"/>
  <c r="R27" i="6"/>
  <c r="R6" i="1"/>
  <c r="M21" i="67"/>
  <c r="M21" i="15"/>
  <c r="F35" i="82"/>
  <c r="F35" i="67"/>
  <c r="F35" i="15"/>
  <c r="M21" i="82"/>
  <c r="Q49" i="86" l="1"/>
  <c r="C36" i="86"/>
  <c r="J19" i="86"/>
  <c r="J17" i="86" s="1"/>
  <c r="J14" i="86"/>
  <c r="J22" i="86" s="1"/>
  <c r="C13" i="86"/>
  <c r="C75" i="86" s="1"/>
  <c r="B2" i="21"/>
  <c r="C8" i="12" s="1"/>
  <c r="B3" i="21"/>
  <c r="C6" i="12" s="1"/>
  <c r="C64" i="86"/>
  <c r="C61" i="86"/>
  <c r="C59" i="86" s="1"/>
  <c r="C39" i="68"/>
  <c r="C43" i="68" s="1"/>
  <c r="C41" i="68" s="1"/>
  <c r="C34" i="67"/>
  <c r="C31" i="67" s="1"/>
  <c r="F63" i="67"/>
  <c r="C62" i="67" s="1"/>
  <c r="J20" i="67"/>
  <c r="J17" i="67" s="1"/>
  <c r="F66" i="39"/>
  <c r="B2" i="39" s="1"/>
  <c r="C6" i="68" s="1"/>
  <c r="F63" i="15"/>
  <c r="C62" i="15" s="1"/>
  <c r="C34" i="15"/>
  <c r="J20" i="15"/>
  <c r="C61" i="67"/>
  <c r="C59" i="67" s="1"/>
  <c r="C64" i="67"/>
  <c r="Q70" i="67"/>
  <c r="C37" i="67"/>
  <c r="C56" i="67"/>
  <c r="C65" i="67" s="1"/>
  <c r="C75" i="67"/>
  <c r="J13" i="67"/>
  <c r="J23" i="67" s="1"/>
  <c r="J22" i="67"/>
  <c r="Q48" i="67"/>
  <c r="C46" i="11"/>
  <c r="C45" i="11" s="1"/>
  <c r="C49" i="11" s="1"/>
  <c r="C51" i="11" s="1"/>
  <c r="C52" i="11" s="1"/>
  <c r="B2" i="11" s="1"/>
  <c r="B3" i="11" s="1"/>
  <c r="Q49" i="82"/>
  <c r="C13" i="82"/>
  <c r="Q70" i="82" s="1"/>
  <c r="J14" i="82"/>
  <c r="J13" i="82" s="1"/>
  <c r="J23" i="82" s="1"/>
  <c r="C36" i="82"/>
  <c r="J59" i="15"/>
  <c r="J60" i="15" s="1"/>
  <c r="C57" i="15"/>
  <c r="Q49" i="15"/>
  <c r="C33" i="15"/>
  <c r="C36" i="15"/>
  <c r="J19" i="15"/>
  <c r="C13" i="15"/>
  <c r="J14" i="15"/>
  <c r="C64" i="82"/>
  <c r="C61" i="82"/>
  <c r="F63" i="82"/>
  <c r="C62" i="82" s="1"/>
  <c r="C34" i="82"/>
  <c r="C31" i="82" s="1"/>
  <c r="J20" i="82"/>
  <c r="J17" i="82" s="1"/>
  <c r="R16" i="1"/>
  <c r="C37" i="86" l="1"/>
  <c r="C30" i="86" s="1"/>
  <c r="C39" i="86" s="1"/>
  <c r="C40" i="86" s="1"/>
  <c r="J13" i="86"/>
  <c r="J23" i="86" s="1"/>
  <c r="J16" i="86" s="1"/>
  <c r="J25" i="86" s="1"/>
  <c r="C56" i="86"/>
  <c r="C65" i="86" s="1"/>
  <c r="C58" i="86" s="1"/>
  <c r="C67" i="86" s="1"/>
  <c r="C68" i="86" s="1"/>
  <c r="Q70" i="86"/>
  <c r="C46" i="68"/>
  <c r="C45" i="68" s="1"/>
  <c r="C49" i="68" s="1"/>
  <c r="C51" i="68" s="1"/>
  <c r="C7" i="68"/>
  <c r="C5" i="68" s="1"/>
  <c r="C30" i="67"/>
  <c r="C39" i="67" s="1"/>
  <c r="Q69" i="67" s="1"/>
  <c r="Q68" i="67" s="1"/>
  <c r="J17" i="15"/>
  <c r="B3" i="39"/>
  <c r="C6" i="69"/>
  <c r="C31" i="15"/>
  <c r="J16" i="67"/>
  <c r="J25" i="67" s="1"/>
  <c r="L57" i="67"/>
  <c r="L60" i="67" s="1"/>
  <c r="L46" i="67" s="1"/>
  <c r="C58" i="67"/>
  <c r="C67" i="67" s="1"/>
  <c r="C68" i="67" s="1"/>
  <c r="J22" i="82"/>
  <c r="J16" i="82" s="1"/>
  <c r="J25" i="82" s="1"/>
  <c r="J26" i="82" s="1"/>
  <c r="J29" i="82" s="1"/>
  <c r="C75" i="82"/>
  <c r="C37" i="82"/>
  <c r="C30" i="82" s="1"/>
  <c r="C39" i="82" s="1"/>
  <c r="C40" i="82" s="1"/>
  <c r="C56" i="82"/>
  <c r="C65" i="82" s="1"/>
  <c r="C59" i="82"/>
  <c r="J22" i="15"/>
  <c r="J13" i="15"/>
  <c r="J23" i="15" s="1"/>
  <c r="C61" i="15"/>
  <c r="C64" i="15"/>
  <c r="C37" i="15"/>
  <c r="C75" i="15"/>
  <c r="C56" i="15"/>
  <c r="Q70" i="15"/>
  <c r="Q48" i="15"/>
  <c r="C56" i="11"/>
  <c r="C57" i="11" s="1"/>
  <c r="Q69" i="86" l="1"/>
  <c r="Q68" i="86" s="1"/>
  <c r="C80" i="86"/>
  <c r="C79" i="86" s="1"/>
  <c r="C46" i="86"/>
  <c r="C71" i="86"/>
  <c r="B2" i="86"/>
  <c r="Q65" i="86"/>
  <c r="Q75" i="86" s="1"/>
  <c r="Q56" i="86"/>
  <c r="Q62" i="86" s="1"/>
  <c r="Q47" i="86"/>
  <c r="Q53" i="86" s="1"/>
  <c r="C43" i="86"/>
  <c r="C83" i="86"/>
  <c r="C82" i="86" s="1"/>
  <c r="C23" i="68"/>
  <c r="C20" i="68"/>
  <c r="C25" i="68" s="1"/>
  <c r="C80" i="67"/>
  <c r="C79" i="67" s="1"/>
  <c r="C40" i="67"/>
  <c r="D2" i="67" s="1"/>
  <c r="C7" i="69"/>
  <c r="C5" i="69" s="1"/>
  <c r="C58" i="82"/>
  <c r="C67" i="82" s="1"/>
  <c r="C68" i="82" s="1"/>
  <c r="C71" i="82" s="1"/>
  <c r="C30" i="15"/>
  <c r="C39" i="15" s="1"/>
  <c r="C40" i="15" s="1"/>
  <c r="Q66" i="67"/>
  <c r="Q57" i="67"/>
  <c r="C71" i="67"/>
  <c r="C80" i="82"/>
  <c r="C79" i="82" s="1"/>
  <c r="Q69" i="82"/>
  <c r="Q68" i="82" s="1"/>
  <c r="J16" i="15"/>
  <c r="J25" i="15" s="1"/>
  <c r="C48" i="15"/>
  <c r="C65" i="15"/>
  <c r="Q47" i="82"/>
  <c r="Q53" i="82" s="1"/>
  <c r="Q65" i="82"/>
  <c r="Q75" i="82" s="1"/>
  <c r="C43" i="82"/>
  <c r="B2" i="82"/>
  <c r="Q56" i="82"/>
  <c r="Q62" i="82" s="1"/>
  <c r="C83" i="82"/>
  <c r="C82" i="82" s="1"/>
  <c r="L51" i="67"/>
  <c r="L51" i="82"/>
  <c r="L51" i="86"/>
  <c r="AO8" i="1"/>
  <c r="Q67" i="67" l="1"/>
  <c r="Q67" i="86"/>
  <c r="Q67" i="82"/>
  <c r="B8" i="70"/>
  <c r="E8" i="12"/>
  <c r="B3" i="86"/>
  <c r="E6" i="12" s="1"/>
  <c r="C22" i="68"/>
  <c r="C28" i="68"/>
  <c r="C27" i="68" s="1"/>
  <c r="Q56" i="67"/>
  <c r="Q62" i="67" s="1"/>
  <c r="C45" i="67"/>
  <c r="C46" i="67" s="1"/>
  <c r="C83" i="67"/>
  <c r="C82" i="67" s="1"/>
  <c r="Q47" i="67"/>
  <c r="Q53" i="67" s="1"/>
  <c r="C43" i="67"/>
  <c r="Q65" i="67"/>
  <c r="Q75" i="67" s="1"/>
  <c r="C23" i="69"/>
  <c r="C20" i="69"/>
  <c r="C25" i="69" s="1"/>
  <c r="Q69" i="15"/>
  <c r="Q68" i="15" s="1"/>
  <c r="C46" i="82"/>
  <c r="C80" i="15"/>
  <c r="C79" i="15" s="1"/>
  <c r="L57" i="15"/>
  <c r="L60" i="15" s="1"/>
  <c r="B3" i="67"/>
  <c r="B2" i="67"/>
  <c r="C66" i="15"/>
  <c r="C60" i="15"/>
  <c r="C59" i="15" s="1"/>
  <c r="C43" i="15"/>
  <c r="Q56" i="15"/>
  <c r="Q47" i="15"/>
  <c r="Q53" i="15" s="1"/>
  <c r="Q65" i="15"/>
  <c r="C83" i="15"/>
  <c r="C82" i="15" s="1"/>
  <c r="B3" i="82"/>
  <c r="L51" i="15"/>
  <c r="F20" i="31"/>
  <c r="D2" i="34"/>
  <c r="Q67" i="15" l="1"/>
  <c r="C31" i="68"/>
  <c r="C52" i="68" s="1"/>
  <c r="B2" i="68" s="1"/>
  <c r="B3" i="68" s="1"/>
  <c r="C22" i="69"/>
  <c r="C28" i="69"/>
  <c r="C27" i="69" s="1"/>
  <c r="B2" i="34"/>
  <c r="Q66" i="15"/>
  <c r="Q75" i="15" s="1"/>
  <c r="Q57" i="15"/>
  <c r="Q62" i="15" s="1"/>
  <c r="L46" i="15"/>
  <c r="B2" i="15" s="1"/>
  <c r="D8" i="12" s="1"/>
  <c r="C4" i="12" s="1"/>
  <c r="C58" i="15"/>
  <c r="C67" i="15" s="1"/>
  <c r="C68" i="15" s="1"/>
  <c r="C71" i="15" s="1"/>
  <c r="AO6" i="1"/>
  <c r="C19" i="9"/>
  <c r="AO7" i="1"/>
  <c r="C31" i="12" l="1"/>
  <c r="C23" i="12"/>
  <c r="C57" i="68"/>
  <c r="C56" i="68" s="1"/>
  <c r="B6" i="70"/>
  <c r="B3" i="15"/>
  <c r="D6" i="12" s="1"/>
  <c r="C31" i="69"/>
  <c r="C52" i="69" s="1"/>
  <c r="B2" i="69" s="1"/>
  <c r="B3" i="69" s="1"/>
  <c r="C102" i="9"/>
  <c r="C21" i="9"/>
  <c r="B3" i="34"/>
  <c r="B7" i="70"/>
  <c r="C46" i="15"/>
  <c r="C20" i="9"/>
  <c r="B2" i="70" l="1"/>
  <c r="B3" i="70" s="1"/>
  <c r="C30" i="12"/>
  <c r="C28" i="12" s="1"/>
  <c r="C27" i="12"/>
  <c r="C25" i="12" s="1"/>
  <c r="C57" i="69"/>
  <c r="C56" i="69" s="1"/>
  <c r="C103" i="9"/>
  <c r="C32" i="12" l="1"/>
  <c r="B2" i="12" s="1"/>
  <c r="D35" i="9"/>
  <c r="D19" i="9"/>
  <c r="D102" i="9" l="1"/>
  <c r="G19" i="9"/>
  <c r="D21" i="9"/>
  <c r="D22" i="9"/>
  <c r="B3" i="12"/>
  <c r="D20" i="9"/>
  <c r="D103" i="9" l="1"/>
  <c r="G20" i="9"/>
  <c r="R24" i="31" s="1"/>
  <c r="C32" i="9"/>
  <c r="G21" i="9"/>
  <c r="R25" i="31" l="1"/>
  <c r="S25" i="31" s="1"/>
  <c r="R28" i="31"/>
  <c r="S28" i="31" s="1"/>
  <c r="R29" i="31"/>
  <c r="S29" i="31" s="1"/>
  <c r="R30" i="31"/>
  <c r="S30" i="31" s="1"/>
  <c r="R31" i="31"/>
  <c r="S31" i="31" s="1"/>
  <c r="S24" i="31"/>
  <c r="R32" i="31"/>
  <c r="S32" i="31" s="1"/>
  <c r="R33" i="31"/>
  <c r="S33" i="31" s="1"/>
  <c r="R26" i="31"/>
  <c r="S26" i="31" s="1"/>
  <c r="R27" i="31"/>
  <c r="S27" i="31" s="1"/>
  <c r="H118" i="9"/>
  <c r="C35" i="9"/>
  <c r="D34" i="9"/>
  <c r="F118" i="9" l="1"/>
  <c r="B17" i="87" s="1"/>
  <c r="C34" i="9"/>
  <c r="D118" i="9" s="1"/>
  <c r="S22" i="31"/>
  <c r="H101" i="9"/>
  <c r="H4" i="52"/>
  <c r="I118" i="9"/>
  <c r="H119" i="9"/>
  <c r="H5" i="52" s="1"/>
  <c r="C104" i="9"/>
  <c r="D14" i="74"/>
  <c r="D119" i="9" l="1"/>
  <c r="D5" i="52" s="1"/>
  <c r="B49" i="72" s="1"/>
  <c r="D4" i="52"/>
  <c r="E14" i="74"/>
  <c r="F14" i="74"/>
  <c r="R22" i="31"/>
  <c r="B21" i="31" s="1"/>
  <c r="B20" i="31"/>
  <c r="G118" i="9"/>
  <c r="D17" i="87" s="1"/>
  <c r="F119" i="9"/>
  <c r="F5" i="52" s="1"/>
  <c r="F4" i="52"/>
  <c r="I4" i="52"/>
  <c r="C105" i="9"/>
  <c r="H102" i="9"/>
  <c r="D7" i="53" s="1"/>
  <c r="H107" i="9"/>
  <c r="D5" i="53"/>
  <c r="D45" i="9"/>
  <c r="M48" i="9"/>
  <c r="B21" i="72" l="1"/>
  <c r="B47" i="72"/>
  <c r="B51" i="72"/>
  <c r="B53" i="72"/>
  <c r="D53" i="9"/>
  <c r="C72" i="9"/>
  <c r="C93" i="9"/>
  <c r="C86" i="9" s="1"/>
  <c r="C85" i="9"/>
  <c r="C78" i="9"/>
  <c r="C73" i="9" s="1"/>
  <c r="D55" i="9"/>
  <c r="M53" i="9" s="1"/>
  <c r="D52" i="9"/>
  <c r="C64" i="9"/>
  <c r="C63" i="9" s="1"/>
  <c r="C67" i="9" s="1"/>
  <c r="C68" i="9" s="1"/>
  <c r="D54" i="9" s="1"/>
  <c r="D122" i="9"/>
  <c r="H108" i="9"/>
  <c r="D15" i="53" s="1"/>
  <c r="D13" i="53"/>
  <c r="M49" i="9"/>
  <c r="G4" i="52"/>
  <c r="E118" i="9"/>
  <c r="E4" i="52" s="1"/>
  <c r="B20" i="72"/>
  <c r="D6" i="53"/>
  <c r="B22" i="72" l="1"/>
  <c r="B48" i="72"/>
  <c r="B31" i="72"/>
  <c r="B52" i="72"/>
  <c r="C95" i="9"/>
  <c r="C96" i="9" s="1"/>
  <c r="E96" i="9" s="1"/>
  <c r="E97" i="9" s="1"/>
  <c r="L68" i="9"/>
  <c r="M68" i="9" s="1"/>
  <c r="L64" i="9"/>
  <c r="M64" i="9" s="1"/>
  <c r="L65" i="9"/>
  <c r="M65" i="9" s="1"/>
  <c r="L63" i="9"/>
  <c r="M63" i="9" s="1"/>
  <c r="L66" i="9"/>
  <c r="M66" i="9" s="1"/>
  <c r="L67" i="9"/>
  <c r="M67" i="9" s="1"/>
  <c r="B30" i="72"/>
  <c r="D14" i="53"/>
  <c r="D8" i="52"/>
  <c r="G14" i="74"/>
  <c r="D123" i="9"/>
  <c r="D9" i="52" s="1"/>
  <c r="C79" i="9"/>
  <c r="B32" i="72" l="1"/>
  <c r="M69" i="9"/>
  <c r="N69" i="9" s="1"/>
  <c r="C80" i="9"/>
  <c r="E80" i="9" s="1"/>
  <c r="E81" i="9" s="1"/>
  <c r="C97" i="9"/>
  <c r="D58" i="9" s="1"/>
  <c r="D56" i="9" s="1"/>
  <c r="M54" i="9" s="1"/>
  <c r="N57" i="9" s="1"/>
  <c r="N58" i="9" l="1"/>
  <c r="P57" i="9"/>
  <c r="N59" i="9"/>
  <c r="C81" i="9"/>
  <c r="N60" i="9" l="1"/>
  <c r="N61" i="9"/>
  <c r="G16" i="74" l="1"/>
  <c r="E16" i="74"/>
  <c r="F16" i="74"/>
  <c r="D15" i="74" l="1"/>
  <c r="E15" i="74" l="1"/>
  <c r="F15" i="74"/>
  <c r="G15" i="74"/>
  <c r="B7" i="87" l="1"/>
  <c r="B6" i="87"/>
  <c r="B5" i="87" l="1"/>
  <c r="B12" i="87" s="1"/>
  <c r="B11" i="87" l="1"/>
  <c r="B9" i="87"/>
  <c r="B8" i="87"/>
  <c r="B13" i="87" l="1"/>
  <c r="B2" i="87" l="1"/>
  <c r="B3" i="87"/>
  <c r="B17" i="74" l="1"/>
  <c r="B1" i="74" s="1"/>
  <c r="C7" i="74" l="1"/>
  <c r="C8" i="74"/>
  <c r="C17" i="74"/>
  <c r="B2" i="74" s="1"/>
  <c r="D7" i="74" l="1"/>
  <c r="D8" i="74"/>
  <c r="B18" i="87" l="1"/>
  <c r="E18" i="87" s="1"/>
  <c r="D17" i="74" l="1"/>
  <c r="B15" i="87"/>
  <c r="G17" i="74"/>
  <c r="B6" i="74" s="1"/>
  <c r="F17" i="74"/>
  <c r="E17" i="74"/>
  <c r="B5" i="74"/>
  <c r="B16" i="87" l="1"/>
  <c r="D18" i="87" s="1"/>
  <c r="C5" i="74"/>
  <c r="D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<sst xmlns="http://schemas.openxmlformats.org/spreadsheetml/2006/main" count="9667" uniqueCount="3563">
  <si>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</si>
  <si>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</si>
  <si>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</si>
  <si>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</si>
  <si>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</si>
  <si>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</si>
  <si>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</si>
  <si>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</si>
  <si>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</si>
  <si>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</si>
  <si>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</si>
  <si>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</si>
  <si>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</si>
  <si>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</si>
  <si>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</si>
  <si>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</si>
  <si>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</si>
  <si>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</si>
  <si>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</si>
  <si>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</si>
  <si>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</si>
  <si>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</si>
  <si>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</si>
  <si>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</si>
  <si>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</si>
  <si>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</si>
  <si>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</si>
  <si>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</si>
  <si>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</si>
  <si>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</si>
  <si>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</si>
  <si>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</si>
  <si>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</si>
  <si>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</si>
  <si>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</si>
  <si>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</si>
  <si>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</si>
  <si>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</si>
  <si>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</si>
  <si>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</si>
  <si>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</si>
  <si>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</si>
  <si>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</si>
  <si>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</si>
  <si>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</si>
  <si>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</si>
  <si>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</si>
  <si>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</si>
  <si>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</si>
  <si>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</si>
  <si>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</si>
  <si>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</si>
  <si>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</si>
  <si>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</si>
  <si>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</si>
  <si>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</si>
  <si>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</si>
  <si>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</si>
  <si>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</si>
  <si>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</si>
  <si>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</si>
  <si>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</si>
  <si>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</si>
  <si>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</si>
  <si>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</si>
  <si>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</si>
  <si>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</si>
  <si>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</si>
  <si>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</si>
  <si>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</si>
  <si>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</si>
  <si>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</si>
  <si>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</si>
  <si>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</si>
  <si>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</si>
  <si>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</si>
  <si>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</si>
  <si>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</si>
  <si>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</si>
  <si>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</si>
  <si>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</si>
  <si>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</si>
  <si>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</si>
  <si>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</si>
  <si>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</si>
  <si>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</si>
  <si>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</si>
  <si>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</si>
  <si>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</si>
  <si>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</si>
  <si>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</si>
  <si>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</si>
  <si>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</si>
  <si>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</si>
  <si>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</si>
  <si>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</si>
  <si>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</si>
  <si>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</si>
  <si>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</si>
  <si>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</si>
  <si>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</si>
  <si>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</si>
  <si>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</si>
  <si>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</si>
  <si>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</si>
  <si>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</si>
  <si>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</si>
  <si>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</si>
  <si>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</si>
  <si>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</si>
  <si>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</si>
  <si>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</si>
  <si>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</si>
  <si>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</si>
  <si>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</si>
  <si>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</si>
  <si>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</si>
  <si>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</si>
  <si>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</si>
  <si>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</si>
  <si>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</si>
  <si>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</si>
  <si>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</si>
  <si>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</si>
  <si>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</si>
  <si>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</si>
  <si>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</si>
  <si>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</si>
  <si>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</si>
  <si>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</si>
  <si>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</si>
  <si>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</si>
  <si>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</si>
  <si>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</si>
  <si>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</si>
  <si>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</si>
  <si>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</si>
  <si>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</si>
  <si>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</si>
  <si>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</si>
  <si>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</si>
  <si>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</si>
  <si>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</si>
  <si>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</si>
  <si>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</si>
  <si>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</si>
  <si>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</si>
  <si>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</si>
  <si>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</si>
  <si>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</si>
  <si>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</si>
  <si>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</si>
  <si>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</si>
  <si>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</si>
  <si>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</si>
  <si>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</si>
  <si>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</si>
  <si>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</si>
  <si>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</si>
  <si>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</si>
  <si>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</si>
  <si>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</si>
  <si>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</si>
  <si>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</si>
  <si>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</si>
  <si>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</si>
  <si>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</si>
  <si>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</si>
  <si>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</si>
  <si>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</si>
  <si>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</si>
  <si>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</si>
  <si>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</si>
  <si>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</si>
  <si>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</si>
  <si>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</si>
  <si>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</si>
  <si>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</si>
  <si>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</si>
  <si>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</si>
  <si>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</si>
  <si>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</si>
  <si>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</si>
  <si>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</si>
  <si>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</si>
  <si>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</si>
  <si>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</si>
  <si>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</si>
  <si>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</si>
  <si>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</si>
  <si>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</si>
  <si>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</si>
  <si>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</si>
  <si>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</si>
  <si>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</si>
  <si>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</si>
  <si>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</si>
  <si>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</si>
  <si>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</si>
  <si>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</si>
  <si>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</si>
  <si>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</si>
  <si>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</si>
  <si>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</si>
  <si>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</si>
  <si>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</si>
  <si>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</si>
  <si>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</si>
  <si>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</si>
  <si>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</si>
  <si>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</si>
  <si>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</si>
  <si>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</si>
  <si>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</si>
  <si>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</si>
  <si>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</si>
  <si>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</si>
  <si>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</si>
  <si>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</si>
  <si>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</si>
  <si>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</si>
  <si>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</si>
  <si>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</si>
  <si>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</si>
  <si>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</si>
  <si>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</si>
  <si>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</si>
  <si>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</si>
  <si>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</si>
  <si>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</si>
  <si>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</si>
  <si>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</si>
  <si>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</si>
  <si>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</si>
  <si>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</si>
  <si>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</si>
  <si>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</si>
  <si>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</si>
  <si>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</si>
  <si>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</si>
  <si>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</si>
  <si>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</si>
  <si>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</si>
  <si>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</si>
  <si>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</si>
  <si>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</si>
  <si>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</si>
  <si>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</si>
  <si>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</si>
  <si>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</si>
  <si>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</si>
  <si>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</si>
  <si>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</si>
  <si>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</si>
  <si>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</si>
  <si>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</si>
  <si>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</si>
  <si>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</si>
  <si>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</si>
  <si>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</si>
  <si>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</si>
  <si>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</si>
  <si>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</si>
  <si>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</si>
  <si>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</si>
  <si>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</si>
  <si>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</si>
  <si>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</si>
  <si>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</si>
  <si>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</si>
  <si>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</si>
  <si>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</si>
  <si>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</si>
  <si>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</si>
  <si>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</si>
  <si>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</si>
  <si>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</si>
  <si>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</si>
  <si>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</si>
  <si>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</si>
  <si>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</si>
  <si>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</si>
  <si>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</si>
  <si>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</si>
  <si>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</si>
  <si>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</si>
  <si>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</si>
  <si>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</si>
  <si>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</si>
  <si>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</si>
  <si>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</si>
  <si>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</si>
  <si>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</si>
  <si>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</si>
  <si>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</si>
  <si>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</si>
  <si>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</si>
  <si>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</si>
  <si>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</si>
  <si>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</si>
  <si>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</si>
  <si>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</si>
  <si>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</si>
  <si>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</si>
  <si>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</si>
  <si>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</si>
  <si>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</si>
  <si>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</si>
  <si>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</si>
  <si>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</si>
  <si>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</si>
  <si>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</si>
  <si>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</si>
  <si>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</si>
  <si>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</si>
  <si>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</si>
  <si>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</si>
  <si>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</si>
  <si>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</si>
  <si>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</si>
  <si>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</si>
  <si>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</si>
  <si>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</si>
  <si>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</si>
  <si>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</si>
  <si>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</si>
  <si>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</si>
  <si>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</si>
  <si>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</si>
  <si>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</si>
  <si>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</si>
  <si>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</si>
  <si>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</si>
  <si>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</si>
  <si>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</si>
  <si>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</si>
  <si>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</si>
  <si>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</si>
  <si>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</si>
  <si>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</si>
  <si>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</si>
  <si>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</si>
  <si>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</si>
  <si>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</si>
  <si>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</si>
  <si>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</si>
  <si>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</si>
  <si>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</si>
  <si>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</si>
  <si>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</si>
  <si>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</si>
  <si>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</si>
  <si>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</si>
  <si>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</si>
  <si>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</si>
  <si>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</si>
  <si>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</si>
  <si>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</si>
  <si>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</si>
  <si>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</si>
  <si>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</si>
  <si>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</si>
  <si>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</si>
  <si>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</si>
  <si>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</si>
  <si>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</si>
  <si>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</si>
  <si>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</si>
  <si>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</si>
  <si>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</si>
  <si>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</si>
  <si>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</si>
  <si>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</si>
  <si>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</si>
  <si>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</si>
  <si>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</si>
  <si>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</si>
  <si>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</si>
  <si>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</si>
  <si>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</si>
  <si>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</si>
  <si>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</si>
  <si>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</si>
  <si>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</si>
  <si>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</si>
  <si>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</si>
  <si>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</si>
  <si>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</si>
  <si>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</si>
  <si>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</si>
  <si>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</si>
  <si>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</si>
  <si>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</si>
  <si>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</si>
  <si>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</si>
  <si>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</si>
  <si>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</si>
  <si>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</si>
  <si>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</si>
  <si>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</si>
  <si>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</si>
  <si>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</si>
  <si>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</si>
  <si>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</si>
  <si>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</si>
  <si>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</si>
  <si>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</si>
  <si>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</si>
  <si>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</si>
  <si>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</si>
  <si>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</si>
  <si>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</si>
  <si>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</si>
  <si>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</si>
  <si>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</si>
  <si>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</si>
  <si>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</si>
  <si>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</si>
  <si>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</si>
  <si>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</si>
  <si>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</si>
  <si>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</si>
  <si>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</si>
  <si>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</si>
  <si>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</si>
  <si>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</si>
  <si>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</si>
  <si>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</si>
  <si>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</si>
  <si>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</si>
  <si>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</si>
  <si>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</si>
  <si>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</si>
  <si>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</si>
  <si>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</si>
  <si>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</si>
  <si>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</si>
  <si>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</si>
  <si>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</si>
  <si>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</si>
  <si>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</si>
  <si>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</si>
  <si>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</si>
  <si>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</si>
  <si>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</si>
  <si>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</si>
  <si>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</si>
  <si>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</si>
  <si>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</si>
  <si>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</si>
  <si>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</si>
  <si>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</si>
  <si>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</si>
  <si>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</si>
  <si>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</si>
  <si>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</si>
  <si>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</si>
  <si>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</si>
  <si>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</si>
  <si>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</si>
  <si>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</si>
  <si>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</si>
  <si>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</si>
  <si>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</si>
  <si>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</si>
  <si>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</si>
  <si>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</si>
  <si>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</si>
  <si>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</si>
  <si>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</si>
  <si>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</si>
  <si>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</si>
  <si>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</si>
  <si>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</si>
  <si>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</si>
  <si>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</si>
  <si>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</si>
  <si>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</si>
  <si>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</si>
  <si>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</si>
  <si>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</si>
  <si>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</si>
  <si>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</si>
  <si>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</si>
  <si>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</si>
  <si>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</si>
  <si>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</si>
  <si>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</si>
  <si>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</si>
  <si>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</si>
  <si>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</si>
  <si>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</si>
  <si>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</si>
  <si>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</si>
  <si>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</si>
  <si>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</si>
  <si>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</si>
  <si>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</si>
  <si>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</si>
  <si>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</si>
  <si>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</si>
  <si>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</si>
  <si>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</si>
  <si>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</si>
  <si>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</si>
  <si>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</si>
  <si>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</si>
  <si>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</si>
  <si>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</si>
  <si>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</si>
  <si>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</si>
  <si>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</si>
  <si>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</si>
  <si>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</si>
  <si>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</si>
  <si>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</si>
  <si>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</si>
  <si>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</si>
  <si>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</si>
  <si>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</si>
  <si>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</si>
  <si>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</si>
  <si>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</si>
  <si>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</si>
  <si>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</si>
  <si>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</si>
  <si>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</si>
  <si>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</si>
  <si>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</si>
  <si>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</si>
  <si>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</si>
  <si>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</si>
  <si>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</si>
  <si>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</si>
  <si>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</si>
  <si>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</si>
  <si>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</si>
  <si>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</si>
  <si>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</si>
  <si>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</si>
  <si>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</si>
  <si>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</si>
  <si>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</si>
  <si>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</si>
  <si>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</si>
  <si>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</si>
  <si>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</si>
  <si>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</si>
  <si>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</si>
  <si>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</si>
  <si>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</si>
  <si>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</si>
  <si>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</si>
  <si>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</si>
  <si>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</si>
  <si>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</si>
  <si>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</si>
  <si>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</si>
  <si>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</si>
  <si>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</si>
  <si>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</si>
  <si>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</si>
  <si>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</si>
  <si>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</si>
  <si>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</si>
  <si>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</si>
  <si>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</si>
  <si>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</si>
  <si>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</si>
  <si>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</si>
  <si>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</si>
  <si>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</si>
  <si>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</si>
  <si>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</si>
  <si>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</si>
  <si>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</si>
  <si>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</si>
  <si>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</si>
  <si>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</si>
  <si>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</si>
  <si>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</si>
  <si>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</si>
  <si>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</si>
  <si>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</si>
  <si>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</si>
  <si>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</si>
  <si>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</si>
  <si>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</si>
  <si>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</si>
  <si>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</si>
  <si>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</si>
  <si>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</si>
  <si>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</si>
  <si>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</si>
  <si>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</si>
  <si>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</si>
  <si>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</si>
  <si>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</si>
  <si>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</si>
  <si>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</si>
  <si>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</si>
  <si>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</si>
  <si>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</si>
  <si>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</si>
  <si>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</si>
  <si>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</si>
  <si>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</si>
  <si>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</si>
  <si>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</si>
  <si>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</si>
  <si>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</si>
  <si>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</si>
  <si>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</si>
  <si>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</si>
  <si>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</si>
  <si>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</si>
  <si>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</si>
  <si>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</si>
  <si>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</si>
  <si>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</si>
  <si>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</si>
  <si>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</si>
  <si>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</si>
  <si>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</si>
  <si>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</si>
  <si>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</si>
  <si>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</si>
  <si>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</si>
  <si>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</si>
  <si>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</si>
  <si>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</si>
  <si>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</si>
  <si>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</si>
  <si>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</si>
  <si>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</si>
  <si>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</si>
  <si>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</si>
  <si>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</si>
  <si>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</si>
  <si>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</si>
  <si>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</si>
  <si>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</si>
  <si>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</si>
  <si>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</si>
  <si>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</si>
  <si>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</si>
  <si>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</si>
  <si>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</si>
  <si>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</si>
  <si>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</si>
  <si>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</si>
  <si>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</si>
  <si>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</si>
  <si>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</si>
  <si>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</si>
  <si>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</si>
  <si>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</si>
  <si>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</si>
  <si>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</si>
  <si>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</si>
  <si>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</si>
  <si>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</si>
  <si>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</si>
  <si>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</si>
  <si>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</si>
  <si>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</si>
  <si>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</si>
  <si>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</si>
  <si>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</si>
  <si>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</si>
  <si>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</si>
  <si>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</si>
  <si>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</si>
  <si>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</si>
  <si>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</si>
  <si>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</si>
  <si>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</si>
  <si>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</si>
  <si>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</si>
  <si>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</si>
  <si>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</si>
  <si>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</si>
  <si>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</si>
  <si>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</si>
  <si>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</si>
  <si>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</si>
  <si>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</si>
  <si>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</si>
  <si>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</si>
  <si>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</si>
  <si>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</si>
  <si>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</si>
  <si>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</si>
  <si>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</si>
  <si>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</si>
  <si>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</si>
  <si>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</si>
  <si>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</si>
  <si>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</si>
  <si>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</si>
  <si>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</si>
  <si>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</si>
  <si>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</si>
  <si>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</si>
  <si>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</si>
  <si>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</si>
  <si>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</si>
  <si>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</si>
  <si>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</si>
  <si>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</si>
  <si>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</si>
  <si>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</si>
  <si>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</si>
  <si>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</si>
  <si>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</si>
  <si>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</si>
  <si>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</si>
  <si>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</si>
  <si>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</si>
  <si>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</si>
  <si>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</si>
  <si>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</si>
  <si>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</si>
  <si>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</si>
  <si>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</si>
  <si>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</si>
  <si>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</si>
  <si>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</si>
  <si>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</si>
  <si>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</si>
  <si>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</si>
  <si>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</si>
  <si>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</si>
  <si>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</si>
  <si>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</si>
  <si>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</si>
  <si>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</si>
  <si>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</si>
  <si>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</si>
  <si>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</si>
  <si>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</si>
  <si>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</si>
  <si>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</si>
  <si>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</si>
  <si>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</si>
  <si>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</si>
  <si>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</si>
  <si>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</si>
  <si>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</si>
  <si>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</si>
  <si>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</si>
  <si>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</si>
  <si>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</si>
  <si>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</si>
  <si>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</si>
  <si>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</si>
  <si>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</si>
  <si>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</si>
  <si>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</si>
  <si>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</si>
  <si>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</si>
  <si>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</si>
  <si>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</si>
  <si>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</si>
  <si>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</si>
  <si>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</si>
  <si>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</si>
  <si>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</si>
  <si>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</si>
  <si>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</si>
  <si>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</si>
  <si>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</si>
  <si>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</si>
  <si>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</si>
  <si>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</si>
  <si>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</si>
  <si>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</si>
  <si>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</si>
  <si>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</si>
  <si>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</si>
  <si>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</si>
  <si>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</si>
  <si>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</si>
  <si>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</si>
  <si>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</si>
  <si>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</si>
  <si>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</si>
  <si>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</si>
  <si>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</si>
  <si>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</si>
  <si>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</si>
  <si>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</si>
  <si>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</si>
  <si>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</si>
  <si>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</si>
  <si>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</si>
  <si>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</si>
  <si>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</si>
  <si>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</si>
  <si>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</si>
  <si>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</si>
  <si>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</si>
  <si>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</si>
  <si>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</si>
  <si>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</si>
  <si>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</si>
  <si>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</si>
  <si>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</si>
  <si>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</si>
  <si>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</si>
  <si>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</si>
  <si>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</si>
  <si>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</si>
  <si>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</si>
  <si>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</si>
  <si>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</si>
  <si>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</si>
  <si>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</si>
  <si>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</si>
  <si>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</si>
  <si>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</si>
  <si>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</si>
  <si>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</si>
  <si>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</si>
  <si>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</si>
  <si>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</si>
  <si>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</si>
  <si>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</si>
  <si>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</si>
  <si>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</si>
  <si>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</si>
  <si>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</si>
  <si>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</si>
  <si>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</si>
  <si>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</si>
  <si>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</si>
  <si>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</si>
  <si>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</si>
  <si>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</si>
  <si>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</si>
  <si>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</si>
  <si>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</si>
  <si>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</si>
  <si>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</si>
  <si>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</si>
  <si>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</si>
  <si>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</si>
  <si>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</si>
  <si>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</si>
  <si>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</si>
  <si>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</si>
  <si>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</si>
  <si>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</si>
  <si>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</si>
  <si>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</si>
  <si>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</si>
  <si>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</si>
  <si>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</si>
  <si>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</si>
  <si>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</si>
  <si>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</si>
  <si>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</si>
  <si>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</si>
  <si>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</si>
  <si>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</si>
  <si>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</si>
  <si>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</si>
  <si>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</si>
  <si>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</si>
  <si>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</si>
  <si>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</si>
  <si>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</si>
  <si>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</si>
  <si>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</si>
  <si>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</si>
  <si>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</si>
  <si>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</si>
  <si>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</si>
  <si>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</si>
  <si>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</si>
  <si>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</si>
  <si>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</si>
  <si>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</si>
  <si>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</si>
  <si>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</si>
  <si>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</si>
  <si>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</si>
  <si>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</si>
  <si>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</si>
  <si>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</si>
  <si>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</si>
  <si>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</si>
  <si>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</si>
  <si>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</si>
  <si>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</si>
  <si>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</si>
  <si>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</si>
  <si>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</si>
  <si>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</si>
  <si>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</si>
  <si>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</si>
  <si>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</si>
  <si>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</si>
  <si>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</si>
  <si>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</si>
  <si>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</si>
  <si>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</si>
  <si>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</si>
  <si>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</si>
  <si>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</si>
  <si>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</si>
  <si>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</si>
  <si>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</si>
  <si>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</si>
  <si>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</si>
  <si>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</si>
  <si>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</si>
  <si>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</si>
  <si>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</si>
  <si>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</si>
  <si>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</si>
  <si>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</si>
  <si>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</si>
  <si>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</si>
  <si>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</si>
  <si>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</si>
  <si>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</si>
  <si>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</si>
  <si>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</si>
  <si>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</si>
  <si>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</si>
  <si>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</si>
  <si>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</si>
  <si>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</si>
  <si>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</si>
  <si>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</si>
  <si>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</si>
  <si>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</si>
  <si>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</si>
  <si>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</si>
  <si>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</si>
  <si>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</si>
  <si>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</si>
  <si>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</si>
  <si>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</si>
  <si>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</si>
  <si>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</si>
  <si>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</si>
  <si>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</si>
  <si>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</si>
  <si>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</si>
  <si>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</si>
  <si>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</si>
  <si>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</si>
  <si>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</si>
  <si>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</si>
  <si>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</si>
  <si>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</si>
  <si>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</si>
  <si>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</si>
  <si>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</si>
  <si>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</si>
  <si>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</si>
  <si>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</si>
  <si>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</si>
  <si>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</si>
  <si>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</si>
  <si>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</si>
  <si>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</si>
  <si>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</si>
  <si>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</si>
  <si>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</si>
  <si>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</si>
  <si>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</si>
  <si>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</si>
  <si>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</si>
  <si>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</si>
  <si>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</si>
  <si>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</si>
  <si>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</si>
  <si>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</si>
  <si>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</si>
  <si>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</si>
  <si>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</si>
  <si>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</si>
  <si>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</si>
  <si>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</si>
  <si>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</si>
  <si>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</si>
  <si>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</si>
  <si>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</si>
  <si>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</si>
  <si>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</si>
  <si>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</si>
  <si>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</si>
  <si>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</si>
  <si>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</si>
  <si>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</si>
  <si>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</si>
  <si>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</si>
  <si>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</si>
  <si>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</si>
  <si>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</si>
  <si>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</si>
  <si>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</si>
  <si>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</si>
  <si>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</si>
  <si>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</si>
  <si>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</si>
  <si>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</si>
  <si>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</si>
  <si>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</si>
  <si>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</si>
  <si>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</si>
  <si>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</si>
  <si>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</si>
  <si>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</si>
  <si>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</si>
  <si>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</si>
  <si>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</si>
  <si>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</si>
  <si>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</si>
  <si>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</si>
  <si>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</si>
  <si>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</si>
  <si>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</si>
  <si>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</si>
  <si>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</si>
  <si>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</si>
  <si>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</si>
  <si>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</si>
  <si>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</si>
  <si>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</si>
  <si>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</si>
  <si>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</si>
  <si>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</si>
  <si>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</si>
  <si>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</si>
  <si>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</si>
  <si>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</si>
  <si>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</si>
  <si>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</si>
  <si>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</si>
  <si>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</si>
  <si>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</si>
  <si>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</si>
  <si>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</si>
  <si>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</si>
  <si>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</si>
  <si>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</si>
  <si>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</si>
  <si>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</si>
  <si>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</si>
  <si>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</si>
  <si>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</si>
  <si>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</si>
  <si>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</si>
  <si>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</si>
  <si>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</si>
  <si>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</si>
  <si>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</si>
  <si>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</si>
  <si>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</si>
  <si>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</si>
  <si>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</si>
  <si>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</si>
  <si>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</si>
  <si>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</si>
  <si>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</si>
  <si>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</si>
  <si>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</si>
  <si>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</si>
  <si>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</si>
  <si>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</si>
  <si>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</si>
  <si>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</si>
  <si>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</si>
  <si>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</si>
  <si>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</si>
  <si>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</si>
  <si>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</si>
  <si>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</si>
  <si>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</si>
  <si>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</si>
  <si>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</si>
  <si>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</si>
  <si>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</si>
  <si>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</si>
  <si>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</si>
  <si>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</si>
  <si>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</si>
  <si>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</si>
  <si>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</si>
  <si>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</si>
  <si>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</si>
  <si>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</si>
  <si>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</si>
  <si>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</si>
  <si>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</si>
  <si>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</si>
  <si>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</si>
  <si>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</si>
  <si>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</si>
  <si>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</si>
  <si>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</si>
  <si>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</si>
  <si>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</si>
  <si>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</si>
  <si>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</si>
  <si>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</si>
  <si>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</si>
  <si>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</si>
  <si>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</si>
  <si>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</si>
  <si>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</si>
  <si>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</si>
  <si>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</si>
  <si>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</si>
  <si>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</si>
  <si>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</si>
  <si>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</si>
  <si>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</si>
  <si>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</si>
  <si>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</si>
  <si>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</si>
  <si>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</si>
  <si>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</si>
  <si>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</si>
  <si>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</si>
  <si>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</si>
  <si>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</si>
  <si>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</si>
  <si>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</si>
  <si>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</si>
  <si>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</si>
  <si>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</si>
  <si>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</si>
  <si>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</si>
  <si>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</si>
  <si>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</si>
  <si>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</si>
  <si>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</si>
  <si>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</si>
  <si>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</si>
  <si>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</si>
  <si>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</si>
  <si>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</si>
  <si>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</si>
  <si>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</si>
  <si>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</si>
  <si>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</si>
  <si>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</si>
  <si>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</si>
  <si>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</si>
  <si>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</si>
  <si>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</si>
  <si>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</si>
  <si>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</si>
  <si>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</si>
  <si>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</si>
  <si>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</si>
  <si>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</si>
  <si>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</si>
  <si>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</si>
  <si>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</si>
  <si>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</si>
  <si>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</si>
  <si>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</si>
  <si>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</si>
  <si>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</si>
  <si>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</si>
  <si>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</si>
  <si>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</si>
  <si>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</si>
  <si>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</si>
  <si>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</si>
  <si>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</si>
  <si>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</si>
  <si>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</si>
  <si>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</si>
  <si>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</si>
  <si>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</si>
  <si>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</si>
  <si>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</si>
  <si>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</si>
  <si>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</si>
  <si>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</si>
  <si>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</si>
  <si>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</si>
  <si>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</si>
  <si>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</si>
  <si>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</si>
  <si>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</si>
  <si>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</si>
  <si>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</si>
  <si>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</si>
  <si>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</si>
  <si>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</si>
  <si>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</si>
  <si>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</si>
  <si>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</si>
  <si>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</si>
  <si>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</si>
  <si>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</si>
  <si>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</si>
  <si>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</si>
  <si>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</si>
  <si>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</si>
  <si>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</si>
  <si>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</si>
  <si>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</si>
  <si>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</si>
  <si>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</si>
  <si>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</si>
  <si>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</si>
  <si>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</si>
  <si>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</si>
  <si>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</si>
  <si>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</si>
  <si>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</si>
  <si>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</si>
  <si>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</si>
  <si>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</si>
  <si>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</si>
  <si>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</si>
  <si>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</si>
  <si>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</si>
  <si>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</si>
  <si>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</si>
  <si>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</si>
  <si>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</si>
  <si>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</si>
  <si>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</si>
  <si>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</si>
  <si>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</si>
  <si>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</si>
  <si>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</si>
  <si>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</si>
  <si>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</si>
  <si>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</si>
  <si>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</si>
  <si>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</si>
  <si>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</si>
  <si>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</si>
  <si>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</si>
  <si>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</si>
  <si>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</si>
  <si>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</si>
  <si>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</si>
  <si>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</si>
  <si>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</si>
  <si>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</si>
  <si>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</si>
  <si>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</si>
  <si>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</si>
  <si>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</si>
  <si>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</si>
  <si>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</si>
  <si>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</si>
  <si>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</si>
  <si>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</si>
  <si>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</si>
  <si>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</si>
  <si>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</si>
  <si>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</si>
  <si>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</si>
  <si>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</si>
  <si>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</si>
  <si>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</si>
  <si>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</si>
  <si>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</si>
  <si>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</si>
  <si>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</si>
  <si>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</si>
  <si>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</si>
  <si>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</si>
  <si>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</si>
  <si>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</si>
  <si>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</si>
  <si>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</si>
  <si>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</si>
  <si>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</si>
  <si>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</si>
  <si>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</si>
  <si>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</si>
  <si>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</si>
  <si>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</si>
  <si>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</si>
  <si>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</si>
  <si>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</si>
  <si>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</si>
  <si>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</si>
  <si>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</si>
  <si>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</si>
  <si>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</si>
  <si>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</si>
  <si>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</si>
  <si>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</si>
  <si>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</si>
  <si>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</si>
  <si>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</si>
  <si>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</si>
  <si>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</si>
  <si>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</si>
  <si>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</si>
  <si>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</si>
  <si>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</si>
  <si>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</si>
  <si>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</si>
  <si>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</si>
  <si>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</si>
  <si>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</si>
  <si>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</si>
  <si>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</si>
  <si>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</si>
  <si>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</si>
  <si>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</si>
  <si>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</si>
  <si>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</si>
  <si>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</si>
  <si>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</si>
  <si>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</si>
  <si>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</si>
  <si>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</si>
  <si>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</si>
  <si>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</si>
  <si>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</si>
  <si>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</si>
  <si>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</si>
  <si>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</si>
  <si>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</si>
  <si>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</si>
  <si>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</si>
  <si>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</si>
  <si>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</si>
  <si>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</si>
  <si>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</si>
  <si>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</si>
  <si>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</si>
  <si>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</si>
  <si>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</si>
  <si>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</si>
  <si>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</si>
  <si>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</si>
  <si>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</si>
  <si>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</si>
  <si>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</si>
  <si>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</si>
  <si>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</si>
  <si>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</si>
  <si>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</si>
  <si>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</si>
  <si>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</si>
  <si>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</si>
  <si>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</si>
  <si>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</si>
  <si>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</si>
  <si>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</si>
  <si>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</si>
  <si>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</si>
  <si>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</si>
  <si>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</si>
  <si>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</si>
  <si>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</si>
  <si>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</si>
  <si>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</si>
  <si>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</si>
  <si>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</si>
  <si>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</si>
  <si>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</si>
  <si>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</si>
  <si>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</si>
  <si>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</si>
  <si>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</si>
  <si>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</si>
  <si>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</si>
  <si>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</si>
  <si>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</si>
  <si>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</si>
  <si>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</si>
  <si>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</si>
  <si>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</si>
  <si>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</si>
  <si>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</si>
  <si>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</si>
  <si>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</si>
  <si>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</si>
  <si>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</si>
  <si>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</si>
  <si>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</si>
  <si>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</si>
  <si>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</si>
  <si>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</si>
  <si>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</si>
  <si>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</si>
  <si>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</si>
  <si>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</si>
  <si>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</si>
  <si>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</si>
  <si>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</si>
  <si>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</si>
  <si>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</si>
  <si>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</si>
  <si>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</si>
  <si>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</si>
  <si>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</si>
  <si>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</si>
  <si>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</si>
  <si>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</si>
  <si>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</si>
  <si>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</si>
  <si>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</si>
  <si>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</si>
  <si>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</si>
  <si>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</si>
  <si>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</si>
  <si>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</si>
  <si>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</si>
  <si>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</si>
  <si>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</si>
  <si>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</si>
  <si>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</si>
  <si>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</si>
  <si>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</si>
  <si>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</si>
  <si>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</si>
  <si>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</si>
  <si>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</si>
  <si>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</si>
  <si>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</si>
  <si>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</si>
  <si>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</si>
  <si>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</si>
  <si>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</si>
  <si>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</si>
  <si>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</si>
  <si>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</si>
  <si>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</si>
  <si>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</si>
  <si>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</si>
  <si>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</si>
  <si>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</si>
  <si>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</si>
  <si>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</si>
  <si>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</si>
  <si>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</si>
  <si>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</si>
  <si>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</si>
  <si>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</si>
  <si>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</si>
  <si>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</si>
  <si>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</si>
  <si>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</si>
  <si>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</si>
  <si>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</si>
  <si>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</si>
  <si>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</si>
  <si>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</si>
  <si>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</si>
  <si>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</si>
  <si>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</si>
  <si>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</si>
  <si>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</si>
  <si>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</si>
  <si>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</si>
  <si>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</si>
  <si>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</si>
  <si>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</si>
  <si>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</si>
  <si>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</si>
  <si>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</si>
  <si>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</si>
  <si>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</si>
  <si>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</si>
  <si>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</si>
  <si>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</si>
  <si>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</si>
  <si>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</si>
  <si>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</si>
  <si>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</si>
  <si>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</si>
  <si>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</si>
  <si>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</si>
  <si>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</si>
  <si>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</si>
  <si>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</si>
  <si>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</si>
  <si>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</si>
  <si>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</si>
  <si>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</si>
  <si>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</si>
  <si>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</si>
  <si>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</si>
  <si>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</si>
  <si>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</si>
  <si>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</si>
  <si>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</si>
  <si>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</si>
  <si>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</si>
  <si>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</si>
  <si>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</si>
  <si>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</si>
  <si>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</si>
  <si>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</si>
  <si>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</si>
  <si>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</si>
  <si>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</si>
  <si>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</si>
  <si>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</si>
  <si>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</si>
  <si>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</si>
  <si>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</si>
  <si>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</si>
  <si>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</si>
  <si>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</si>
  <si>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</si>
  <si>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</si>
  <si>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</si>
  <si>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</si>
  <si>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</si>
  <si>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</si>
  <si>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</si>
  <si>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</si>
  <si>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</si>
  <si>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</si>
  <si>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</si>
  <si>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</si>
  <si>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</si>
  <si>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</si>
  <si>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</si>
  <si>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</si>
  <si>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</si>
  <si>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</si>
  <si>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</si>
  <si>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</si>
  <si>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</si>
  <si>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</si>
  <si>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</si>
  <si>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</si>
  <si>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</si>
  <si>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</si>
  <si>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</si>
  <si>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</si>
  <si>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</si>
  <si>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</si>
  <si>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</si>
  <si>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</si>
  <si>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</si>
  <si>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</si>
  <si>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</si>
  <si>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</si>
  <si>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</si>
  <si>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</si>
  <si>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</si>
  <si>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</si>
  <si>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</si>
  <si>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</si>
  <si>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</si>
  <si>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</si>
  <si>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</si>
  <si>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</si>
  <si>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</si>
  <si>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</si>
  <si>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</si>
  <si>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</si>
  <si>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</si>
  <si>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</si>
  <si>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</si>
  <si>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</si>
  <si>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</si>
  <si>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</si>
  <si>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</si>
  <si>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</si>
  <si>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</si>
  <si>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</si>
  <si>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</si>
  <si>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</si>
  <si>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</si>
  <si>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</si>
  <si>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</si>
  <si>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</si>
  <si>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</si>
  <si>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</si>
  <si>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</si>
  <si>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</si>
  <si>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</si>
  <si>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</si>
  <si>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</si>
  <si>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</si>
  <si>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</si>
  <si>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</si>
  <si>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</si>
  <si>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</si>
  <si>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</si>
  <si>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</si>
  <si>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</si>
  <si>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</si>
  <si>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</si>
  <si>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</si>
  <si>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</si>
  <si>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</si>
  <si>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</si>
  <si>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</si>
  <si>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</si>
  <si>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</si>
  <si>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</si>
  <si>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</si>
  <si>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</si>
  <si>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</si>
  <si>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</si>
  <si>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</si>
  <si>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</si>
  <si>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</si>
  <si>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</si>
  <si>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</si>
  <si>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</si>
  <si>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</si>
  <si>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</si>
  <si>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</si>
  <si>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</si>
  <si>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</si>
  <si>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</si>
  <si>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</si>
  <si>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</si>
  <si>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</si>
  <si>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</si>
  <si>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</si>
  <si>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</si>
  <si>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</si>
  <si>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</si>
  <si>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</si>
  <si>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</si>
  <si>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</si>
  <si>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</si>
  <si>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</si>
  <si>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</si>
  <si>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</si>
  <si>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</si>
  <si>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</si>
  <si>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</si>
  <si>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</si>
  <si>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</si>
  <si>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</si>
  <si>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</si>
  <si>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</si>
  <si>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</si>
  <si>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</si>
  <si>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</si>
  <si>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</si>
  <si>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</si>
  <si>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</si>
  <si>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</si>
  <si>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</si>
  <si>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</si>
  <si>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</si>
  <si>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</si>
  <si>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</si>
  <si>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</si>
  <si>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</si>
  <si>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</si>
  <si>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</si>
  <si>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</si>
  <si>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</si>
  <si>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</si>
  <si>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</si>
  <si>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</si>
  <si>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</si>
  <si>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</si>
  <si>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</si>
  <si>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</si>
  <si>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</si>
  <si>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</si>
  <si>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</si>
  <si>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</si>
  <si>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</si>
  <si>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</si>
  <si>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</si>
  <si>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</si>
  <si>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</si>
  <si>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</si>
  <si>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</si>
  <si>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</si>
  <si>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</si>
  <si>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</si>
  <si>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</si>
  <si>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</si>
  <si>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</si>
  <si>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</si>
  <si>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</si>
  <si>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</si>
  <si>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</si>
  <si>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</si>
  <si>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</si>
  <si>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</si>
  <si>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</si>
  <si>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</si>
  <si>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</si>
  <si>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</si>
  <si>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</si>
  <si>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</si>
  <si>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</si>
  <si>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</si>
  <si>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</si>
  <si>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</si>
  <si>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</si>
  <si>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</si>
  <si>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</si>
  <si>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</si>
  <si>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</si>
  <si>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</si>
  <si>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</si>
  <si>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</si>
  <si>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</si>
  <si>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</si>
  <si>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</si>
  <si>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</si>
  <si>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</si>
  <si>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</si>
  <si>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</si>
  <si>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</si>
  <si>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</si>
  <si>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</si>
  <si>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</si>
  <si>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</si>
  <si>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</si>
  <si>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</si>
  <si>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</si>
  <si>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</si>
  <si>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</si>
  <si>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</si>
  <si>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</si>
  <si>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</si>
  <si>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</si>
  <si>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</si>
  <si>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</si>
  <si>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</si>
  <si>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</si>
  <si>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</si>
  <si>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</si>
  <si>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</si>
  <si>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</si>
  <si>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</si>
  <si>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</si>
  <si>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</si>
  <si>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</si>
  <si>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</si>
  <si>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</si>
  <si>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</si>
  <si>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</si>
  <si>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</si>
  <si>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</si>
  <si>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</si>
  <si>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</si>
  <si>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</si>
  <si>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</si>
  <si>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</si>
  <si>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</si>
  <si>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</si>
  <si>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</si>
  <si>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</si>
  <si>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</si>
  <si>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</si>
  <si>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</si>
  <si>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</si>
  <si>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</si>
  <si>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</si>
  <si>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</si>
  <si>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</si>
  <si>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</si>
  <si>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</si>
  <si>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</si>
  <si>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</si>
  <si>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</si>
  <si>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</si>
  <si>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</si>
  <si>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</si>
  <si>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</si>
  <si>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</si>
  <si>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</si>
  <si>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</si>
  <si>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</si>
  <si>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</si>
  <si>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</si>
  <si>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</si>
  <si>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</si>
  <si>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</si>
  <si>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</si>
  <si>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</si>
  <si>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</si>
  <si>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</si>
  <si>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</si>
  <si>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</si>
  <si>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</si>
  <si>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</si>
  <si>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</si>
  <si>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</si>
  <si>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</si>
  <si>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</si>
  <si>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</si>
  <si>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</si>
  <si>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</si>
  <si>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</si>
  <si>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</si>
  <si>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</si>
  <si>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</si>
  <si>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</si>
  <si>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</si>
  <si>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</si>
  <si>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</si>
  <si>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</si>
  <si>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</si>
  <si>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</si>
  <si>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</si>
  <si>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</si>
  <si>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</si>
  <si>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</si>
  <si>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</si>
  <si>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</si>
  <si>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</si>
  <si>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</si>
  <si>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</si>
  <si>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</si>
  <si>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</si>
  <si>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</si>
  <si>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</si>
  <si>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</si>
  <si>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</si>
  <si>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</si>
  <si>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</si>
  <si>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</si>
  <si>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</si>
  <si>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</si>
  <si>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</si>
  <si>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</si>
  <si>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</si>
  <si>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</si>
  <si>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</si>
  <si>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</si>
  <si>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</si>
  <si>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</si>
  <si>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</si>
  <si>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</si>
  <si>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</si>
  <si>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</si>
  <si>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</si>
  <si>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</si>
  <si>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</si>
  <si>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</si>
  <si>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</si>
  <si>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</si>
  <si>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</si>
  <si>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</si>
  <si>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</si>
  <si>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</si>
  <si>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</si>
  <si>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</si>
  <si>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</si>
  <si>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</si>
  <si>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</si>
  <si>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</si>
  <si>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</si>
  <si>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</si>
  <si>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</si>
  <si>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</si>
  <si>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</si>
  <si>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</si>
  <si>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</si>
  <si>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</si>
  <si>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</si>
  <si>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</si>
  <si>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</si>
  <si>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</si>
  <si>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</si>
  <si>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</si>
  <si>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</si>
  <si>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</si>
  <si>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</si>
  <si>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</si>
  <si>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</si>
  <si>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</si>
  <si>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</si>
  <si>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</si>
  <si>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</si>
  <si>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</si>
  <si>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</si>
  <si>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</si>
  <si>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</si>
  <si>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</si>
  <si>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</si>
  <si>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</si>
  <si>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</si>
  <si>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</si>
  <si>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</si>
  <si>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</si>
  <si>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</si>
  <si>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</si>
  <si>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</si>
  <si>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</si>
  <si>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</si>
  <si>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</si>
  <si>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</si>
  <si>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</si>
  <si>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</si>
  <si>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</si>
  <si>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</si>
  <si>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</si>
  <si>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</si>
  <si>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</si>
  <si>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</si>
  <si>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</si>
  <si>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</si>
  <si>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</si>
  <si>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</si>
  <si>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</si>
  <si>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</si>
  <si>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</si>
  <si>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</si>
  <si>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</si>
  <si>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</si>
  <si>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</si>
  <si>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</si>
  <si>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</si>
  <si>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</si>
  <si>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</si>
  <si>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</si>
  <si>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</si>
  <si>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</si>
  <si>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</si>
  <si>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</si>
  <si>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</si>
  <si>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</si>
  <si>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</si>
  <si>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</si>
  <si>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</si>
  <si>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</si>
  <si>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</si>
  <si>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</si>
  <si>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</si>
  <si>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</si>
  <si>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</si>
  <si>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</si>
  <si>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</si>
  <si>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</si>
  <si>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</si>
  <si>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</si>
  <si>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</si>
  <si>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</si>
  <si>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</si>
  <si>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</si>
  <si>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</si>
  <si>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</si>
  <si>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</si>
  <si>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</si>
  <si>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</si>
  <si>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</si>
  <si>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</si>
  <si>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</si>
  <si>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</si>
  <si>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</si>
  <si>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</si>
  <si>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</si>
  <si>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</si>
  <si>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</si>
  <si>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</si>
  <si>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</si>
  <si>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</si>
  <si>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</si>
  <si>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</si>
  <si>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</si>
  <si>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</si>
  <si>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</si>
  <si>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</si>
  <si>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</si>
  <si>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</si>
  <si>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</si>
  <si>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</si>
  <si>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</si>
  <si>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</si>
  <si>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</si>
  <si>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</si>
  <si>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</si>
  <si>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</si>
  <si>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</si>
  <si>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</si>
  <si>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</si>
  <si>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</si>
  <si>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</si>
  <si>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</si>
  <si>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</si>
  <si>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</si>
  <si>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</si>
  <si>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</si>
  <si>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</si>
  <si>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</si>
  <si>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</si>
  <si>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</si>
  <si>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</si>
  <si>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</si>
  <si>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</si>
  <si>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</si>
  <si>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</si>
  <si>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</si>
  <si>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</si>
  <si>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</si>
  <si>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</si>
  <si>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</si>
  <si>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</si>
  <si>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</si>
  <si>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</si>
  <si>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</si>
  <si>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</si>
  <si>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</si>
  <si>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</si>
  <si>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</si>
  <si>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</si>
  <si>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</si>
  <si>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</si>
  <si>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</si>
  <si>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</si>
  <si>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</si>
  <si>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</si>
  <si>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</si>
  <si>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</si>
  <si>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</si>
  <si>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</si>
  <si>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</si>
  <si>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</si>
  <si>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</si>
  <si>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</si>
  <si>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</si>
  <si>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</si>
  <si>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</si>
  <si>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</si>
  <si>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</si>
  <si>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</si>
  <si>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</si>
  <si>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</si>
  <si>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</si>
  <si>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</si>
  <si>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</si>
  <si>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</si>
  <si>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</si>
  <si>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</si>
  <si>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</si>
  <si>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</si>
  <si>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</si>
  <si>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</si>
  <si>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</si>
  <si>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</si>
  <si>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</si>
  <si>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</si>
  <si>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</si>
  <si>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</si>
  <si>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</si>
  <si>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</si>
  <si>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</si>
  <si>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</si>
  <si>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</si>
  <si>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</si>
  <si>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</si>
  <si>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</si>
  <si>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</si>
  <si>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</si>
  <si>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</si>
  <si>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</si>
  <si>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</si>
  <si>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</si>
  <si>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</si>
  <si>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</si>
  <si>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</si>
  <si>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</si>
  <si>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</si>
  <si>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</si>
  <si>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</si>
  <si>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</si>
  <si>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</si>
  <si>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</si>
  <si>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</si>
  <si>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</si>
  <si>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</si>
  <si>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</si>
  <si>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</si>
  <si>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</si>
  <si>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</si>
  <si>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</si>
  <si>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</si>
  <si>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</si>
  <si>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</si>
  <si>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</si>
  <si>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</si>
  <si>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</si>
  <si>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</si>
  <si>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</si>
  <si>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</si>
  <si>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</si>
  <si>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</si>
  <si>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</si>
  <si>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</si>
  <si>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</si>
  <si>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</si>
  <si>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</si>
  <si>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</si>
  <si>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</si>
  <si>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</si>
  <si>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</si>
  <si>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</si>
  <si>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</si>
  <si>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</si>
  <si>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</si>
  <si>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</si>
  <si>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</si>
  <si>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</si>
  <si>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</si>
  <si>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</si>
  <si>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</si>
  <si>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</si>
  <si>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</si>
  <si>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</si>
  <si>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</si>
  <si>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</si>
  <si>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</si>
  <si>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</si>
  <si>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</si>
  <si>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</si>
  <si>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</si>
  <si>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</si>
  <si>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</si>
  <si>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</si>
  <si>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</si>
  <si>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</si>
  <si>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</si>
  <si>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</si>
  <si>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</si>
  <si>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</si>
  <si>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</si>
  <si>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</si>
  <si>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</si>
  <si>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</si>
  <si>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</si>
  <si>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</si>
  <si>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</si>
  <si>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</si>
  <si>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</si>
  <si>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</si>
  <si>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</si>
  <si>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</si>
  <si>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</si>
  <si>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</si>
  <si>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</si>
  <si>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</si>
  <si>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</si>
  <si>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</si>
  <si>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</si>
  <si>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</si>
  <si>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</si>
  <si>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</si>
  <si>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</si>
  <si>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</si>
  <si>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</si>
  <si>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</si>
  <si>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</si>
  <si>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</si>
  <si>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</si>
  <si>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</si>
  <si>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</si>
  <si>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</si>
  <si>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</si>
  <si>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</si>
  <si>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</si>
  <si>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</si>
  <si>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</si>
  <si>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</si>
  <si>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</si>
  <si>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</si>
  <si>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</si>
  <si>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</si>
  <si>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</si>
  <si>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</si>
  <si>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</si>
  <si>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</si>
  <si>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</si>
  <si>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</si>
  <si>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</si>
  <si>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</si>
  <si>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</si>
  <si>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</si>
  <si>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</si>
  <si>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</si>
  <si>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</si>
  <si>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</si>
  <si>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</si>
  <si>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</si>
  <si>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</si>
  <si>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</si>
  <si>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</si>
  <si>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</si>
  <si>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</si>
  <si>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</si>
  <si>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</si>
  <si>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</si>
  <si>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</si>
  <si>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</si>
  <si>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</si>
  <si>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</si>
  <si>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</si>
  <si>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</si>
  <si>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</si>
  <si>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</si>
  <si>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</si>
  <si>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</si>
  <si>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</si>
  <si>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</si>
  <si>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</si>
  <si>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</si>
  <si>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</si>
  <si>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</si>
  <si>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</si>
  <si>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</si>
  <si>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</si>
  <si>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</si>
  <si>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</si>
  <si>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</si>
  <si>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</si>
  <si>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</si>
  <si>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</si>
  <si>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</si>
  <si>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</si>
  <si>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</si>
  <si>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</si>
  <si>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</si>
  <si>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</si>
  <si>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</si>
  <si>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</si>
  <si>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</si>
  <si>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</si>
  <si>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</si>
  <si>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</si>
  <si>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</si>
  <si>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</si>
  <si>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</si>
  <si>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</si>
  <si>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</si>
  <si>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</si>
  <si>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</si>
  <si>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</si>
  <si>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</si>
  <si>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</si>
  <si>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</si>
  <si>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</si>
  <si>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</si>
  <si>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</si>
  <si>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</si>
  <si>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</si>
  <si>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</si>
  <si>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</si>
  <si>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</si>
  <si>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</si>
  <si>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</si>
  <si>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</si>
  <si>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</si>
  <si>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</si>
  <si>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</si>
  <si>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</si>
  <si>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</si>
  <si>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</si>
  <si>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</si>
  <si>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</si>
  <si>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</si>
  <si>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</si>
  <si>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</si>
  <si>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</si>
  <si>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</si>
  <si>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</si>
  <si>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</si>
  <si>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</si>
  <si>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</si>
  <si>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</si>
  <si>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</si>
  <si>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</si>
  <si>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</si>
  <si>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</si>
  <si>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</si>
  <si>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</si>
  <si>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</si>
  <si>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</si>
  <si>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</si>
  <si>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</si>
  <si>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</si>
  <si>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</si>
  <si>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</si>
  <si>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</si>
  <si>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</si>
  <si>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</si>
  <si>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</si>
  <si>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</si>
  <si>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</si>
  <si>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</si>
  <si>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</si>
  <si>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</si>
  <si>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</si>
  <si>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</si>
  <si>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</si>
  <si>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</si>
  <si>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</si>
  <si>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</si>
  <si>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</si>
  <si>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</si>
  <si>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</si>
  <si>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</si>
  <si>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</si>
  <si>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</si>
  <si>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</si>
  <si>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</si>
  <si>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</si>
  <si>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</si>
  <si>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</si>
  <si>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</si>
  <si>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</si>
  <si>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</si>
  <si>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</si>
  <si>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</si>
  <si>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</si>
  <si>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</si>
  <si>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</si>
  <si>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</si>
  <si>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</si>
  <si>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</si>
  <si>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</si>
  <si>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</si>
  <si>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</si>
  <si>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</si>
  <si>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</si>
  <si>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</si>
  <si>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</si>
  <si>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</si>
  <si>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</si>
  <si>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</si>
  <si>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</si>
  <si>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</si>
  <si>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</si>
  <si>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</si>
  <si>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</si>
  <si>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</si>
  <si>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</si>
  <si>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</si>
  <si>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</si>
  <si>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</si>
  <si>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</si>
  <si>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</si>
  <si>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</si>
  <si>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</si>
  <si>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</si>
  <si>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</si>
  <si>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</si>
  <si>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</si>
  <si>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</si>
  <si>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</si>
  <si>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</si>
  <si>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</si>
  <si>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</si>
  <si>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</si>
  <si>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</si>
  <si>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</si>
  <si>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</si>
  <si>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</si>
  <si>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</si>
  <si>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</si>
  <si>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</si>
  <si>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</si>
  <si>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</si>
  <si>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</si>
  <si>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</si>
  <si>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</si>
  <si>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</si>
  <si>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</si>
  <si>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</si>
  <si>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</si>
  <si>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</si>
  <si>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</si>
  <si>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</si>
  <si>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</si>
  <si>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</si>
  <si>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</si>
  <si>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</si>
  <si>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</si>
  <si>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</si>
  <si>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</si>
  <si>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</si>
  <si>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</si>
  <si>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</si>
  <si>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</si>
  <si>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</si>
  <si>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</si>
  <si>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</si>
  <si>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</si>
  <si>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</si>
  <si>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</si>
  <si>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</si>
  <si>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</si>
  <si>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</si>
  <si>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</si>
  <si>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</si>
  <si>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</si>
  <si>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</si>
  <si>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</si>
  <si>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</si>
  <si>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</si>
  <si>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</si>
  <si>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</si>
  <si>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</si>
  <si>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</si>
  <si>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</si>
  <si>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</si>
  <si>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</si>
  <si>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</si>
  <si>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</si>
  <si>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</si>
  <si>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</si>
  <si>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</si>
  <si>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</si>
  <si>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</si>
  <si>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</si>
  <si>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</si>
  <si>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</si>
  <si>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</si>
  <si>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</si>
  <si>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</si>
  <si>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</si>
  <si>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</si>
  <si>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</si>
  <si>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</si>
  <si>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</si>
  <si>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</si>
  <si>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</si>
  <si>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</si>
  <si>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</si>
  <si>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</si>
  <si>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</si>
  <si>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</si>
  <si>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</si>
  <si>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</si>
  <si>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</si>
  <si>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</si>
  <si>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</si>
  <si>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</si>
  <si>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</si>
  <si>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</si>
  <si>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</si>
  <si>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</si>
  <si>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</si>
  <si>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</si>
  <si>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</si>
  <si>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</si>
  <si>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</si>
  <si>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</si>
  <si>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</si>
  <si>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</si>
  <si>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</si>
  <si>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</si>
  <si>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</si>
  <si>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</si>
  <si>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</si>
  <si>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</si>
  <si>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</si>
  <si>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</si>
  <si>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</si>
  <si>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</si>
  <si>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</si>
  <si>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</si>
  <si>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</si>
  <si>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</si>
  <si>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</si>
  <si>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</si>
  <si>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</si>
  <si>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</si>
  <si>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</si>
  <si>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</si>
  <si>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</si>
  <si>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</si>
  <si>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</si>
  <si>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</si>
  <si>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</si>
  <si>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</si>
  <si>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</si>
  <si>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</si>
  <si>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</si>
  <si>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</si>
  <si>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</si>
  <si>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</si>
  <si>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</si>
  <si>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</si>
  <si>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</si>
  <si>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</si>
  <si>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</si>
  <si>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</si>
  <si>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</si>
  <si>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</si>
  <si>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</si>
  <si>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</si>
  <si>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</si>
  <si>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</si>
  <si>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</si>
  <si>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</si>
  <si>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</si>
  <si>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</si>
  <si>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</si>
  <si>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</si>
  <si>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</si>
  <si>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</si>
  <si>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</si>
  <si>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</si>
  <si>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</si>
  <si>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</si>
  <si>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</si>
  <si>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</si>
  <si>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</si>
  <si>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</si>
  <si>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</si>
  <si>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</si>
  <si>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</si>
  <si>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</si>
  <si>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</si>
  <si>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</si>
  <si>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</si>
  <si>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</si>
  <si>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</si>
  <si>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</si>
  <si>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</si>
  <si>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</si>
  <si>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</si>
  <si>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</si>
  <si>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</si>
  <si>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</si>
  <si>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</si>
  <si>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</si>
  <si>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</si>
  <si>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</si>
  <si>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</si>
  <si>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</si>
  <si>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</si>
  <si>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</si>
  <si>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</si>
  <si>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</si>
  <si>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</si>
  <si>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</si>
  <si>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</si>
  <si>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</si>
  <si>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</si>
  <si>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</si>
  <si>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</si>
  <si>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</si>
  <si>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</si>
  <si>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</si>
  <si>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</si>
  <si>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</si>
  <si>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</si>
  <si>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</si>
  <si>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</si>
  <si>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</si>
  <si>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</si>
  <si>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</si>
  <si>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</si>
  <si>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</si>
  <si>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</si>
  <si>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</si>
  <si>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</si>
  <si>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</si>
  <si>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</si>
  <si>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</si>
  <si>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</si>
  <si>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</si>
  <si>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</si>
  <si>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</si>
  <si>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</si>
  <si>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</si>
  <si>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</si>
  <si>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</si>
  <si>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</si>
  <si>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</si>
  <si>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</si>
  <si>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</si>
  <si>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</si>
  <si>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</si>
  <si>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</si>
  <si>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</si>
  <si>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</si>
  <si>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</si>
  <si>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</si>
  <si>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</si>
  <si>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</si>
  <si>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</si>
  <si>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</si>
  <si>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</si>
  <si>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</si>
  <si>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</si>
  <si>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</si>
  <si>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</si>
  <si>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</si>
  <si>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</si>
  <si>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</si>
  <si>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</si>
  <si>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</si>
  <si>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</si>
  <si>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</si>
  <si>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</si>
  <si>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</si>
  <si>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</si>
  <si>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</si>
  <si>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</si>
  <si>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</si>
  <si>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</si>
  <si>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</si>
  <si>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</si>
  <si>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</si>
  <si>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</si>
  <si>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</si>
  <si>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</si>
  <si>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</si>
  <si>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</si>
  <si>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</si>
  <si>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</si>
  <si>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</si>
  <si>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</si>
  <si>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</si>
  <si>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</si>
  <si>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</si>
  <si>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</si>
  <si>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</si>
  <si>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</si>
  <si>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</si>
  <si>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</si>
  <si>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</si>
  <si>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</si>
  <si>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</si>
  <si>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</si>
  <si>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</si>
  <si>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</si>
  <si>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</si>
  <si>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</si>
  <si>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</si>
  <si>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</si>
  <si>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</si>
  <si>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</si>
  <si>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</si>
  <si>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</si>
  <si>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</si>
  <si>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</si>
  <si>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</si>
  <si>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</si>
  <si>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</si>
  <si>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</si>
  <si>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</si>
  <si>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</si>
  <si>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</si>
  <si>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</si>
  <si>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</si>
  <si>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</si>
  <si>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</si>
  <si>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</si>
  <si>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</si>
  <si>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</si>
  <si>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</si>
  <si>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</si>
  <si>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</si>
  <si>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</si>
  <si>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</si>
  <si>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</si>
  <si>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</si>
  <si>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</si>
  <si>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</si>
  <si>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</si>
  <si>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</si>
  <si>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</si>
  <si>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</si>
  <si>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</si>
  <si>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</si>
  <si>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</si>
  <si>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</si>
  <si>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</si>
  <si>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</si>
  <si>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</si>
  <si>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</si>
  <si>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</si>
  <si>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</si>
  <si>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</si>
  <si>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</si>
  <si>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</si>
  <si>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</si>
  <si>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</si>
  <si>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</si>
  <si>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</si>
  <si>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</si>
  <si>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</si>
  <si>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</si>
  <si>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</si>
  <si>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</si>
  <si>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</si>
  <si>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</si>
  <si>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</si>
  <si>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</si>
  <si>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</si>
  <si>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</si>
  <si>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</si>
  <si>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</si>
  <si>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</si>
  <si>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</si>
  <si>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</si>
  <si>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</si>
  <si>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</si>
  <si>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</si>
  <si>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</si>
  <si>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</si>
  <si>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</si>
  <si>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</si>
  <si>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</si>
  <si>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</si>
  <si>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</si>
  <si>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</si>
  <si>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</si>
  <si>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</si>
  <si>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</si>
  <si>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</si>
  <si>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</si>
  <si>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</si>
  <si>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</si>
  <si>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</si>
  <si>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</si>
  <si>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</si>
  <si>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</si>
  <si>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</si>
  <si>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</si>
  <si>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</si>
  <si>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</si>
  <si>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</si>
  <si>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</si>
  <si>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</si>
  <si>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</si>
  <si>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</si>
  <si>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</si>
  <si>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</si>
  <si>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</si>
  <si>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</si>
  <si>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</si>
  <si>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</si>
  <si>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</si>
  <si>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</si>
  <si>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</si>
  <si>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</si>
  <si>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</si>
  <si>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</si>
  <si>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</si>
  <si>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</si>
  <si>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</si>
  <si>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</si>
  <si>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</si>
  <si>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</si>
  <si>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</si>
  <si>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</si>
  <si>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</si>
  <si>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</si>
  <si>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</si>
  <si>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</si>
  <si>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</si>
  <si>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</si>
  <si>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</si>
  <si>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</si>
  <si>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</si>
  <si>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</si>
  <si>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</si>
  <si>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</si>
  <si>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</si>
  <si>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</si>
  <si>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</si>
  <si>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</si>
  <si>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</si>
  <si>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</si>
  <si>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</si>
  <si>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</si>
  <si>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</si>
  <si>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</si>
  <si>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</si>
  <si>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</si>
  <si>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</si>
  <si>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</si>
  <si>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</si>
  <si>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</si>
  <si>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</si>
  <si>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</si>
  <si>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</si>
  <si>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</si>
  <si>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</si>
  <si>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</si>
  <si>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</si>
  <si>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</si>
  <si>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</si>
  <si>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</si>
  <si>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</si>
  <si>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</si>
  <si>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</si>
  <si>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</si>
  <si>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</si>
  <si>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</si>
  <si>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</si>
  <si>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</si>
  <si>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</si>
  <si>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</si>
  <si>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</si>
  <si>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</si>
  <si>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</si>
  <si>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</si>
  <si>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</si>
  <si>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</si>
  <si>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</si>
  <si>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</si>
  <si>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</si>
  <si>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</si>
  <si>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</si>
  <si>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</si>
  <si>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</si>
  <si>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</si>
  <si>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</si>
  <si>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</si>
  <si>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</si>
  <si>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</si>
  <si>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</si>
  <si>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</si>
  <si>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</si>
  <si>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</si>
  <si>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</si>
  <si>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</si>
  <si>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</si>
  <si>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</si>
  <si>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</si>
  <si>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</si>
  <si>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</si>
  <si>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</si>
  <si>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</si>
  <si>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</si>
  <si>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</si>
  <si>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</si>
  <si>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</si>
  <si>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</si>
  <si>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</si>
  <si>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</si>
  <si>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</si>
  <si>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</si>
  <si>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</si>
  <si>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</si>
  <si>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</si>
  <si>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</si>
  <si>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</si>
  <si>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</si>
  <si>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</si>
  <si>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</si>
  <si>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</si>
  <si>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</si>
  <si>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</si>
  <si>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</si>
  <si>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</si>
  <si>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</si>
  <si>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</si>
  <si>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</si>
  <si>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</si>
  <si>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</si>
  <si>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</si>
  <si>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</si>
  <si>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</si>
  <si>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</si>
  <si>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</si>
  <si>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</si>
  <si>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</si>
  <si>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</si>
  <si>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</si>
  <si>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</si>
  <si>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</si>
  <si>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</si>
  <si>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</si>
  <si>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</si>
  <si>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</si>
  <si>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</si>
  <si>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</si>
  <si>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</si>
  <si>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</si>
  <si>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</si>
  <si>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</si>
  <si>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</si>
  <si>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</si>
  <si>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</si>
  <si>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</si>
  <si>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</si>
  <si>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</si>
  <si>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</si>
  <si>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</si>
  <si>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</si>
  <si>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</si>
  <si>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</si>
  <si>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</si>
  <si>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</si>
  <si>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</si>
  <si>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</si>
  <si>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</si>
  <si>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</si>
  <si>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</si>
  <si>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</si>
  <si>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</si>
  <si>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</si>
  <si>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</si>
  <si>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</si>
  <si>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</si>
  <si>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</si>
  <si>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</si>
  <si>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</si>
  <si>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</si>
  <si>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</si>
  <si>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</si>
  <si>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</si>
  <si>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</si>
  <si>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</si>
  <si>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</si>
  <si>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</si>
  <si>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</si>
  <si>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</si>
  <si>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</si>
  <si>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</si>
  <si>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</si>
  <si>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</si>
  <si>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</si>
  <si>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</si>
  <si>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</si>
  <si>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</si>
  <si>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</si>
  <si>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</si>
  <si>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</si>
  <si>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</si>
  <si>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</si>
  <si>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</si>
  <si>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</si>
  <si>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</si>
  <si>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</si>
  <si>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</si>
  <si>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</si>
  <si>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</si>
  <si>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</si>
  <si>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</si>
  <si>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</si>
  <si>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</si>
  <si>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</si>
  <si>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</si>
  <si>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</si>
  <si>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</si>
  <si>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</si>
  <si>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</si>
  <si>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</si>
  <si>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</si>
  <si>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</si>
  <si>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</si>
  <si>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</si>
  <si>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</si>
  <si>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</si>
  <si>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</si>
  <si>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</si>
  <si>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</si>
  <si>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</si>
  <si>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</si>
  <si>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</si>
  <si>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</si>
  <si>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</si>
  <si>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</si>
  <si>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</si>
  <si>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</si>
  <si>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</si>
  <si>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</si>
  <si>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</si>
  <si>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</si>
  <si>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</si>
  <si>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</si>
  <si>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</si>
  <si>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</si>
  <si>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</si>
  <si>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</si>
  <si>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</si>
  <si>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</si>
  <si>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</si>
  <si>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</si>
  <si>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</si>
  <si>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</si>
  <si>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</si>
  <si>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</si>
  <si>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</si>
  <si>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</si>
  <si>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</si>
  <si>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</si>
  <si>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</si>
  <si>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</si>
  <si>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</si>
  <si>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</si>
  <si>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</si>
  <si>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</si>
  <si>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</si>
  <si>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</si>
  <si>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</si>
  <si>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</si>
  <si>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</si>
  <si>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</si>
  <si>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</si>
  <si>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</si>
  <si>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</si>
  <si>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</si>
  <si>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</si>
  <si>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</si>
  <si>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</si>
  <si>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</si>
  <si>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</si>
  <si>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</si>
  <si>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</si>
  <si>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</si>
  <si>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</si>
  <si>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</si>
  <si>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</si>
  <si>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</si>
  <si>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</si>
  <si>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</si>
  <si>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</si>
  <si>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</si>
  <si>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</si>
  <si>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</si>
  <si>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抵押</t>
  </si>
  <si>
    <t>房地产抵押价值</t>
  </si>
  <si>
    <t>企业</t>
  </si>
  <si>
    <t>出让</t>
  </si>
  <si>
    <t>否</t>
  </si>
  <si>
    <t>是</t>
  </si>
  <si>
    <t>无</t>
  </si>
  <si>
    <t>现房</t>
  </si>
  <si>
    <t>通路</t>
  </si>
  <si>
    <t>通电</t>
  </si>
  <si>
    <t>通讯</t>
  </si>
  <si>
    <t>通上水</t>
  </si>
  <si>
    <t>通下水</t>
  </si>
  <si>
    <t>平整</t>
  </si>
  <si>
    <t>地上</t>
  </si>
  <si>
    <t>23号楼</t>
  </si>
  <si>
    <t>押一</t>
  </si>
  <si>
    <t>钢混</t>
  </si>
  <si>
    <t>非生产用房</t>
  </si>
  <si>
    <t>售价</t>
  </si>
  <si>
    <t>租金</t>
  </si>
  <si>
    <t>诺德中心</t>
    <phoneticPr fontId="32" type="noConversion"/>
  </si>
  <si>
    <t>正常</t>
  </si>
  <si>
    <t>工业</t>
    <phoneticPr fontId="32" type="noConversion"/>
  </si>
  <si>
    <t>30-40（含）</t>
  </si>
  <si>
    <t>土地年限区间</t>
  </si>
  <si>
    <t>七通</t>
  </si>
  <si>
    <t>单面临街</t>
  </si>
  <si>
    <t>诺德中心</t>
    <phoneticPr fontId="3" type="noConversion"/>
  </si>
  <si>
    <t>较好</t>
  </si>
  <si>
    <t>总部公馆写字楼</t>
    <phoneticPr fontId="3" type="noConversion"/>
  </si>
  <si>
    <t>工业</t>
    <phoneticPr fontId="143" type="noConversion"/>
  </si>
  <si>
    <t>总部基地</t>
    <phoneticPr fontId="3" type="noConversion"/>
  </si>
  <si>
    <r>
      <t>估价对象位于</t>
    </r>
    <r>
      <rPr>
        <sz val="11"/>
        <rFont val="Arial"/>
        <family val="2"/>
      </rPr>
      <t>XX</t>
    </r>
    <r>
      <rPr>
        <sz val="11"/>
        <rFont val="宋体"/>
        <family val="3"/>
        <charset val="134"/>
      </rPr>
      <t>开发区，园区建设成熟度较好，产业集聚程度较好</t>
    </r>
  </si>
  <si>
    <t>估价对象周边道路状况、公共交通通达情况、停车便捷程度，综合评价交通便捷度较好</t>
  </si>
  <si>
    <t>估价对象所在区域公共配套设施齐备情况</t>
  </si>
  <si>
    <t>估价对象所在区域基础设施水平</t>
  </si>
  <si>
    <t>好</t>
  </si>
  <si>
    <t>差</t>
  </si>
  <si>
    <t>钢混</t>
    <phoneticPr fontId="143" type="noConversion"/>
  </si>
  <si>
    <t>精装修</t>
  </si>
  <si>
    <t>精装修</t>
    <phoneticPr fontId="143" type="noConversion"/>
  </si>
  <si>
    <t>普通装修</t>
    <phoneticPr fontId="143" type="noConversion"/>
  </si>
  <si>
    <t>专业</t>
  </si>
  <si>
    <t>专业</t>
    <phoneticPr fontId="143" type="noConversion"/>
  </si>
  <si>
    <t>七通</t>
    <phoneticPr fontId="143" type="noConversion"/>
  </si>
  <si>
    <t>普通装修</t>
    <phoneticPr fontId="143" type="noConversion"/>
  </si>
  <si>
    <t>正常</t>
    <phoneticPr fontId="143" type="noConversion"/>
  </si>
  <si>
    <t>甲级</t>
  </si>
  <si>
    <t>甲级</t>
    <phoneticPr fontId="143" type="noConversion"/>
  </si>
  <si>
    <t>钢混</t>
    <phoneticPr fontId="143" type="noConversion"/>
  </si>
  <si>
    <t>标准写字楼</t>
  </si>
  <si>
    <t>标准写字楼</t>
    <phoneticPr fontId="143" type="noConversion"/>
  </si>
  <si>
    <t>办公</t>
    <phoneticPr fontId="143" type="noConversion"/>
  </si>
  <si>
    <t>总部基地七区</t>
    <phoneticPr fontId="3" type="noConversion"/>
  </si>
  <si>
    <t>精装修</t>
    <phoneticPr fontId="32" type="noConversion"/>
  </si>
  <si>
    <t>甲级</t>
    <phoneticPr fontId="32" type="noConversion"/>
  </si>
  <si>
    <t>精装修</t>
    <phoneticPr fontId="32" type="noConversion"/>
  </si>
  <si>
    <t>钢混</t>
    <phoneticPr fontId="32" type="noConversion"/>
  </si>
  <si>
    <t>标准写字楼</t>
    <phoneticPr fontId="32" type="noConversion"/>
  </si>
  <si>
    <t>标准</t>
  </si>
  <si>
    <t>标准</t>
    <phoneticPr fontId="32" type="noConversion"/>
  </si>
  <si>
    <t>专业</t>
    <phoneticPr fontId="32" type="noConversion"/>
  </si>
  <si>
    <t>七通</t>
    <phoneticPr fontId="32" type="noConversion"/>
  </si>
  <si>
    <t>普通装修</t>
    <phoneticPr fontId="32" type="noConversion"/>
  </si>
  <si>
    <t>简装修</t>
    <phoneticPr fontId="32" type="noConversion"/>
  </si>
  <si>
    <t>普通</t>
    <phoneticPr fontId="32" type="noConversion"/>
  </si>
  <si>
    <t>乙级</t>
    <phoneticPr fontId="32" type="noConversion"/>
  </si>
  <si>
    <t>普通装修</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</si>
  <si>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</si>
  <si>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</si>
  <si>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</si>
  <si>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</si>
  <si>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</si>
  <si>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五通</t>
  </si>
  <si>
    <t>工业（办公）</t>
  </si>
  <si>
    <t>工业（办公）</t>
    <phoneticPr fontId="32" type="noConversion"/>
  </si>
  <si>
    <t>办公</t>
    <phoneticPr fontId="32" type="noConversion"/>
  </si>
  <si>
    <t>支路</t>
  </si>
  <si>
    <t>广场南三路</t>
  </si>
  <si>
    <t>广场南三路</t>
    <phoneticPr fontId="32" type="noConversion"/>
  </si>
  <si>
    <t>五通</t>
    <phoneticPr fontId="32" type="noConversion"/>
  </si>
  <si>
    <t>高区</t>
    <phoneticPr fontId="32" type="noConversion"/>
  </si>
  <si>
    <t>中区</t>
  </si>
  <si>
    <t>中区</t>
    <phoneticPr fontId="32" type="noConversion"/>
  </si>
  <si>
    <t>低区</t>
  </si>
  <si>
    <t>低区</t>
    <phoneticPr fontId="32" type="noConversion"/>
  </si>
  <si>
    <t>需扣减承租人权益</t>
  </si>
  <si>
    <t>简单装修</t>
    <phoneticPr fontId="32" type="noConversion"/>
  </si>
  <si>
    <t>毛坯</t>
  </si>
  <si>
    <t>毛坯</t>
    <phoneticPr fontId="32" type="noConversion"/>
  </si>
  <si>
    <t>砖混</t>
    <phoneticPr fontId="32" type="noConversion"/>
  </si>
  <si>
    <t>不临街</t>
  </si>
  <si>
    <t>收益法出租</t>
  </si>
  <si>
    <t>23号楼出租部分</t>
  </si>
  <si>
    <t>收益法未出租</t>
    <phoneticPr fontId="16" type="noConversion"/>
  </si>
  <si>
    <t>估价对象</t>
    <phoneticPr fontId="25" type="noConversion"/>
  </si>
  <si>
    <t>典型户型修正</t>
    <phoneticPr fontId="16" type="noConversion"/>
  </si>
  <si>
    <t>总部基地</t>
    <phoneticPr fontId="3" type="noConversion"/>
  </si>
  <si>
    <t>普通装修</t>
  </si>
  <si>
    <t>异型建筑</t>
    <phoneticPr fontId="32"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</si>
  <si>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</si>
  <si>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</si>
  <si>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</si>
  <si>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</si>
  <si>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</si>
  <si>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</si>
  <si>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</si>
  <si>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</si>
  <si>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</si>
  <si>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</si>
  <si>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</si>
  <si>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</si>
  <si>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</si>
  <si>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</si>
  <si>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</si>
  <si>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</si>
  <si>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</si>
  <si>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</si>
  <si>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</si>
  <si>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</si>
  <si>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建筑物价值</t>
  </si>
  <si>
    <t>刘梅</t>
  </si>
  <si>
    <t>吴薇</t>
  </si>
  <si>
    <t>按租金收入计税</t>
  </si>
  <si>
    <t>滨州新湖房地产开发有限公司</t>
    <phoneticPr fontId="6" type="noConversion"/>
  </si>
  <si>
    <t>滨州新湖房地产开发有限公司</t>
    <phoneticPr fontId="6" type="noConversion"/>
  </si>
  <si>
    <t>其他：</t>
  </si>
  <si>
    <t>山东省</t>
    <phoneticPr fontId="6" type="noConversion"/>
  </si>
  <si>
    <t>原件</t>
  </si>
  <si>
    <t>居住项目</t>
  </si>
  <si>
    <t>在建</t>
  </si>
  <si>
    <t>土地</t>
  </si>
  <si>
    <t>正常</t>
    <phoneticPr fontId="6" type="noConversion"/>
  </si>
  <si>
    <t>正常</t>
    <phoneticPr fontId="6" type="noConversion"/>
  </si>
  <si>
    <t>通热</t>
  </si>
  <si>
    <t>住宅</t>
  </si>
  <si>
    <t>独栋</t>
  </si>
  <si>
    <t>洋房</t>
  </si>
  <si>
    <t>底商</t>
  </si>
  <si>
    <t>独立商业</t>
  </si>
  <si>
    <t>住宅、商业、地下仓储、地下车库</t>
    <phoneticPr fontId="6" type="noConversion"/>
  </si>
  <si>
    <t>住宅60.9年、商业30.9年、地下仓储及地下车库40.9年</t>
    <phoneticPr fontId="6" type="noConversion"/>
  </si>
  <si>
    <t>地下</t>
  </si>
  <si>
    <t>仓储</t>
  </si>
  <si>
    <t>戊类库房</t>
  </si>
  <si>
    <t>车库</t>
  </si>
  <si>
    <t>面积汇总</t>
    <phoneticPr fontId="143" type="noConversion"/>
  </si>
  <si>
    <t>抵押别墅</t>
    <phoneticPr fontId="143" type="noConversion"/>
  </si>
  <si>
    <t>抵押底商</t>
    <phoneticPr fontId="143" type="noConversion"/>
  </si>
  <si>
    <t>抵押会所</t>
    <phoneticPr fontId="143" type="noConversion"/>
  </si>
  <si>
    <t>合计</t>
    <phoneticPr fontId="143" type="noConversion"/>
  </si>
  <si>
    <t>面积</t>
    <phoneticPr fontId="143" type="noConversion"/>
  </si>
  <si>
    <t>已售别墅</t>
    <phoneticPr fontId="143" type="noConversion"/>
  </si>
  <si>
    <t>已售洋房</t>
    <phoneticPr fontId="143" type="noConversion"/>
  </si>
  <si>
    <t>一期现房部分</t>
    <phoneticPr fontId="143" type="noConversion"/>
  </si>
  <si>
    <t>二期一标段在建</t>
    <phoneticPr fontId="143" type="noConversion"/>
  </si>
  <si>
    <t>洋房</t>
    <phoneticPr fontId="143" type="noConversion"/>
  </si>
  <si>
    <t>仓储</t>
    <phoneticPr fontId="143" type="noConversion"/>
  </si>
  <si>
    <r>
      <t>5</t>
    </r>
    <r>
      <rPr>
        <sz val="11"/>
        <color theme="1"/>
        <rFont val="宋体"/>
        <family val="3"/>
        <charset val="134"/>
        <scheme val="minor"/>
      </rPr>
      <t>1#</t>
    </r>
    <phoneticPr fontId="143" type="noConversion"/>
  </si>
  <si>
    <t>面积</t>
    <phoneticPr fontId="143" type="noConversion"/>
  </si>
  <si>
    <r>
      <t>5</t>
    </r>
    <r>
      <rPr>
        <sz val="11"/>
        <color theme="1"/>
        <rFont val="宋体"/>
        <family val="3"/>
        <charset val="134"/>
        <scheme val="minor"/>
      </rPr>
      <t>2#</t>
    </r>
    <phoneticPr fontId="143" type="noConversion"/>
  </si>
  <si>
    <r>
      <t>5</t>
    </r>
    <r>
      <rPr>
        <sz val="11"/>
        <color theme="1"/>
        <rFont val="宋体"/>
        <family val="3"/>
        <charset val="134"/>
        <scheme val="minor"/>
      </rPr>
      <t>3#</t>
    </r>
    <phoneticPr fontId="143" type="noConversion"/>
  </si>
  <si>
    <t>小计</t>
    <phoneticPr fontId="143" type="noConversion"/>
  </si>
  <si>
    <t>小计</t>
    <phoneticPr fontId="143" type="noConversion"/>
  </si>
  <si>
    <t>物业用房</t>
    <phoneticPr fontId="143" type="noConversion"/>
  </si>
  <si>
    <t>小计</t>
    <phoneticPr fontId="143" type="noConversion"/>
  </si>
  <si>
    <r>
      <t>5</t>
    </r>
    <r>
      <rPr>
        <sz val="11"/>
        <color theme="1"/>
        <rFont val="宋体"/>
        <family val="3"/>
        <charset val="134"/>
        <scheme val="minor"/>
      </rPr>
      <t>4#</t>
    </r>
    <phoneticPr fontId="143" type="noConversion"/>
  </si>
  <si>
    <t>59#</t>
    <phoneticPr fontId="143" type="noConversion"/>
  </si>
  <si>
    <t>洋房</t>
    <phoneticPr fontId="143" type="noConversion"/>
  </si>
  <si>
    <t>仓储</t>
    <phoneticPr fontId="143" type="noConversion"/>
  </si>
  <si>
    <r>
      <t>6</t>
    </r>
    <r>
      <rPr>
        <sz val="11"/>
        <color theme="1"/>
        <rFont val="宋体"/>
        <family val="3"/>
        <charset val="134"/>
        <scheme val="minor"/>
      </rPr>
      <t>0#</t>
    </r>
    <phoneticPr fontId="143" type="noConversion"/>
  </si>
  <si>
    <r>
      <t>6</t>
    </r>
    <r>
      <rPr>
        <sz val="11"/>
        <color theme="1"/>
        <rFont val="宋体"/>
        <family val="3"/>
        <charset val="134"/>
        <scheme val="minor"/>
      </rPr>
      <t>1#</t>
    </r>
    <phoneticPr fontId="143" type="noConversion"/>
  </si>
  <si>
    <r>
      <t>6</t>
    </r>
    <r>
      <rPr>
        <sz val="11"/>
        <color theme="1"/>
        <rFont val="宋体"/>
        <family val="3"/>
        <charset val="134"/>
        <scheme val="minor"/>
      </rPr>
      <t>2#</t>
    </r>
    <phoneticPr fontId="143" type="noConversion"/>
  </si>
  <si>
    <r>
      <t>6</t>
    </r>
    <r>
      <rPr>
        <sz val="11"/>
        <color theme="1"/>
        <rFont val="宋体"/>
        <family val="3"/>
        <charset val="134"/>
        <scheme val="minor"/>
      </rPr>
      <t>7#</t>
    </r>
    <phoneticPr fontId="143" type="noConversion"/>
  </si>
  <si>
    <r>
      <t>6</t>
    </r>
    <r>
      <rPr>
        <sz val="11"/>
        <color theme="1"/>
        <rFont val="宋体"/>
        <family val="3"/>
        <charset val="134"/>
        <scheme val="minor"/>
      </rPr>
      <t>8#</t>
    </r>
    <phoneticPr fontId="143" type="noConversion"/>
  </si>
  <si>
    <r>
      <t>7</t>
    </r>
    <r>
      <rPr>
        <sz val="11"/>
        <color theme="1"/>
        <rFont val="宋体"/>
        <family val="3"/>
        <charset val="134"/>
        <scheme val="minor"/>
      </rPr>
      <t>2#</t>
    </r>
    <phoneticPr fontId="143" type="noConversion"/>
  </si>
  <si>
    <t>洋房</t>
    <phoneticPr fontId="143" type="noConversion"/>
  </si>
  <si>
    <r>
      <t>7</t>
    </r>
    <r>
      <rPr>
        <sz val="11"/>
        <color theme="1"/>
        <rFont val="宋体"/>
        <family val="3"/>
        <charset val="134"/>
        <scheme val="minor"/>
      </rPr>
      <t>3#</t>
    </r>
    <phoneticPr fontId="143" type="noConversion"/>
  </si>
  <si>
    <r>
      <t>7</t>
    </r>
    <r>
      <rPr>
        <sz val="11"/>
        <color theme="1"/>
        <rFont val="宋体"/>
        <family val="3"/>
        <charset val="134"/>
        <scheme val="minor"/>
      </rPr>
      <t>4#</t>
    </r>
    <phoneticPr fontId="143" type="noConversion"/>
  </si>
  <si>
    <r>
      <t>7</t>
    </r>
    <r>
      <rPr>
        <sz val="11"/>
        <color theme="1"/>
        <rFont val="宋体"/>
        <family val="3"/>
        <charset val="134"/>
        <scheme val="minor"/>
      </rPr>
      <t>5#</t>
    </r>
    <phoneticPr fontId="143" type="noConversion"/>
  </si>
  <si>
    <t>车位</t>
    <phoneticPr fontId="143" type="noConversion"/>
  </si>
  <si>
    <t>设备</t>
    <phoneticPr fontId="143" type="noConversion"/>
  </si>
  <si>
    <r>
      <t>7</t>
    </r>
    <r>
      <rPr>
        <sz val="11"/>
        <color theme="1"/>
        <rFont val="宋体"/>
        <family val="3"/>
        <charset val="134"/>
        <scheme val="minor"/>
      </rPr>
      <t>6#</t>
    </r>
    <phoneticPr fontId="143" type="noConversion"/>
  </si>
  <si>
    <r>
      <t>7</t>
    </r>
    <r>
      <rPr>
        <sz val="11"/>
        <color theme="1"/>
        <rFont val="宋体"/>
        <family val="3"/>
        <charset val="134"/>
        <scheme val="minor"/>
      </rPr>
      <t>7#</t>
    </r>
    <phoneticPr fontId="143" type="noConversion"/>
  </si>
  <si>
    <t>地下仓储</t>
    <phoneticPr fontId="143" type="noConversion"/>
  </si>
  <si>
    <t>地下物业用房</t>
    <phoneticPr fontId="143" type="noConversion"/>
  </si>
  <si>
    <t>地下车库用房</t>
    <phoneticPr fontId="143" type="noConversion"/>
  </si>
  <si>
    <t>地下设备用房</t>
    <phoneticPr fontId="143" type="noConversion"/>
  </si>
  <si>
    <t>二期二标段土地</t>
    <phoneticPr fontId="143" type="noConversion"/>
  </si>
  <si>
    <t>二期总规划建筑面积</t>
    <phoneticPr fontId="143" type="noConversion"/>
  </si>
  <si>
    <t>住宅</t>
    <phoneticPr fontId="143" type="noConversion"/>
  </si>
  <si>
    <t>社区服务用房</t>
    <phoneticPr fontId="143" type="noConversion"/>
  </si>
  <si>
    <t>物业经营</t>
    <phoneticPr fontId="143" type="noConversion"/>
  </si>
  <si>
    <t>物业办公</t>
    <phoneticPr fontId="143" type="noConversion"/>
  </si>
  <si>
    <t>架空层</t>
    <phoneticPr fontId="143" type="noConversion"/>
  </si>
  <si>
    <t>洋房</t>
    <phoneticPr fontId="143" type="noConversion"/>
  </si>
  <si>
    <t>地下车库</t>
    <phoneticPr fontId="143" type="noConversion"/>
  </si>
  <si>
    <t>地上车库</t>
    <phoneticPr fontId="143" type="noConversion"/>
  </si>
  <si>
    <t>地下车库</t>
    <phoneticPr fontId="143" type="noConversion"/>
  </si>
  <si>
    <t>地下储藏室（51#、52#）</t>
    <phoneticPr fontId="143" type="noConversion"/>
  </si>
  <si>
    <t>纯地下仓储</t>
    <phoneticPr fontId="143" type="noConversion"/>
  </si>
  <si>
    <t>地下物业</t>
    <phoneticPr fontId="143" type="noConversion"/>
  </si>
  <si>
    <t>地下设备</t>
    <phoneticPr fontId="143" type="noConversion"/>
  </si>
  <si>
    <t>地下仓储</t>
    <phoneticPr fontId="143" type="noConversion"/>
  </si>
  <si>
    <t>面积</t>
    <phoneticPr fontId="143" type="noConversion"/>
  </si>
  <si>
    <t>总计</t>
  </si>
  <si>
    <t>别墅明细</t>
    <phoneticPr fontId="143" type="noConversion"/>
  </si>
  <si>
    <t>8号别墅</t>
    <phoneticPr fontId="3" type="noConversion"/>
  </si>
  <si>
    <t>其余抵押别墅</t>
    <phoneticPr fontId="3" type="noConversion"/>
  </si>
  <si>
    <t>二期一标段</t>
    <phoneticPr fontId="3" type="noConversion"/>
  </si>
  <si>
    <t>二期二标段</t>
    <phoneticPr fontId="3" type="noConversion"/>
  </si>
  <si>
    <t>已售别墅</t>
    <phoneticPr fontId="3" type="noConversion"/>
  </si>
  <si>
    <t>已售洋房</t>
    <phoneticPr fontId="3" type="noConversion"/>
  </si>
  <si>
    <t>总配套费</t>
    <phoneticPr fontId="3" type="noConversion"/>
  </si>
  <si>
    <t>总建筑面积</t>
    <phoneticPr fontId="3" type="noConversion"/>
  </si>
  <si>
    <t>合计</t>
    <phoneticPr fontId="143" type="noConversion"/>
  </si>
  <si>
    <t>合计</t>
    <phoneticPr fontId="143" type="noConversion"/>
  </si>
  <si>
    <t>对应配套费</t>
    <phoneticPr fontId="3" type="noConversion"/>
  </si>
  <si>
    <t>多面临街</t>
  </si>
  <si>
    <t>独栋</t>
    <phoneticPr fontId="25" type="noConversion"/>
  </si>
  <si>
    <t>联排</t>
    <phoneticPr fontId="25" type="noConversion"/>
  </si>
  <si>
    <t>洋房</t>
    <phoneticPr fontId="25" type="noConversion"/>
  </si>
  <si>
    <t>高层</t>
    <phoneticPr fontId="25" type="noConversion"/>
  </si>
  <si>
    <t>钢</t>
    <phoneticPr fontId="25" type="noConversion"/>
  </si>
  <si>
    <t>钢混</t>
    <phoneticPr fontId="25" type="noConversion"/>
  </si>
  <si>
    <t>砖混</t>
    <phoneticPr fontId="25" type="noConversion"/>
  </si>
  <si>
    <t>高档</t>
    <phoneticPr fontId="25" type="noConversion"/>
  </si>
  <si>
    <t>中档</t>
  </si>
  <si>
    <t>中档</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</si>
  <si>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</si>
  <si>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</si>
  <si>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</si>
  <si>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</si>
  <si>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</si>
  <si>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</si>
  <si>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</si>
  <si>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</si>
  <si>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</si>
  <si>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</si>
  <si>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</si>
  <si>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新湖玫瑰园</t>
    <phoneticPr fontId="3" type="noConversion"/>
  </si>
  <si>
    <t>天扬瑞府</t>
    <phoneticPr fontId="3" type="noConversion"/>
  </si>
  <si>
    <t>大祥·金庭公馆</t>
    <phoneticPr fontId="3" type="noConversion"/>
  </si>
  <si>
    <t>住宅</t>
    <phoneticPr fontId="25" type="noConversion"/>
  </si>
  <si>
    <t>60-70（含）</t>
  </si>
  <si>
    <t>50-60（含）</t>
  </si>
  <si>
    <t>较差</t>
  </si>
  <si>
    <t>一般</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</si>
  <si>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</si>
  <si>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</si>
  <si>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</si>
  <si>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</si>
  <si>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</si>
  <si>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</si>
  <si>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</si>
  <si>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</si>
  <si>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</si>
  <si>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</si>
  <si>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</si>
  <si>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</si>
  <si>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</si>
  <si>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220国道路以南、西海四路以西</t>
  </si>
  <si>
    <t>滨州市</t>
  </si>
  <si>
    <t>住宅用地</t>
  </si>
  <si>
    <t>＞1且≤1.2</t>
  </si>
  <si>
    <t>挂牌</t>
  </si>
  <si>
    <t>2018-01-12</t>
  </si>
  <si>
    <t>滨州森合置业有限公司</t>
  </si>
  <si>
    <t>滨州市黄河十五路以南,东外环以东</t>
  </si>
  <si>
    <t>＞1且≤1.5</t>
  </si>
  <si>
    <t>滨州市洪投置业有限公司</t>
  </si>
  <si>
    <t>黄河二路以南、渤海三路以东</t>
  </si>
  <si>
    <t>＞1且≤2</t>
  </si>
  <si>
    <t>2017-11-13</t>
  </si>
  <si>
    <t>滨州智圣置业有限公司</t>
  </si>
  <si>
    <t>黄河一路以北、秦皇河以东</t>
  </si>
  <si>
    <t>＞1且≤1.8</t>
  </si>
  <si>
    <t>山东信达置业有限公司</t>
  </si>
  <si>
    <t>黄河十五路以北、渤海四路以东</t>
  </si>
  <si>
    <t>滨州滨通置业有限公司</t>
  </si>
  <si>
    <t>＞1且≤3</t>
  </si>
  <si>
    <t>阜盛路以东、黄河十五路以南</t>
  </si>
  <si>
    <t>2017-10-19</t>
  </si>
  <si>
    <t>滨州建设地产控股集团有限公司</t>
  </si>
  <si>
    <t>滨州高新区高一路以东、新九路以南</t>
  </si>
  <si>
    <t>综合用地(含住宅)</t>
  </si>
  <si>
    <t>＞1且≤1.4</t>
  </si>
  <si>
    <t>滨州高新置业有限公司</t>
  </si>
  <si>
    <t>黄河四路以北、渤海九路以西</t>
  </si>
  <si>
    <t>＞1且≤2.6</t>
  </si>
  <si>
    <t>滨州市泰和实业有限公司</t>
  </si>
  <si>
    <t>滨州高新区安康路以南、高十一路以东</t>
  </si>
  <si>
    <t>＞1.2且≤1.8</t>
  </si>
  <si>
    <t>滨州高新区高一路以东、新九路以北</t>
  </si>
  <si>
    <t>＞1.1且≤1.5</t>
  </si>
  <si>
    <t>黄河十路以南、渤海十二路以东</t>
  </si>
  <si>
    <t>≥2且≤3</t>
  </si>
  <si>
    <t>张强</t>
  </si>
  <si>
    <t>黄河十路与黄河十一路之间、渤海十二路以西</t>
  </si>
  <si>
    <t>章丘市碧桂园房地产开发有限公司</t>
  </si>
  <si>
    <t>滨州高新区新三路以南、高十一路以东</t>
  </si>
  <si>
    <t>黄河十路以北、渤海五路以西</t>
  </si>
  <si>
    <t>≥2且≤2.8</t>
  </si>
  <si>
    <t>滨州市新宇房地产开发有限公司</t>
  </si>
  <si>
    <t>滨州高新区山东科伦药业有限公司以西、新六路以北</t>
  </si>
  <si>
    <t>梧桐四路以北、凤凰六路以西</t>
  </si>
  <si>
    <t>山东亚光房地产开发有限公司</t>
  </si>
  <si>
    <t>滨州高新区高十一路以西、新六路以北</t>
  </si>
  <si>
    <t>北外环以南、东海一路以西</t>
  </si>
  <si>
    <t>＞1且≤2.2</t>
  </si>
  <si>
    <t>滨州市万庭嘉置业有限公司</t>
  </si>
  <si>
    <t>北海四路以南、滨港六路以西</t>
  </si>
  <si>
    <t>2017-10-13</t>
  </si>
  <si>
    <t>山东涵发置业有限公司</t>
  </si>
  <si>
    <t>北海二路以北、滨港十路以东</t>
  </si>
  <si>
    <t>2017-09-22</t>
  </si>
  <si>
    <t>无棣华凯房地产开发有限公司</t>
  </si>
  <si>
    <t>北海大街以南、滨港七路以东</t>
  </si>
  <si>
    <t>滨州佳润房地产有限公司</t>
  </si>
  <si>
    <t>北海二路以北、顺河路以西</t>
  </si>
  <si>
    <t>滨州恒基伟业置业有限公司</t>
  </si>
  <si>
    <t>北海四路以南、滨港九路以东</t>
  </si>
  <si>
    <t>滨州市北海嘉耀置业有限公司</t>
  </si>
  <si>
    <t>黄河八路以北、渤海二十四路以西</t>
  </si>
  <si>
    <t>2017-08-28</t>
  </si>
  <si>
    <t>南京梁鼎企业管理咨询有限公司</t>
  </si>
  <si>
    <t>黄河十四路以南、渤海十九路以西</t>
  </si>
  <si>
    <t>滨州市君朋房地产开发有限公司</t>
  </si>
  <si>
    <t>黄河五路以南、渤海三十路以东</t>
  </si>
  <si>
    <t>＞1且≤3.2</t>
  </si>
  <si>
    <t>滨州市新东方置业有限公司</t>
  </si>
  <si>
    <t>黄河十四路以南、马堡路以东</t>
  </si>
  <si>
    <t>黄河十四路以南、滨杜路以西</t>
  </si>
  <si>
    <t>滨州市怡安置业有限公司</t>
  </si>
  <si>
    <t>长江二路以北,渤海十三路以西</t>
  </si>
  <si>
    <t>＞2,≤2.5</t>
  </si>
  <si>
    <t>2017-07-05</t>
  </si>
  <si>
    <t>安徽鹄环企业管理咨询有限公司</t>
  </si>
  <si>
    <t>梧桐二路以北,凤凰六路以东</t>
  </si>
  <si>
    <t>＞1,≤1.5</t>
  </si>
  <si>
    <t>滨州富嘉置业有限公司</t>
  </si>
  <si>
    <t>黄河十三路以北,渤海三路以西</t>
  </si>
  <si>
    <t>＞1,≤2.2</t>
  </si>
  <si>
    <t>滨州金居房地产开发有限公司</t>
  </si>
  <si>
    <t>黄河五路以南、渤海二十一路以东</t>
  </si>
  <si>
    <t>＞1,≤2.85</t>
  </si>
  <si>
    <t>2017-06-22</t>
  </si>
  <si>
    <t>滨州洪基置业有限公司</t>
  </si>
  <si>
    <t>黄河三路以北、渤海三路以西</t>
  </si>
  <si>
    <t>等于1.7</t>
  </si>
  <si>
    <t>滨州舜泰置业有限公司</t>
  </si>
  <si>
    <t>北海二路以北,滨港十一路以西</t>
  </si>
  <si>
    <t>＞1,≤1.2</t>
  </si>
  <si>
    <t>2017-03-24</t>
  </si>
  <si>
    <t>滨州北海财金投资有限公司</t>
  </si>
  <si>
    <t>挺进路以南、渤海二十四路以东</t>
  </si>
  <si>
    <t>2016-12-19</t>
  </si>
  <si>
    <t>山东东来置业有限公司</t>
  </si>
  <si>
    <t>杨柳雪镇新滨一路以南,新立河四路以西</t>
  </si>
  <si>
    <t>滨州市瑞龙置业有限公司</t>
  </si>
  <si>
    <t>黄河十二路以南,滨杜路以西</t>
  </si>
  <si>
    <t>胜利油田华滨房地产开发有限公司</t>
  </si>
  <si>
    <t>高新区永泰路以东、新九路以南</t>
  </si>
  <si>
    <t>＞1且≤1.9</t>
  </si>
  <si>
    <t>滨州正浩置业有限公司</t>
  </si>
  <si>
    <t>黄河十六路以南、渤海三路以西</t>
  </si>
  <si>
    <t>滨北办事处梧桐二路以北、凤凰六路以东</t>
  </si>
  <si>
    <t>黄河二路以南、渤海十二路以西</t>
  </si>
  <si>
    <t>山东滨州民安置业有限公司</t>
  </si>
  <si>
    <t>滨北办事处梧桐三路以北,凤凰二路以西</t>
  </si>
  <si>
    <t>2016-11-10</t>
  </si>
  <si>
    <t>滨州市皓煜置业有限公司</t>
  </si>
  <si>
    <t>黄河十三路以北,渤海十九路以西</t>
  </si>
  <si>
    <t>2016-09-28</t>
  </si>
  <si>
    <t>长江二路以北,渤海二十一路以东</t>
  </si>
  <si>
    <t>＞1,≤2.3</t>
  </si>
  <si>
    <t>2016-09-12</t>
  </si>
  <si>
    <t>滨州市方正祥宇置业有限公司</t>
  </si>
  <si>
    <t>滨州高新区高十路以东,打渔张干渠以南</t>
  </si>
  <si>
    <t>＞1,≤3</t>
  </si>
  <si>
    <t>山东香驰置业有限公司</t>
  </si>
  <si>
    <t>长江二路以北,渤海十九路以东</t>
  </si>
  <si>
    <t>山东和居置业有限公司</t>
  </si>
  <si>
    <t>住宅</t>
    <phoneticPr fontId="31" type="noConversion"/>
  </si>
  <si>
    <t>住宅、商业</t>
  </si>
  <si>
    <t>住宅、商业</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</si>
  <si>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</si>
  <si>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</si>
  <si>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</si>
  <si>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</si>
  <si>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</si>
  <si>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较规则</t>
    <phoneticPr fontId="31" type="noConversion"/>
  </si>
  <si>
    <t>规则</t>
    <phoneticPr fontId="31" type="noConversion"/>
  </si>
  <si>
    <t>较不规则</t>
    <phoneticPr fontId="31" type="noConversion"/>
  </si>
  <si>
    <t>不规则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</si>
  <si>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</si>
  <si>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</si>
  <si>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</si>
  <si>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</si>
  <si>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</si>
  <si>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</si>
  <si>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</si>
  <si>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</si>
  <si>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</si>
  <si>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</si>
  <si>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70</t>
    <phoneticPr fontId="31" type="noConversion"/>
  </si>
  <si>
    <r>
      <t>70</t>
    </r>
    <r>
      <rPr>
        <sz val="11"/>
        <color indexed="8"/>
        <rFont val="宋体"/>
        <family val="3"/>
        <charset val="134"/>
      </rPr>
      <t>、</t>
    </r>
    <r>
      <rPr>
        <sz val="11"/>
        <color indexed="8"/>
        <rFont val="Arial"/>
        <family val="2"/>
      </rPr>
      <t>40</t>
    </r>
    <phoneticPr fontId="31" type="noConversion"/>
  </si>
  <si>
    <t>双面临街</t>
  </si>
  <si>
    <t>支</t>
  </si>
  <si>
    <t>较规则</t>
  </si>
  <si>
    <t>三通</t>
  </si>
  <si>
    <t>未包含在土地购买价格中</t>
  </si>
  <si>
    <t>已包含在土地取得成本中</t>
  </si>
  <si>
    <t>成本法 (元)</t>
  </si>
  <si>
    <t>成本比率</t>
  </si>
  <si>
    <t>一期商业</t>
    <phoneticPr fontId="143" type="noConversion"/>
  </si>
  <si>
    <t>序号</t>
  </si>
  <si>
    <t>楼号</t>
  </si>
  <si>
    <t>房号</t>
  </si>
  <si>
    <r>
      <t>实测面积</t>
    </r>
    <r>
      <rPr>
        <b/>
        <sz val="12"/>
        <rFont val="Times New Roman"/>
        <family val="1"/>
      </rPr>
      <t>（㎡）</t>
    </r>
  </si>
  <si>
    <t>1-101</t>
  </si>
  <si>
    <t>1-102</t>
  </si>
  <si>
    <t>1-103</t>
  </si>
  <si>
    <t>1-104</t>
  </si>
  <si>
    <t>1-105</t>
  </si>
  <si>
    <t>1-106</t>
  </si>
  <si>
    <t>1-107</t>
  </si>
  <si>
    <t>1-108</t>
  </si>
  <si>
    <t>1-109</t>
  </si>
  <si>
    <t>1-110</t>
  </si>
  <si>
    <t>2-101</t>
  </si>
  <si>
    <t>2-102</t>
  </si>
  <si>
    <t>2-103</t>
  </si>
  <si>
    <t>2-104</t>
  </si>
  <si>
    <t>2-105</t>
  </si>
  <si>
    <t>3-101</t>
  </si>
  <si>
    <t>3-102</t>
  </si>
  <si>
    <t>3-103</t>
  </si>
  <si>
    <t>3-104</t>
  </si>
  <si>
    <t>3-105</t>
  </si>
  <si>
    <t>其余抵押商铺</t>
    <phoneticPr fontId="3" type="noConversion"/>
  </si>
  <si>
    <t>抵押商业一层商铺之一</t>
    <phoneticPr fontId="3" type="noConversion"/>
  </si>
  <si>
    <t>商业一层</t>
  </si>
  <si>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</si>
  <si>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</si>
  <si>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</si>
  <si>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</si>
  <si>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</si>
  <si>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</si>
  <si>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</si>
  <si>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</si>
  <si>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</si>
  <si>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</si>
  <si>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</si>
  <si>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</si>
  <si>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层及以上</t>
    </r>
    <phoneticPr fontId="31" type="noConversion"/>
  </si>
  <si>
    <t>商业街商铺</t>
  </si>
  <si>
    <t>商业街商铺</t>
    <phoneticPr fontId="31" type="noConversion"/>
  </si>
  <si>
    <t>独立商业</t>
    <phoneticPr fontId="31" type="noConversion"/>
  </si>
  <si>
    <t>住宅底商</t>
  </si>
  <si>
    <t>住宅底商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</si>
  <si>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</si>
  <si>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</si>
  <si>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</si>
  <si>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</si>
  <si>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</si>
  <si>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</si>
  <si>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</si>
  <si>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</si>
  <si>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</si>
  <si>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</si>
  <si>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</si>
  <si>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</si>
  <si>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</si>
  <si>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</si>
  <si>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</si>
  <si>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</si>
  <si>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</si>
  <si>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</si>
  <si>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</si>
  <si>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</si>
  <si>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</si>
  <si>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</si>
  <si>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</si>
  <si>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</si>
  <si>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</si>
  <si>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商业</t>
    <phoneticPr fontId="31" type="noConversion"/>
  </si>
  <si>
    <r>
      <t>1-2</t>
    </r>
    <r>
      <rPr>
        <sz val="11"/>
        <color indexed="8"/>
        <rFont val="宋体"/>
        <family val="3"/>
        <charset val="134"/>
      </rPr>
      <t>层</t>
    </r>
    <phoneticPr fontId="31" type="noConversion"/>
  </si>
  <si>
    <t>黄河十二路渤海十一路</t>
    <phoneticPr fontId="3" type="noConversion"/>
  </si>
  <si>
    <t>黄河四路渤海五路</t>
    <phoneticPr fontId="3" type="noConversion"/>
  </si>
  <si>
    <t>黄河四路渤海六路</t>
    <phoneticPr fontId="3" type="noConversion"/>
  </si>
  <si>
    <t>1层</t>
  </si>
  <si>
    <t>1-2层</t>
  </si>
  <si>
    <t>收益法</t>
    <phoneticPr fontId="16" type="noConversion"/>
  </si>
  <si>
    <t>平面位置</t>
    <phoneticPr fontId="25" type="noConversion"/>
  </si>
  <si>
    <t>人流量</t>
    <phoneticPr fontId="3" type="noConversion"/>
  </si>
  <si>
    <t>洋房</t>
    <phoneticPr fontId="7" type="noConversion"/>
  </si>
  <si>
    <t>仓储</t>
    <phoneticPr fontId="7" type="noConversion"/>
  </si>
  <si>
    <t>车库</t>
    <phoneticPr fontId="7" type="noConversion"/>
  </si>
  <si>
    <t>工程进度</t>
  </si>
  <si>
    <t>全部缴纳</t>
  </si>
  <si>
    <t>建筑面积比例</t>
    <phoneticPr fontId="3" type="noConversion"/>
  </si>
  <si>
    <t>其他省市系数</t>
  </si>
  <si>
    <t>收益法 (2)</t>
  </si>
  <si>
    <t>收益法 (2)</t>
    <phoneticPr fontId="16" type="noConversion"/>
  </si>
  <si>
    <t>收益法</t>
  </si>
  <si>
    <t>成本法</t>
  </si>
  <si>
    <t>假设开发法</t>
  </si>
  <si>
    <t>土地（套用方法）</t>
  </si>
  <si>
    <t>自定义</t>
  </si>
  <si>
    <r>
      <t>1.</t>
    </r>
    <r>
      <rPr>
        <sz val="10"/>
        <color indexed="8"/>
        <rFont val="宋体"/>
        <family val="3"/>
        <charset val="134"/>
      </rPr>
      <t>合同所载</t>
    </r>
    <r>
      <rPr>
        <sz val="10"/>
        <color indexed="8"/>
        <rFont val="Arial"/>
        <family val="2"/>
      </rPr>
      <t>10168.96</t>
    </r>
    <r>
      <rPr>
        <sz val="10"/>
        <color indexed="8"/>
        <rFont val="宋体"/>
        <family val="3"/>
        <charset val="134"/>
      </rPr>
      <t>平方米处置方式未见表述。</t>
    </r>
    <phoneticPr fontId="3" type="noConversion"/>
  </si>
  <si>
    <r>
      <t>2.</t>
    </r>
    <r>
      <rPr>
        <sz val="10"/>
        <color indexed="8"/>
        <rFont val="宋体"/>
        <family val="3"/>
        <charset val="134"/>
      </rPr>
      <t>车库、仓储未区分地上地下（未计算土地价款）</t>
    </r>
    <phoneticPr fontId="3" type="noConversion"/>
  </si>
  <si>
    <r>
      <t>4.</t>
    </r>
    <r>
      <rPr>
        <sz val="10"/>
        <color indexed="8"/>
        <rFont val="宋体"/>
        <family val="3"/>
        <charset val="134"/>
      </rPr>
      <t>地上车库及仓储确定有收益？确定不是赠送？</t>
    </r>
    <phoneticPr fontId="3" type="noConversion"/>
  </si>
  <si>
    <r>
      <t>6.</t>
    </r>
    <r>
      <rPr>
        <sz val="10"/>
        <color indexed="8"/>
        <rFont val="宋体"/>
        <family val="3"/>
        <charset val="134"/>
      </rPr>
      <t>未见地价款、城建费缴纳票据</t>
    </r>
    <phoneticPr fontId="3" type="noConversion"/>
  </si>
  <si>
    <r>
      <t>5.</t>
    </r>
    <r>
      <rPr>
        <sz val="10"/>
        <color indexed="8"/>
        <rFont val="宋体"/>
        <family val="3"/>
        <charset val="134"/>
      </rPr>
      <t>土地比较法案例差异修正不足；开发完成后未修正容积率、居住成熟度区分度不足</t>
    </r>
    <phoneticPr fontId="3" type="noConversion"/>
  </si>
  <si>
    <t>秦皇水岸</t>
    <phoneticPr fontId="3" type="noConversion"/>
  </si>
  <si>
    <t>滨州市渤海十一路以东、盛华路以南</t>
    <phoneticPr fontId="6" type="noConversion"/>
  </si>
  <si>
    <t>华澳国际信托有限公司</t>
    <phoneticPr fontId="6" type="noConversion"/>
  </si>
  <si>
    <t>项目局部</t>
  </si>
  <si>
    <t>在建加土地</t>
    <phoneticPr fontId="143" type="noConversion"/>
  </si>
  <si>
    <t>建筑面积</t>
    <phoneticPr fontId="143" type="noConversion"/>
  </si>
  <si>
    <t>土地面积</t>
    <phoneticPr fontId="143" type="noConversion"/>
  </si>
  <si>
    <t>洋房</t>
    <phoneticPr fontId="143" type="noConversion"/>
  </si>
  <si>
    <t>仓储</t>
    <phoneticPr fontId="143" type="noConversion"/>
  </si>
  <si>
    <t>车库</t>
    <phoneticPr fontId="143" type="noConversion"/>
  </si>
  <si>
    <t>地上设备</t>
    <phoneticPr fontId="143" type="noConversion"/>
  </si>
  <si>
    <t>地下设备</t>
    <phoneticPr fontId="143" type="noConversion"/>
  </si>
  <si>
    <t>地上公共配套</t>
    <phoneticPr fontId="143" type="noConversion"/>
  </si>
  <si>
    <t>地下公共配套</t>
    <phoneticPr fontId="143" type="noConversion"/>
  </si>
  <si>
    <t>经营性</t>
    <phoneticPr fontId="143" type="noConversion"/>
  </si>
  <si>
    <t>非经营</t>
    <phoneticPr fontId="143" type="noConversion"/>
  </si>
  <si>
    <t>价值</t>
    <phoneticPr fontId="143" type="noConversion"/>
  </si>
  <si>
    <t>楼面价</t>
    <phoneticPr fontId="143" type="noConversion"/>
  </si>
  <si>
    <t>建筑物价值</t>
    <phoneticPr fontId="143" type="noConversion"/>
  </si>
  <si>
    <t>单价</t>
    <phoneticPr fontId="143" type="noConversion"/>
  </si>
  <si>
    <t>土地价值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</si>
</sst>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6"/>
      <name val="Times New Roman"/>
      <family val="1"/>
    </font>
    <font>
      <b/>
      <sz val="12"/>
      <color theme="1"/>
      <name val="宋体"/>
      <family val="2"/>
      <scheme val="minor"/>
    </font>
    <font>
      <b/>
      <sz val="12"/>
      <name val="Times New Roman"/>
      <family val="1"/>
    </font>
    <font>
      <sz val="10.5"/>
      <name val="Times New Roman"/>
      <family val="1"/>
    </font>
    <font>
      <sz val="11"/>
      <name val="Times New Roman"/>
      <family val="1"/>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37" fillId="0" borderId="0"/>
  </cellStyleXfs>
  <cellXfs count="34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4" fontId="137" fillId="0"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6" borderId="0" xfId="0" applyFont="1" applyFill="1" applyAlignment="1" applyProtection="1">
      <alignment vertical="center"/>
      <protection locked="0"/>
    </xf>
    <xf numFmtId="179" fontId="50" fillId="6" borderId="0" xfId="0" applyNumberFormat="1"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58" fontId="80" fillId="6" borderId="0" xfId="0" applyNumberFormat="1" applyFont="1" applyFill="1" applyAlignment="1" applyProtection="1">
      <alignment horizontal="center" vertical="center"/>
      <protection locked="0"/>
    </xf>
    <xf numFmtId="0" fontId="192" fillId="0" borderId="1" xfId="0" applyFont="1" applyFill="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0" fontId="50" fillId="6" borderId="0" xfId="0" applyNumberFormat="1" applyFont="1" applyFill="1" applyAlignment="1" applyProtection="1">
      <alignment vertical="center"/>
      <protection locked="0"/>
    </xf>
    <xf numFmtId="181" fontId="50" fillId="6" borderId="0" xfId="0" applyNumberFormat="1" applyFont="1" applyFill="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181" fontId="47" fillId="0" borderId="37" xfId="0" applyNumberFormat="1" applyFont="1" applyFill="1" applyBorder="1" applyAlignment="1" applyProtection="1">
      <alignment horizontal="center" vertical="center" wrapText="1"/>
      <protection locked="0"/>
    </xf>
    <xf numFmtId="181" fontId="47" fillId="7" borderId="37" xfId="0" applyNumberFormat="1" applyFont="1" applyFill="1" applyBorder="1" applyAlignment="1" applyProtection="1">
      <alignment horizontal="center" vertical="center" wrapText="1"/>
      <protection locked="0"/>
    </xf>
    <xf numFmtId="181" fontId="50" fillId="7" borderId="1" xfId="1" applyNumberFormat="1" applyFont="1" applyFill="1" applyBorder="1" applyAlignment="1" applyProtection="1">
      <alignment horizontal="center" vertical="center"/>
      <protection locked="0"/>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190" fillId="0" borderId="13" xfId="0" applyFont="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9" fillId="0" borderId="0" xfId="0" applyFont="1">
      <alignment vertical="center"/>
    </xf>
    <xf numFmtId="0" fontId="259" fillId="7" borderId="1" xfId="13" applyFont="1" applyFill="1" applyBorder="1" applyAlignment="1">
      <alignment horizontal="center" vertical="center" wrapText="1"/>
    </xf>
    <xf numFmtId="0" fontId="259" fillId="0" borderId="1" xfId="13" applyFont="1" applyFill="1" applyBorder="1" applyAlignment="1">
      <alignment horizontal="center" vertical="center" wrapText="1"/>
    </xf>
    <xf numFmtId="183" fontId="50" fillId="6" borderId="0" xfId="0" applyNumberFormat="1" applyFont="1" applyFill="1" applyAlignment="1" applyProtection="1">
      <alignment vertical="center"/>
      <protection locked="0"/>
    </xf>
    <xf numFmtId="0" fontId="0" fillId="0" borderId="0" xfId="0" applyFill="1" applyAlignment="1"/>
    <xf numFmtId="0" fontId="0" fillId="0" borderId="0" xfId="0" applyFill="1">
      <alignment vertical="center"/>
    </xf>
    <xf numFmtId="0" fontId="0" fillId="5" borderId="0" xfId="0" applyFill="1" applyAlignment="1"/>
    <xf numFmtId="0" fontId="0" fillId="5" borderId="0" xfId="0" applyFill="1">
      <alignment vertical="center"/>
    </xf>
    <xf numFmtId="0" fontId="101" fillId="0" borderId="0" xfId="0" applyFont="1" applyAlignment="1"/>
    <xf numFmtId="0" fontId="101" fillId="0" borderId="0" xfId="0" applyFont="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261" fillId="0" borderId="82" xfId="0" applyFont="1" applyBorder="1" applyAlignment="1">
      <alignment horizontal="center" vertical="center" wrapText="1"/>
    </xf>
    <xf numFmtId="0" fontId="261" fillId="0" borderId="65" xfId="0" applyFont="1" applyBorder="1" applyAlignment="1">
      <alignment horizontal="center" vertical="center" wrapText="1"/>
    </xf>
    <xf numFmtId="0" fontId="144" fillId="0" borderId="65" xfId="0" applyFont="1" applyBorder="1" applyAlignment="1">
      <alignment horizontal="center" vertical="top" wrapText="1"/>
    </xf>
    <xf numFmtId="0" fontId="262" fillId="0" borderId="42" xfId="0" applyFont="1" applyBorder="1" applyAlignment="1">
      <alignment horizontal="center" vertical="center" wrapText="1"/>
    </xf>
    <xf numFmtId="0" fontId="262" fillId="0" borderId="81" xfId="0" applyFont="1" applyBorder="1" applyAlignment="1">
      <alignment horizontal="center" vertical="center" wrapText="1"/>
    </xf>
    <xf numFmtId="0" fontId="262" fillId="0" borderId="43" xfId="0" applyFont="1" applyBorder="1" applyAlignment="1">
      <alignment horizontal="center" vertical="center" wrapText="1"/>
    </xf>
    <xf numFmtId="0" fontId="263" fillId="0" borderId="43" xfId="0" applyFont="1" applyBorder="1" applyAlignment="1">
      <alignment horizontal="center" vertical="center" wrapText="1"/>
    </xf>
    <xf numFmtId="0" fontId="262" fillId="0" borderId="68" xfId="0" applyFont="1" applyBorder="1" applyAlignment="1">
      <alignment horizontal="center" vertical="center" wrapText="1"/>
    </xf>
    <xf numFmtId="0" fontId="137" fillId="0" borderId="83" xfId="0"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176" fontId="47" fillId="5" borderId="24" xfId="1" applyNumberFormat="1" applyFont="1" applyFill="1" applyBorder="1" applyAlignment="1" applyProtection="1">
      <alignment horizontal="center" vertical="center"/>
      <protection locked="0"/>
    </xf>
    <xf numFmtId="181" fontId="105" fillId="9" borderId="1" xfId="0" applyNumberFormat="1" applyFont="1" applyFill="1" applyBorder="1" applyAlignment="1" applyProtection="1">
      <alignment horizontal="center" vertical="center"/>
      <protection locked="0"/>
    </xf>
    <xf numFmtId="0" fontId="56" fillId="8" borderId="49" xfId="1" applyNumberFormat="1" applyFont="1" applyFill="1" applyBorder="1" applyAlignment="1" applyProtection="1">
      <alignment horizontal="center" vertical="center"/>
      <protection locked="0"/>
    </xf>
    <xf numFmtId="177" fontId="56" fillId="8" borderId="1" xfId="1" applyNumberFormat="1" applyFont="1" applyFill="1" applyBorder="1" applyAlignment="1" applyProtection="1">
      <alignment horizontal="center"/>
      <protection locked="0"/>
    </xf>
    <xf numFmtId="0" fontId="47" fillId="9" borderId="23" xfId="0" applyNumberFormat="1"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54" fillId="9" borderId="41" xfId="0" applyNumberFormat="1" applyFont="1" applyFill="1" applyBorder="1" applyAlignment="1" applyProtection="1">
      <alignment horizontal="center" vertical="center" wrapText="1"/>
      <protection locked="0"/>
    </xf>
    <xf numFmtId="0" fontId="47" fillId="8" borderId="4" xfId="0" applyFont="1" applyFill="1" applyBorder="1" applyAlignment="1" applyProtection="1">
      <alignment horizontal="center" vertical="center" wrapText="1"/>
    </xf>
    <xf numFmtId="0" fontId="47" fillId="9" borderId="1" xfId="0" applyNumberFormat="1" applyFont="1" applyFill="1" applyBorder="1" applyAlignment="1" applyProtection="1">
      <alignment horizontal="center" vertical="center" wrapText="1"/>
      <protection locked="0"/>
    </xf>
    <xf numFmtId="0" fontId="47" fillId="9" borderId="32" xfId="0" applyNumberFormat="1" applyFont="1" applyFill="1" applyBorder="1" applyAlignment="1" applyProtection="1">
      <alignment horizontal="center" vertical="center" wrapText="1"/>
      <protection locked="0"/>
    </xf>
    <xf numFmtId="0" fontId="54" fillId="9" borderId="32"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protection locked="0"/>
    </xf>
    <xf numFmtId="0" fontId="61" fillId="9" borderId="0" xfId="0" applyFont="1" applyFill="1" applyAlignment="1" applyProtection="1">
      <alignment horizontal="right" vertical="center"/>
      <protection locked="0"/>
    </xf>
    <xf numFmtId="181" fontId="55" fillId="9" borderId="61" xfId="0" applyNumberFormat="1" applyFont="1" applyFill="1" applyBorder="1" applyAlignment="1" applyProtection="1">
      <alignment horizontal="center" vertical="center"/>
      <protection locked="0"/>
    </xf>
    <xf numFmtId="0" fontId="50" fillId="9" borderId="1"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5" fillId="9" borderId="23" xfId="0" applyFont="1" applyFill="1" applyBorder="1" applyAlignment="1" applyProtection="1">
      <alignment horizontal="center" vertical="center" wrapText="1"/>
      <protection locked="0"/>
    </xf>
    <xf numFmtId="0" fontId="178" fillId="9" borderId="24" xfId="0" applyFont="1" applyFill="1" applyBorder="1" applyAlignment="1" applyProtection="1">
      <alignment horizontal="center" vertical="center" wrapText="1"/>
      <protection locked="0"/>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63" xfId="2" applyFont="1" applyFill="1" applyBorder="1" applyAlignment="1">
      <alignment horizontal="center"/>
    </xf>
    <xf numFmtId="0" fontId="255" fillId="6" borderId="64" xfId="2" applyFont="1" applyFill="1" applyBorder="1" applyAlignment="1">
      <alignment horizontal="center"/>
    </xf>
    <xf numFmtId="0" fontId="260" fillId="0" borderId="0" xfId="0" applyFont="1" applyAlignment="1">
      <alignment horizontal="center" vertical="center"/>
    </xf>
    <xf numFmtId="0" fontId="262" fillId="0" borderId="81" xfId="0" applyFont="1" applyBorder="1" applyAlignment="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Sheet2" xfId="13"/>
  </cellStyles>
  <dxfs count="23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628650</xdr:colOff>
      <xdr:row>26</xdr:row>
      <xdr:rowOff>170872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429250" cy="4628572"/>
        </a:xfrm>
        <a:prstGeom prst="rect">
          <a:avLst/>
        </a:prstGeom>
      </xdr:spPr>
    </xdr:pic>
    <xdr:clientData/>
  </xdr:twoCellAnchor>
  <xdr:twoCellAnchor editAs="oneCell">
    <xdr:from>
      <xdr:col>7</xdr:col>
      <xdr:colOff>390525</xdr:colOff>
      <xdr:row>17</xdr:row>
      <xdr:rowOff>117510</xdr:rowOff>
    </xdr:from>
    <xdr:to>
      <xdr:col>13</xdr:col>
      <xdr:colOff>323204</xdr:colOff>
      <xdr:row>47</xdr:row>
      <xdr:rowOff>27768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5191125" y="3032160"/>
          <a:ext cx="4047479" cy="5053758"/>
        </a:xfrm>
        <a:prstGeom prst="rect">
          <a:avLst/>
        </a:prstGeom>
      </xdr:spPr>
    </xdr:pic>
    <xdr:clientData/>
  </xdr:twoCellAnchor>
  <xdr:twoCellAnchor editAs="oneCell">
    <xdr:from>
      <xdr:col>7</xdr:col>
      <xdr:colOff>361950</xdr:colOff>
      <xdr:row>0</xdr:row>
      <xdr:rowOff>0</xdr:rowOff>
    </xdr:from>
    <xdr:to>
      <xdr:col>14</xdr:col>
      <xdr:colOff>180147</xdr:colOff>
      <xdr:row>23</xdr:row>
      <xdr:rowOff>163724</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5162550" y="0"/>
          <a:ext cx="4618797" cy="4107074"/>
        </a:xfrm>
        <a:prstGeom prst="rect">
          <a:avLst/>
        </a:prstGeom>
      </xdr:spPr>
    </xdr:pic>
    <xdr:clientData/>
  </xdr:twoCellAnchor>
  <xdr:twoCellAnchor editAs="oneCell">
    <xdr:from>
      <xdr:col>0</xdr:col>
      <xdr:colOff>171450</xdr:colOff>
      <xdr:row>26</xdr:row>
      <xdr:rowOff>123825</xdr:rowOff>
    </xdr:from>
    <xdr:to>
      <xdr:col>6</xdr:col>
      <xdr:colOff>206739</xdr:colOff>
      <xdr:row>52</xdr:row>
      <xdr:rowOff>170785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71450" y="4581525"/>
          <a:ext cx="4150089" cy="4504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25</xdr:row>
      <xdr:rowOff>85179</xdr:rowOff>
    </xdr:to>
    <xdr:pic>
      <xdr:nvPicPr>
        <xdr:cNvPr id="7" name="图片 6"/>
        <xdr:cNvPicPr>
          <a:picLocks noChangeAspect="1"/>
        </xdr:cNvPicPr>
      </xdr:nvPicPr>
      <xdr:blipFill>
        <a:blip xmlns:r="http://schemas.openxmlformats.org/officeDocument/2006/relationships" r:embed="rId1" cstate="print"/>
        <a:stretch>
          <a:fillRect/>
        </a:stretch>
      </xdr:blipFill>
      <xdr:spPr>
        <a:xfrm>
          <a:off x="0" y="0"/>
          <a:ext cx="6552381" cy="4371429"/>
        </a:xfrm>
        <a:prstGeom prst="rect">
          <a:avLst/>
        </a:prstGeom>
      </xdr:spPr>
    </xdr:pic>
    <xdr:clientData/>
  </xdr:twoCellAnchor>
  <xdr:twoCellAnchor editAs="oneCell">
    <xdr:from>
      <xdr:col>0</xdr:col>
      <xdr:colOff>0</xdr:colOff>
      <xdr:row>34</xdr:row>
      <xdr:rowOff>0</xdr:rowOff>
    </xdr:from>
    <xdr:to>
      <xdr:col>9</xdr:col>
      <xdr:colOff>303991</xdr:colOff>
      <xdr:row>57</xdr:row>
      <xdr:rowOff>142365</xdr:rowOff>
    </xdr:to>
    <xdr:pic>
      <xdr:nvPicPr>
        <xdr:cNvPr id="12" name="图片 11"/>
        <xdr:cNvPicPr>
          <a:picLocks noChangeAspect="1"/>
        </xdr:cNvPicPr>
      </xdr:nvPicPr>
      <xdr:blipFill>
        <a:blip xmlns:r="http://schemas.openxmlformats.org/officeDocument/2006/relationships" r:embed="rId2" cstate="print"/>
        <a:stretch>
          <a:fillRect/>
        </a:stretch>
      </xdr:blipFill>
      <xdr:spPr>
        <a:xfrm>
          <a:off x="0" y="5829300"/>
          <a:ext cx="6476191" cy="4085715"/>
        </a:xfrm>
        <a:prstGeom prst="rect">
          <a:avLst/>
        </a:prstGeom>
      </xdr:spPr>
    </xdr:pic>
    <xdr:clientData/>
  </xdr:twoCellAnchor>
  <xdr:twoCellAnchor editAs="oneCell">
    <xdr:from>
      <xdr:col>0</xdr:col>
      <xdr:colOff>0</xdr:colOff>
      <xdr:row>52</xdr:row>
      <xdr:rowOff>0</xdr:rowOff>
    </xdr:from>
    <xdr:to>
      <xdr:col>9</xdr:col>
      <xdr:colOff>142086</xdr:colOff>
      <xdr:row>87</xdr:row>
      <xdr:rowOff>104012</xdr:rowOff>
    </xdr:to>
    <xdr:pic>
      <xdr:nvPicPr>
        <xdr:cNvPr id="13" name="图片 12"/>
        <xdr:cNvPicPr>
          <a:picLocks noChangeAspect="1"/>
        </xdr:cNvPicPr>
      </xdr:nvPicPr>
      <xdr:blipFill>
        <a:blip xmlns:r="http://schemas.openxmlformats.org/officeDocument/2006/relationships" r:embed="rId3" cstate="print"/>
        <a:stretch>
          <a:fillRect/>
        </a:stretch>
      </xdr:blipFill>
      <xdr:spPr>
        <a:xfrm>
          <a:off x="0" y="8915400"/>
          <a:ext cx="6314286" cy="6104762"/>
        </a:xfrm>
        <a:prstGeom prst="rect">
          <a:avLst/>
        </a:prstGeom>
      </xdr:spPr>
    </xdr:pic>
    <xdr:clientData/>
  </xdr:twoCellAnchor>
  <xdr:twoCellAnchor editAs="oneCell">
    <xdr:from>
      <xdr:col>9</xdr:col>
      <xdr:colOff>574688</xdr:colOff>
      <xdr:row>0</xdr:row>
      <xdr:rowOff>9525</xdr:rowOff>
    </xdr:from>
    <xdr:to>
      <xdr:col>18</xdr:col>
      <xdr:colOff>132524</xdr:colOff>
      <xdr:row>19</xdr:row>
      <xdr:rowOff>161925</xdr:rowOff>
    </xdr:to>
    <xdr:pic>
      <xdr:nvPicPr>
        <xdr:cNvPr id="18" name="图片 17"/>
        <xdr:cNvPicPr>
          <a:picLocks noChangeAspect="1"/>
        </xdr:cNvPicPr>
      </xdr:nvPicPr>
      <xdr:blipFill>
        <a:blip xmlns:r="http://schemas.openxmlformats.org/officeDocument/2006/relationships" r:embed="rId4" cstate="print"/>
        <a:stretch>
          <a:fillRect/>
        </a:stretch>
      </xdr:blipFill>
      <xdr:spPr>
        <a:xfrm>
          <a:off x="6746888" y="9525"/>
          <a:ext cx="5730036" cy="3409950"/>
        </a:xfrm>
        <a:prstGeom prst="rect">
          <a:avLst/>
        </a:prstGeom>
      </xdr:spPr>
    </xdr:pic>
    <xdr:clientData/>
  </xdr:twoCellAnchor>
  <xdr:twoCellAnchor editAs="oneCell">
    <xdr:from>
      <xdr:col>10</xdr:col>
      <xdr:colOff>590550</xdr:colOff>
      <xdr:row>17</xdr:row>
      <xdr:rowOff>152400</xdr:rowOff>
    </xdr:from>
    <xdr:to>
      <xdr:col>17</xdr:col>
      <xdr:colOff>275665</xdr:colOff>
      <xdr:row>52</xdr:row>
      <xdr:rowOff>113555</xdr:rowOff>
    </xdr:to>
    <xdr:pic>
      <xdr:nvPicPr>
        <xdr:cNvPr id="19" name="图片 18"/>
        <xdr:cNvPicPr>
          <a:picLocks noChangeAspect="1"/>
        </xdr:cNvPicPr>
      </xdr:nvPicPr>
      <xdr:blipFill>
        <a:blip xmlns:r="http://schemas.openxmlformats.org/officeDocument/2006/relationships" r:embed="rId5" cstate="print"/>
        <a:stretch>
          <a:fillRect/>
        </a:stretch>
      </xdr:blipFill>
      <xdr:spPr>
        <a:xfrm>
          <a:off x="7448550" y="3067050"/>
          <a:ext cx="4485715"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665;&#19996;&#28392;&#24030;-&#24352;&#26234;&#32753;-&#21035;&#22661;&#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665;&#19996;&#28392;&#24030;-&#21035;&#22661;&#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665;&#19996;&#28392;&#24030;-&#21830;&#19994;&#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665;&#19996;&#28392;&#24030;-&#22303;&#223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未出租"/>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row r="13">
          <cell r="E13">
            <v>249.62</v>
          </cell>
        </row>
        <row r="16">
          <cell r="AN16">
            <v>10360.009999999987</v>
          </cell>
        </row>
      </sheetData>
      <sheetData sheetId="12"/>
      <sheetData sheetId="13"/>
      <sheetData sheetId="14">
        <row r="27">
          <cell r="B27">
            <v>130</v>
          </cell>
        </row>
        <row r="28">
          <cell r="B28">
            <v>130</v>
          </cell>
        </row>
      </sheetData>
      <sheetData sheetId="15"/>
      <sheetData sheetId="16"/>
      <sheetData sheetId="17"/>
      <sheetData sheetId="18"/>
      <sheetData sheetId="19"/>
      <sheetData sheetId="20"/>
      <sheetData sheetId="21"/>
      <sheetData sheetId="22"/>
      <sheetData sheetId="23"/>
      <sheetData sheetId="24"/>
      <sheetData sheetId="25"/>
      <sheetData sheetId="26">
        <row r="11">
          <cell r="E11">
            <v>2.8</v>
          </cell>
          <cell r="I11">
            <v>2.19</v>
          </cell>
          <cell r="K11">
            <v>2</v>
          </cell>
        </row>
      </sheetData>
      <sheetData sheetId="27"/>
      <sheetData sheetId="28"/>
      <sheetData sheetId="29"/>
      <sheetData sheetId="30"/>
      <sheetData sheetId="31"/>
      <sheetData sheetId="32"/>
      <sheetData sheetId="33"/>
      <sheetData sheetId="34">
        <row r="11">
          <cell r="G11">
            <v>2.6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row r="20">
          <cell r="B20">
            <v>3667</v>
          </cell>
        </row>
      </sheetData>
      <sheetData sheetId="48"/>
      <sheetData sheetId="49"/>
      <sheetData sheetId="50">
        <row r="10">
          <cell r="I10">
            <v>49166.119999999995</v>
          </cell>
        </row>
        <row r="11">
          <cell r="I11">
            <v>457.04</v>
          </cell>
        </row>
        <row r="12">
          <cell r="I12">
            <v>50</v>
          </cell>
        </row>
        <row r="13">
          <cell r="I13">
            <v>9125.51</v>
          </cell>
        </row>
        <row r="14">
          <cell r="I14">
            <v>5366.96</v>
          </cell>
        </row>
      </sheetData>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未出租"/>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row r="13">
          <cell r="E13">
            <v>249.62</v>
          </cell>
        </row>
        <row r="14">
          <cell r="E14">
            <v>2626.29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0">
          <cell r="B20">
            <v>3667</v>
          </cell>
        </row>
        <row r="22">
          <cell r="B22">
            <v>3614.68</v>
          </cell>
        </row>
      </sheetData>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row r="15">
          <cell r="E15">
            <v>38.42</v>
          </cell>
        </row>
        <row r="20">
          <cell r="E20">
            <v>2636.1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0">
          <cell r="B20">
            <v>2492</v>
          </cell>
        </row>
        <row r="22">
          <cell r="B22">
            <v>3361.5600000000004</v>
          </cell>
        </row>
      </sheetData>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工业"/>
      <sheetName val="比较法-工业 (2)"/>
      <sheetName val="比较法-办公"/>
      <sheetName val="收益法（汇总）"/>
      <sheetName val="收益法出租"/>
      <sheetName val="比较法-住宅"/>
      <sheetName val="收益法"/>
      <sheetName val="收益法 (元)"/>
      <sheetName val="酒店收入计算"/>
      <sheetName val="比较法-商业"/>
      <sheetName val="比较法-办公 (租金)"/>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收益法 (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51051.35</v>
          </cell>
          <cell r="E3">
            <v>64165.63</v>
          </cell>
        </row>
        <row r="19">
          <cell r="F19">
            <v>49166.119999999995</v>
          </cell>
        </row>
        <row r="20">
          <cell r="G20">
            <v>5366.96</v>
          </cell>
        </row>
        <row r="21">
          <cell r="G21">
            <v>9125.51</v>
          </cell>
        </row>
        <row r="28">
          <cell r="F28">
            <v>50</v>
          </cell>
          <cell r="G28">
            <v>0</v>
          </cell>
        </row>
        <row r="29">
          <cell r="F29">
            <v>0</v>
          </cell>
          <cell r="G29">
            <v>457.04</v>
          </cell>
        </row>
      </sheetData>
      <sheetData sheetId="14"/>
      <sheetData sheetId="15"/>
      <sheetData sheetId="16"/>
      <sheetData sheetId="17">
        <row r="18">
          <cell r="L18">
            <v>64165.63</v>
          </cell>
        </row>
        <row r="19">
          <cell r="G19">
            <v>13217</v>
          </cell>
          <cell r="L19">
            <v>51051.35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山东省滨州市渤海十一路以东、盛华路以南出让国有建设用地使用权及在建建筑物房地产抵押价值预评估</v>
      </c>
    </row>
    <row r="3" spans="1:2" s="1588" customFormat="1">
      <c r="A3" s="1586" t="s">
        <v>1221</v>
      </c>
      <c r="B3" s="1587" t="str">
        <f>'预评函-封皮'!B40</f>
        <v>滨州新湖房地产开发有限公司</v>
      </c>
    </row>
    <row r="4" spans="1:2" s="1588" customFormat="1">
      <c r="A4" s="1586" t="s">
        <v>1222</v>
      </c>
      <c r="B4" s="1587" t="str">
        <f ca="1">'预评函-封皮'!B46</f>
        <v>刘梅（注册号：1120140022)、吴薇（注册号：1419970001)</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受贵公司委托，我公司对山东省滨州市渤海十一路以东、盛华路以南出让国有建设用地使用权及在建建筑物房地产抵押价值进行了预评估。</v>
      </c>
    </row>
    <row r="7" spans="1:2" s="1588" customFormat="1">
      <c r="A7" s="1586" t="s">
        <v>1264</v>
      </c>
      <c r="B7" s="1587" t="str">
        <f>'预评函-1'!A7</f>
        <v>估价对象为山东省滨州市渤海十一路以东、盛华路以南出让国有建设用地使用权及在建建筑物房地产，为所有。根据，估价对象（分摊）出让国有建设用地使用权面积为57352.9平方米。根据，估价对象建筑面积为72085.95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山东省滨州市渤海十一路以东、盛华路以南出让国有建设用地使用权及在建建筑物房地产,属开发建设的居住项目，该项目尚在开发建设中。根据，估价对象（分摊）出让国有建设用地使用权面积为57352.9平方米。根据，估价对象规划建筑面积为72085.95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为估价委托人在向华澳国际信托有限公司办理贷款手续过程中，确定房地产抵押贷款额度提供参考依据而评估房地产抵押价值。</v>
      </c>
    </row>
    <row r="12" spans="1:2" s="1588" customFormat="1">
      <c r="A12" s="1586" t="s">
        <v>1226</v>
      </c>
      <c r="B12" s="1587" t="str">
        <f>'预评函-1'!A15</f>
        <v>2018年4月17日（评估专业人员实地查勘之日）</v>
      </c>
    </row>
    <row r="13" spans="1:2" s="1588" customFormat="1">
      <c r="A13" s="1586" t="s">
        <v>1227</v>
      </c>
      <c r="B13" s="1587" t="str">
        <f>'预评函-1'!A18</f>
        <v>本次估价的“房地产价值”是指在正常市场情况下，在价值时点2018年4月17日，估价对象规划用途为住宅、商业、地下仓储、地下车库，土地取得方式为出让，出让国有建设用地使用权剩余土地使用年限为住宅60.9年、商业30.9年、地下仓储及地下车库40.9年，假定未设立法定优先受偿款下的房地产市场价值。</v>
      </c>
    </row>
    <row r="14" spans="1:2" s="1588" customFormat="1">
      <c r="A14" s="1586" t="s">
        <v>1228</v>
      </c>
      <c r="B14" s="1587" t="str">
        <f>'预评函-1'!A19</f>
        <v>其中，“出让国有建设用地使用权价值”是指估价对象用途为住宅、商业、地下仓储、地下车库，实际开发程度为宗地红线外“七通”（即通路、通电、通讯、通上水、通下水、平整、通热）、红线内场地平整条件下，剩余土地使用年限为住宅60.9年、商业30.9年、地下仓储及地下车库40.9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8" customFormat="1">
      <c r="A15" s="1586" t="s">
        <v>1229</v>
      </c>
      <c r="B15" s="1587" t="str">
        <f>'预评函-1'!A20</f>
        <v>本次估价的“房地产抵押价值”是指估价对象在价值时点的“房地产价值”扣减估价师于价值时点所知悉的法定优先受偿款后的余额。</v>
      </c>
    </row>
    <row r="16" spans="1:2" s="1588" customFormat="1">
      <c r="A16" s="1586" t="s">
        <v>1230</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1231</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1232</v>
      </c>
      <c r="B18" s="1590" t="str">
        <f>'预评函-1'!A24</f>
        <v>本次评估采用的主估价方法为成本法和假设开发法。</v>
      </c>
    </row>
    <row r="19" spans="1:2" s="1585" customFormat="1" ht="15" thickTop="1">
      <c r="A19" s="1583" t="s">
        <v>1233</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1234</v>
      </c>
      <c r="B20" s="1587">
        <f ca="1">'预评函-2'!D5</f>
        <v>14574</v>
      </c>
    </row>
    <row r="21" spans="1:2" s="1588" customFormat="1">
      <c r="A21" s="1586" t="s">
        <v>1235</v>
      </c>
      <c r="B21" s="1587">
        <f ca="1">'预评函-2'!D7</f>
        <v>2022</v>
      </c>
    </row>
    <row r="22" spans="1:2" s="1588" customFormat="1">
      <c r="A22" s="1586" t="s">
        <v>1236</v>
      </c>
      <c r="B22" s="1587" t="str">
        <f ca="1">'预评函-2'!D6</f>
        <v>壹亿肆仟伍佰柒拾肆万元整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f>'预评函-2'!D10</f>
        <v>0</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14574</v>
      </c>
    </row>
    <row r="31" spans="1:2" s="1588" customFormat="1">
      <c r="A31" s="1586" t="s">
        <v>1274</v>
      </c>
      <c r="B31" s="1587">
        <f ca="1">'预评函-2'!D15</f>
        <v>2022</v>
      </c>
    </row>
    <row r="32" spans="1:2" s="1588" customFormat="1">
      <c r="A32" s="1586" t="s">
        <v>1241</v>
      </c>
      <c r="B32" s="1587" t="str">
        <f ca="1">'预评函-2'!D14</f>
        <v>壹亿肆仟伍佰柒拾肆万元整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山东省滨州市渤海十一路以东、盛华路以南出让国有建设用地使用权及在建建筑物房地产</v>
      </c>
    </row>
    <row r="42" spans="1:2" s="1588" customFormat="1">
      <c r="A42" s="1586" t="s">
        <v>1288</v>
      </c>
      <c r="B42" s="1587" t="str">
        <f>'预评函-3'!B2</f>
        <v>建筑面积</v>
      </c>
    </row>
    <row r="43" spans="1:2" s="1588" customFormat="1">
      <c r="A43" s="1586" t="s">
        <v>1289</v>
      </c>
      <c r="B43" s="1587">
        <f>'预评函-3'!B4</f>
        <v>72085.949999999983</v>
      </c>
    </row>
    <row r="44" spans="1:2" s="1588" customFormat="1">
      <c r="A44" s="1586" t="s">
        <v>1273</v>
      </c>
      <c r="B44" s="1587" t="str">
        <f>'预评函-3'!C2</f>
        <v>(分摊)土地面积</v>
      </c>
    </row>
    <row r="45" spans="1:2" s="1588" customFormat="1">
      <c r="A45" s="1586" t="s">
        <v>1245</v>
      </c>
      <c r="B45" s="1587">
        <f>'预评函-3'!C4</f>
        <v>57352.9</v>
      </c>
    </row>
    <row r="46" spans="1:2" s="1588" customFormat="1">
      <c r="A46" s="1586" t="s">
        <v>1271</v>
      </c>
      <c r="B46" s="1587" t="str">
        <f>'预评函-3'!D2</f>
        <v>出让国有建设用地使用权价值</v>
      </c>
    </row>
    <row r="47" spans="1:2" s="1588" customFormat="1">
      <c r="A47" s="1586" t="s">
        <v>1246</v>
      </c>
      <c r="B47" s="1587">
        <f ca="1">'预评函-3'!D4</f>
        <v>6077</v>
      </c>
    </row>
    <row r="48" spans="1:2" s="1588" customFormat="1">
      <c r="A48" s="1586" t="s">
        <v>1247</v>
      </c>
      <c r="B48" s="1587">
        <f ca="1">'预评函-3'!E4</f>
        <v>843</v>
      </c>
    </row>
    <row r="49" spans="1:2" s="1588" customFormat="1">
      <c r="A49" s="1586" t="s">
        <v>1248</v>
      </c>
      <c r="B49" s="1587" t="str">
        <f ca="1">'预评函-3'!D5</f>
        <v>陆仟零柒拾柒万元整</v>
      </c>
    </row>
    <row r="50" spans="1:2" s="1588" customFormat="1">
      <c r="A50" s="1586" t="s">
        <v>1272</v>
      </c>
      <c r="B50" s="1587" t="str">
        <f>'预评函-3'!F2</f>
        <v>建筑物价值</v>
      </c>
    </row>
    <row r="51" spans="1:2" s="1588" customFormat="1">
      <c r="A51" s="1586" t="s">
        <v>1249</v>
      </c>
      <c r="B51" s="1587">
        <f ca="1">'预评函-3'!F4</f>
        <v>8497</v>
      </c>
    </row>
    <row r="52" spans="1:2" s="1588" customFormat="1">
      <c r="A52" s="1586" t="s">
        <v>1250</v>
      </c>
      <c r="B52" s="1587">
        <f ca="1">'预评函-3'!G4</f>
        <v>1179</v>
      </c>
    </row>
    <row r="53" spans="1:2" s="1588" customFormat="1">
      <c r="A53" s="1586" t="s">
        <v>1278</v>
      </c>
      <c r="B53" s="1587" t="str">
        <f ca="1">'预评函-3'!F5</f>
        <v>捌仟肆佰玖拾柒万元整</v>
      </c>
    </row>
    <row r="54" spans="1:2" s="1588" customFormat="1">
      <c r="A54" s="1586" t="s">
        <v>1296</v>
      </c>
      <c r="B54" s="1587" t="str">
        <f>'预评函-3'!A8</f>
        <v>房地产抵押价值</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估价师知悉的法定优先受偿款</v>
      </c>
    </row>
    <row r="58" spans="1:2" s="1585" customFormat="1" ht="15" thickTop="1">
      <c r="A58" s="1583" t="s">
        <v>1251</v>
      </c>
      <c r="B58" s="1584" t="str">
        <f>'预评函-4'!A12</f>
        <v>2.本《评估意见函》仅供金融机构进行内部审核使用，不做其他目的之用。</v>
      </c>
    </row>
    <row r="59" spans="1:2" s="1588" customFormat="1">
      <c r="A59" s="1586" t="s">
        <v>1252</v>
      </c>
      <c r="B59" s="1587" t="str">
        <f>'预评函-4'!A13</f>
        <v>3.抵押双方在办理抵押登记手续时，应使用本公司出具的正式《房地产评估报告》，特提醒报告使用者注意。</v>
      </c>
    </row>
    <row r="60" spans="1:2" s="1588" customFormat="1">
      <c r="A60" s="1586" t="s">
        <v>1253</v>
      </c>
      <c r="B60" s="1587" t="str">
        <f>'预评函-4'!A14</f>
        <v>4.本次评估估价师所知悉的法定优先受偿款情况说明如下：</v>
      </c>
    </row>
    <row r="61" spans="1:2" s="1588" customFormat="1">
      <c r="A61" s="1586" t="s">
        <v>1254</v>
      </c>
      <c r="B61" s="1587" t="str">
        <f>'预评函-4'!A15</f>
        <v>（1）根据估价对象《房屋所有权证》原件、《国有土地使用权》原件，截至价值时点，估价对象抵押权未见登记。</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故，本次评估不存在估价师知悉的法定优先受偿款</v>
      </c>
    </row>
    <row r="65" spans="1:2" s="1588" customFormat="1">
      <c r="A65" s="1586" t="s">
        <v>1257</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1269</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刘梅</v>
      </c>
    </row>
    <row r="71" spans="1:2">
      <c r="A71" s="1586" t="s">
        <v>1261</v>
      </c>
      <c r="B71" s="1587">
        <f ca="1">'预评函-4'!B4</f>
        <v>1120140022</v>
      </c>
    </row>
    <row r="72" spans="1:2">
      <c r="A72" s="1586" t="s">
        <v>1262</v>
      </c>
      <c r="B72" s="1595" t="str">
        <f>'预评函-4'!A5</f>
        <v>吴薇</v>
      </c>
    </row>
    <row r="73" spans="1:2" s="1582" customFormat="1" ht="15" thickBot="1">
      <c r="A73" s="1589" t="s">
        <v>1263</v>
      </c>
      <c r="B73" s="1590">
        <f ca="1">'预评函-4'!B5</f>
        <v>1419970001</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workbookViewId="0">
      <selection activeCell="Y22" sqref="Y22"/>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12" t="s">
        <v>3520</v>
      </c>
      <c r="C5" s="2010" t="s">
        <v>763</v>
      </c>
      <c r="F5" s="2011" t="s">
        <v>1732</v>
      </c>
      <c r="H5" s="2011" t="s">
        <v>1733</v>
      </c>
      <c r="I5" s="2011" t="s">
        <v>1734</v>
      </c>
      <c r="K5" s="2011" t="s">
        <v>1735</v>
      </c>
      <c r="L5" s="2011" t="s">
        <v>1735</v>
      </c>
      <c r="M5" s="2011" t="s">
        <v>1735</v>
      </c>
      <c r="N5" s="2011" t="s">
        <v>1735</v>
      </c>
      <c r="O5" s="2011" t="s">
        <v>1735</v>
      </c>
      <c r="P5" s="2011" t="s">
        <v>1735</v>
      </c>
      <c r="Q5" s="2011" t="s">
        <v>1735</v>
      </c>
      <c r="R5" s="2011" t="s">
        <v>1142</v>
      </c>
      <c r="S5" s="2011" t="s">
        <v>1735</v>
      </c>
      <c r="T5" s="2011" t="s">
        <v>1736</v>
      </c>
      <c r="U5" s="2011" t="s">
        <v>1735</v>
      </c>
      <c r="W5" s="2011" t="s">
        <v>1735</v>
      </c>
    </row>
    <row r="6" spans="1:23">
      <c r="A6" s="2009" t="s">
        <v>1737</v>
      </c>
      <c r="B6" s="2012" t="s">
        <v>1146</v>
      </c>
      <c r="C6" s="2015" t="s">
        <v>30</v>
      </c>
      <c r="F6" s="2011" t="s">
        <v>1733</v>
      </c>
      <c r="H6" s="2011" t="s">
        <v>1738</v>
      </c>
      <c r="I6" s="2011" t="s">
        <v>1739</v>
      </c>
      <c r="K6" s="2011" t="s">
        <v>1740</v>
      </c>
      <c r="L6" s="2011" t="s">
        <v>1740</v>
      </c>
      <c r="M6" s="2011" t="s">
        <v>1740</v>
      </c>
      <c r="N6" s="2011" t="s">
        <v>1740</v>
      </c>
      <c r="O6" s="2011" t="s">
        <v>1740</v>
      </c>
      <c r="P6" s="2011" t="s">
        <v>1740</v>
      </c>
      <c r="Q6" s="2011" t="s">
        <v>1740</v>
      </c>
      <c r="R6" s="2011" t="s">
        <v>1143</v>
      </c>
      <c r="S6" s="2011" t="s">
        <v>1740</v>
      </c>
      <c r="T6" s="2011"/>
      <c r="U6" s="2011" t="s">
        <v>1740</v>
      </c>
      <c r="W6" s="2011" t="s">
        <v>1740</v>
      </c>
    </row>
    <row r="7" spans="1:23">
      <c r="A7" s="2009" t="s">
        <v>1741</v>
      </c>
      <c r="B7" s="2012" t="s">
        <v>1147</v>
      </c>
      <c r="C7" s="2010" t="s">
        <v>31</v>
      </c>
      <c r="F7" s="2011" t="s">
        <v>1742</v>
      </c>
      <c r="H7" s="2011" t="s">
        <v>1743</v>
      </c>
      <c r="I7" s="2011" t="s">
        <v>1744</v>
      </c>
    </row>
    <row r="8" spans="1:23">
      <c r="A8" s="2009" t="s">
        <v>1745</v>
      </c>
      <c r="B8" s="2009" t="s">
        <v>1746</v>
      </c>
      <c r="C8" s="2010" t="s">
        <v>764</v>
      </c>
      <c r="F8" s="2011" t="s">
        <v>1747</v>
      </c>
      <c r="H8" s="2011"/>
      <c r="I8" s="2011" t="s">
        <v>1748</v>
      </c>
    </row>
    <row r="9" spans="1:23">
      <c r="A9" s="2009" t="s">
        <v>1749</v>
      </c>
      <c r="B9" s="2009" t="s">
        <v>1750</v>
      </c>
      <c r="C9" s="2010" t="s">
        <v>765</v>
      </c>
      <c r="F9" s="2011" t="s">
        <v>1751</v>
      </c>
      <c r="H9" s="2011"/>
    </row>
    <row r="10" spans="1:23">
      <c r="A10" s="2009" t="s">
        <v>1752</v>
      </c>
      <c r="B10" s="2009" t="s">
        <v>1753</v>
      </c>
      <c r="C10" s="2010" t="s">
        <v>766</v>
      </c>
      <c r="F10" s="2011" t="s">
        <v>16</v>
      </c>
    </row>
    <row r="11" spans="1:23">
      <c r="A11" s="2009" t="s">
        <v>1754</v>
      </c>
      <c r="B11" s="2009" t="s">
        <v>1755</v>
      </c>
      <c r="C11" s="2010" t="s">
        <v>767</v>
      </c>
    </row>
    <row r="12" spans="1:23">
      <c r="A12" s="2009" t="s">
        <v>1756</v>
      </c>
      <c r="B12" s="2009" t="s">
        <v>1757</v>
      </c>
      <c r="C12" s="2010" t="s">
        <v>768</v>
      </c>
    </row>
    <row r="13" spans="1:23">
      <c r="A13" s="2009" t="s">
        <v>1758</v>
      </c>
      <c r="B13" s="2009" t="s">
        <v>1759</v>
      </c>
      <c r="C13" s="2010" t="s">
        <v>769</v>
      </c>
    </row>
    <row r="14" spans="1:23">
      <c r="A14" s="2009" t="s">
        <v>1760</v>
      </c>
      <c r="B14" s="2009" t="s">
        <v>1761</v>
      </c>
      <c r="C14" s="2011" t="s">
        <v>16</v>
      </c>
    </row>
    <row r="15" spans="1:23">
      <c r="A15" s="2009" t="s">
        <v>1762</v>
      </c>
      <c r="B15" s="2009" t="s">
        <v>1763</v>
      </c>
      <c r="C15" s="2010"/>
    </row>
    <row r="16" spans="1:23">
      <c r="A16" s="2009" t="s">
        <v>1764</v>
      </c>
      <c r="B16" s="2009" t="s">
        <v>756</v>
      </c>
      <c r="C16" s="2010"/>
    </row>
    <row r="17" spans="1:3">
      <c r="A17" s="2009" t="s">
        <v>1765</v>
      </c>
      <c r="B17" s="2009" t="s">
        <v>3121</v>
      </c>
      <c r="C17" s="2010"/>
    </row>
    <row r="18" spans="1:3">
      <c r="A18" s="2009" t="s">
        <v>1766</v>
      </c>
      <c r="B18" s="2009" t="s">
        <v>3123</v>
      </c>
      <c r="C18" s="2010"/>
    </row>
    <row r="19" spans="1:3">
      <c r="A19" s="2009" t="s">
        <v>1767</v>
      </c>
      <c r="B19" s="2009" t="s">
        <v>3531</v>
      </c>
      <c r="C19" s="2010"/>
    </row>
    <row r="20" spans="1:3">
      <c r="A20" s="2009" t="s">
        <v>1768</v>
      </c>
      <c r="B20" s="2009" t="s">
        <v>757</v>
      </c>
      <c r="C20" s="2010"/>
    </row>
    <row r="21" spans="1:3">
      <c r="A21" s="2009" t="s">
        <v>1769</v>
      </c>
      <c r="B21" s="2009" t="s">
        <v>757</v>
      </c>
      <c r="C21" s="2010"/>
    </row>
    <row r="22" spans="1:3">
      <c r="A22" s="2009" t="s">
        <v>1770</v>
      </c>
      <c r="B22" s="2009" t="s">
        <v>757</v>
      </c>
      <c r="C22" s="2010"/>
    </row>
    <row r="23" spans="1:3">
      <c r="A23" s="2009" t="s">
        <v>1771</v>
      </c>
      <c r="B23" s="2009" t="s">
        <v>757</v>
      </c>
      <c r="C23" s="2010"/>
    </row>
    <row r="24" spans="1:3">
      <c r="A24" s="2009" t="s">
        <v>1772</v>
      </c>
      <c r="B24" s="2009" t="s">
        <v>757</v>
      </c>
      <c r="C24" s="2010"/>
    </row>
    <row r="25" spans="1:3">
      <c r="A25" s="2009" t="s">
        <v>1773</v>
      </c>
      <c r="B25" s="2009" t="s">
        <v>757</v>
      </c>
      <c r="C25" s="2010"/>
    </row>
    <row r="26" spans="1:3">
      <c r="A26" s="2009" t="s">
        <v>1774</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滨州新湖房地产开发有限公司拟使用山东省滨州市渤海十一路以东、盛华路以南出让国有建设用地使用权及在建建筑物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111"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17日，估价对象规划用途为住宅、商业、地下仓储、地下车库土地取得方式为出让，出让国有建设用地使用权剩余土地使用年限为XX年(多用途剩余年限尾数不同时，可只体现小数点后一位)，假定未设立法定优先受偿款下的房地产市场价值。</v>
      </c>
    </row>
    <row r="54" spans="1:4">
      <c r="A54" s="3111"/>
      <c r="B54" s="2017" t="s">
        <v>864</v>
      </c>
      <c r="C54" s="2014" t="s">
        <v>1281</v>
      </c>
    </row>
    <row r="55" spans="1:4">
      <c r="A55" s="3111"/>
      <c r="B55" s="2017" t="s">
        <v>865</v>
      </c>
      <c r="C55" s="2014" t="s">
        <v>1282</v>
      </c>
    </row>
    <row r="56" spans="1:4">
      <c r="A56" s="3111"/>
      <c r="B56" s="2017" t="s">
        <v>866</v>
      </c>
      <c r="C56" s="2014" t="s">
        <v>1286</v>
      </c>
    </row>
    <row r="57" spans="1:4">
      <c r="A57" s="3111"/>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B8" sqref="B8"/>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8.875" style="2148" customWidth="1"/>
    <col min="10" max="10" width="10" style="2027" customWidth="1"/>
    <col min="11" max="11" width="10" style="2149" customWidth="1"/>
    <col min="12" max="13" width="10" style="2150" customWidth="1"/>
    <col min="14" max="14" width="10" style="2027" customWidth="1"/>
    <col min="15" max="15" width="10" style="2148" customWidth="1"/>
    <col min="16" max="17" width="10" style="2027"/>
    <col min="18" max="18" width="10" style="2027" customWidth="1"/>
    <col min="19" max="16384" width="10" style="2027"/>
  </cols>
  <sheetData>
    <row r="1" spans="1:19" ht="38.25" customHeight="1" thickBot="1">
      <c r="A1" s="2020" t="s">
        <v>1775</v>
      </c>
      <c r="B1" s="3112" t="str">
        <f>IF(B10="北京市","北京市",C10)&amp;F10&amp;IF(结果表!G1="在建","出让国有建设用地使用权及在建建筑物",IF(结果表!G1="土地","出让国有建设用地使用权",))&amp;B9&amp;"预评估"</f>
        <v>山东省滨州市渤海十一路以东、盛华路以南出让国有建设用地使用权及在建建筑物房地产抵押价值预评估</v>
      </c>
      <c r="C1" s="3113"/>
      <c r="D1" s="3113"/>
      <c r="E1" s="3113"/>
      <c r="F1" s="3113"/>
      <c r="G1" s="3113"/>
      <c r="H1" s="3113"/>
      <c r="I1" s="3114"/>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山东省滨州市渤海十一路以东、盛华路以南出让国有建设用地使用权及在建建筑物房地产抵押价值</v>
      </c>
    </row>
    <row r="2" spans="1:19" ht="18" customHeight="1">
      <c r="A2" s="2021" t="s">
        <v>1776</v>
      </c>
      <c r="B2" s="1037"/>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山东省滨州市渤海十一路以东、盛华路以南出让国有建设用地使用权及在建建筑物房地产</v>
      </c>
    </row>
    <row r="3" spans="1:19" ht="18" customHeight="1">
      <c r="A3" s="2030" t="s">
        <v>1777</v>
      </c>
      <c r="B3" s="2031">
        <v>43207</v>
      </c>
      <c r="C3" s="2032" t="s">
        <v>1778</v>
      </c>
      <c r="D3" s="2031">
        <v>43207</v>
      </c>
      <c r="E3" s="2021"/>
      <c r="F3" s="2021"/>
      <c r="G3" s="2021"/>
      <c r="H3" s="2021"/>
      <c r="I3" s="2021"/>
      <c r="J3" s="2021"/>
      <c r="K3" s="2022"/>
      <c r="L3" s="2023"/>
      <c r="M3" s="2023"/>
      <c r="N3" s="2024"/>
      <c r="O3" s="2025"/>
      <c r="P3" s="2024"/>
      <c r="Q3" s="2024"/>
      <c r="R3" s="2024"/>
      <c r="S3" s="2026"/>
    </row>
    <row r="4" spans="1:19" ht="18" customHeight="1" thickBot="1">
      <c r="A4" s="2033" t="s">
        <v>1779</v>
      </c>
      <c r="B4" s="2034" t="s">
        <v>3148</v>
      </c>
      <c r="C4" s="1035">
        <f ca="1">SUMIF(注册房地产估价师,B4,估价师及机构信息!B3:B24)</f>
        <v>1120140022</v>
      </c>
      <c r="D4" s="2034" t="s">
        <v>3149</v>
      </c>
      <c r="E4" s="1036">
        <f ca="1">SUMIF(注册房地产估价师,D4,估价师及机构信息!B3:B24)</f>
        <v>1419970001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刘梅（注册号：1120140022)、吴薇（注册号：1419970001)</v>
      </c>
      <c r="L4" s="2023"/>
      <c r="M4" s="2023"/>
      <c r="N4" s="2024"/>
      <c r="O4" s="2025"/>
      <c r="P4" s="2024"/>
      <c r="Q4" s="2024"/>
      <c r="R4" s="2024"/>
      <c r="S4" s="2026"/>
    </row>
    <row r="5" spans="1:19" ht="18" customHeight="1" thickTop="1">
      <c r="A5" s="2039" t="s">
        <v>1780</v>
      </c>
      <c r="B5" s="3013" t="s">
        <v>3151</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1781</v>
      </c>
      <c r="B6" s="3014" t="s">
        <v>3544</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1782</v>
      </c>
      <c r="B7" s="3014" t="s">
        <v>3152</v>
      </c>
      <c r="C7" s="2043"/>
      <c r="D7" s="2044"/>
      <c r="E7" s="2029"/>
      <c r="F7" s="2037"/>
      <c r="G7" s="2037"/>
      <c r="H7" s="2037"/>
      <c r="I7" s="2037"/>
      <c r="J7" s="2037"/>
      <c r="K7" s="2046"/>
      <c r="L7" s="2023"/>
      <c r="M7" s="2023"/>
      <c r="N7" s="2024"/>
      <c r="O7" s="2025"/>
      <c r="P7" s="2024"/>
      <c r="Q7" s="2024"/>
      <c r="R7" s="2024"/>
    </row>
    <row r="8" spans="1:19" ht="18" customHeight="1">
      <c r="A8" s="2042" t="s">
        <v>1783</v>
      </c>
      <c r="B8" s="2047" t="s">
        <v>3026</v>
      </c>
      <c r="C8" s="2048"/>
      <c r="D8" s="3115" t="s">
        <v>1784</v>
      </c>
      <c r="E8" s="2049" t="s">
        <v>3027</v>
      </c>
      <c r="F8" s="2050"/>
      <c r="G8" s="2021"/>
      <c r="H8" s="2021"/>
      <c r="I8" s="2021"/>
      <c r="J8" s="2037"/>
      <c r="K8" s="2038"/>
      <c r="L8" s="2023"/>
      <c r="M8" s="2023"/>
      <c r="N8" s="2024"/>
      <c r="O8" s="2025"/>
      <c r="P8" s="2024"/>
      <c r="Q8" s="2024"/>
      <c r="R8" s="2024"/>
    </row>
    <row r="9" spans="1:19" ht="18" customHeight="1" thickBot="1">
      <c r="A9" s="2035" t="s">
        <v>1785</v>
      </c>
      <c r="B9" s="2051" t="s">
        <v>3027</v>
      </c>
      <c r="C9" s="2052"/>
      <c r="D9" s="3116"/>
      <c r="E9" s="2051"/>
      <c r="F9" s="2053"/>
      <c r="G9" s="2054"/>
      <c r="H9" s="2054"/>
      <c r="I9" s="2054"/>
      <c r="J9" s="2037"/>
      <c r="K9" s="2046"/>
      <c r="L9" s="2023"/>
      <c r="M9" s="2023"/>
      <c r="N9" s="2024"/>
      <c r="O9" s="2025"/>
      <c r="P9" s="2024"/>
      <c r="Q9" s="2024"/>
      <c r="R9" s="2024"/>
    </row>
    <row r="10" spans="1:19" ht="18" customHeight="1" thickTop="1">
      <c r="A10" s="2055" t="s">
        <v>1786</v>
      </c>
      <c r="B10" s="2056" t="s">
        <v>3153</v>
      </c>
      <c r="C10" s="3015" t="s">
        <v>3154</v>
      </c>
      <c r="D10" s="2041"/>
      <c r="E10" s="2057" t="s">
        <v>1787</v>
      </c>
      <c r="F10" s="3012" t="s">
        <v>3543</v>
      </c>
      <c r="G10" s="2058"/>
      <c r="H10" s="2059"/>
      <c r="I10" s="2041"/>
      <c r="J10" s="2037"/>
      <c r="K10" s="2046"/>
      <c r="L10" s="2023"/>
      <c r="M10" s="2023"/>
      <c r="N10" s="2024"/>
      <c r="O10" s="2025"/>
      <c r="P10" s="2024"/>
      <c r="Q10" s="2024"/>
      <c r="R10" s="2024"/>
    </row>
    <row r="11" spans="1:19" ht="18" customHeight="1">
      <c r="A11" s="2060" t="s">
        <v>1788</v>
      </c>
      <c r="B11" s="2061" t="s">
        <v>3028</v>
      </c>
      <c r="C11" s="2062"/>
      <c r="D11" s="2063"/>
      <c r="E11" s="2037"/>
      <c r="F11" s="2037"/>
      <c r="G11" s="2037"/>
      <c r="H11" s="2037"/>
      <c r="I11" s="2037"/>
      <c r="J11" s="2037"/>
      <c r="K11" s="2046"/>
      <c r="L11" s="2023"/>
      <c r="M11" s="2023"/>
      <c r="N11" s="2024"/>
      <c r="O11" s="2025"/>
      <c r="P11" s="2024"/>
      <c r="Q11" s="2024"/>
      <c r="R11" s="2024"/>
    </row>
    <row r="12" spans="1:19" ht="18" customHeight="1">
      <c r="A12" s="2064" t="s">
        <v>1789</v>
      </c>
      <c r="B12" s="2061" t="s">
        <v>3029</v>
      </c>
      <c r="C12" s="2065" t="s">
        <v>1790</v>
      </c>
      <c r="D12" s="2066" t="s">
        <v>1791</v>
      </c>
      <c r="E12" s="2066" t="s">
        <v>1792</v>
      </c>
      <c r="F12" s="2066" t="s">
        <v>1793</v>
      </c>
      <c r="G12" s="2066" t="s">
        <v>1794</v>
      </c>
      <c r="H12" s="2066" t="s">
        <v>1795</v>
      </c>
      <c r="I12" s="2066" t="s">
        <v>1796</v>
      </c>
      <c r="J12" s="2037"/>
      <c r="K12" s="2046"/>
      <c r="L12" s="2023"/>
      <c r="M12" s="2023"/>
      <c r="N12" s="2024"/>
      <c r="O12" s="2025"/>
      <c r="P12" s="2024"/>
      <c r="Q12" s="2024"/>
      <c r="R12" s="2024"/>
    </row>
    <row r="13" spans="1:19" ht="18" customHeight="1">
      <c r="A13" s="2067"/>
      <c r="B13" s="2068"/>
      <c r="C13" s="2069" t="s">
        <v>1797</v>
      </c>
      <c r="D13" s="2070">
        <v>65462</v>
      </c>
      <c r="E13" s="2070">
        <v>54505</v>
      </c>
      <c r="F13" s="2070"/>
      <c r="G13" s="2070">
        <v>58157</v>
      </c>
      <c r="H13" s="2070">
        <v>58157</v>
      </c>
      <c r="I13" s="1045"/>
      <c r="J13" s="2037"/>
      <c r="K13" s="2046"/>
      <c r="L13" s="2023"/>
      <c r="M13" s="2023"/>
      <c r="N13" s="2024"/>
      <c r="O13" s="2025"/>
      <c r="P13" s="2024"/>
      <c r="Q13" s="2024"/>
      <c r="R13" s="2024"/>
    </row>
    <row r="14" spans="1:19" ht="18" customHeight="1">
      <c r="A14" s="2067"/>
      <c r="B14" s="2068"/>
      <c r="C14" s="2069" t="s">
        <v>1798</v>
      </c>
      <c r="D14" s="1048">
        <v>70</v>
      </c>
      <c r="E14" s="1048">
        <v>40</v>
      </c>
      <c r="F14" s="1048"/>
      <c r="G14" s="1048">
        <v>50</v>
      </c>
      <c r="H14" s="1048">
        <v>50</v>
      </c>
      <c r="I14" s="1048"/>
      <c r="J14" s="2037"/>
      <c r="K14" s="2071"/>
      <c r="L14" s="2023"/>
      <c r="M14" s="2023"/>
      <c r="N14" s="2024"/>
      <c r="O14" s="2025"/>
      <c r="P14" s="2024"/>
      <c r="Q14" s="2024"/>
      <c r="R14" s="2024"/>
    </row>
    <row r="15" spans="1:19" ht="18" customHeight="1">
      <c r="A15" s="2055"/>
      <c r="B15" s="2072"/>
      <c r="C15" s="2069" t="s">
        <v>1799</v>
      </c>
      <c r="D15" s="1047">
        <f>IF(B12="出让",IF(D13="","",ROUNDDOWN(MIN((D13-$D$3)/365,D14),2)),D14)</f>
        <v>60.97</v>
      </c>
      <c r="E15" s="1047">
        <f>IF(B12="出让",IF(E13="","",ROUNDDOWN(MIN((E13-$D$3)/365,E14),2)),E14)</f>
        <v>30.95</v>
      </c>
      <c r="F15" s="1047" t="str">
        <f>IF(B12="出让",IF(F13="","",ROUNDDOWN(MIN((F13-$D$3)/365,F14),2)),F14)</f>
        <v/>
      </c>
      <c r="G15" s="1047">
        <f>IF(B12="出让",IF(G13="","",ROUNDDOWN(MIN((G13-$D$3)/365,G14),2)),G14)</f>
        <v>40.950000000000003</v>
      </c>
      <c r="H15" s="1047">
        <f>IF(B12="出让",IF(H13="","",ROUNDDOWN(MIN((H13-$D$3)/365,H14),2)),H14)</f>
        <v>40.950000000000003</v>
      </c>
      <c r="I15" s="1047" t="str">
        <f>IF(B12="出让",IF(I13="","",ROUNDDOWN(MIN((I13-$D$3)/365,I14),2)),I14)</f>
        <v/>
      </c>
      <c r="J15" s="2037"/>
      <c r="K15" s="2073"/>
      <c r="L15" s="2074"/>
      <c r="M15" s="2074"/>
      <c r="N15" s="2075"/>
      <c r="O15" s="2074"/>
      <c r="P15" s="2075"/>
      <c r="Q15" s="2024"/>
      <c r="R15" s="2024"/>
    </row>
    <row r="16" spans="1:19" ht="30.75" customHeight="1">
      <c r="A16" s="2057" t="s">
        <v>1800</v>
      </c>
      <c r="B16" s="3122" t="s">
        <v>3167</v>
      </c>
      <c r="C16" s="3123"/>
      <c r="D16" s="3124"/>
      <c r="E16" s="2076" t="s">
        <v>1801</v>
      </c>
      <c r="F16" s="3125" t="s">
        <v>3168</v>
      </c>
      <c r="G16" s="3126"/>
      <c r="H16" s="3126"/>
      <c r="I16" s="3127"/>
      <c r="J16" s="2024"/>
      <c r="K16" s="2073"/>
      <c r="L16" s="2074"/>
      <c r="M16" s="2074"/>
      <c r="N16" s="2075"/>
      <c r="O16" s="2074"/>
      <c r="P16" s="2075"/>
      <c r="Q16" s="2024"/>
      <c r="R16" s="2024"/>
    </row>
    <row r="17" spans="1:22" ht="18" customHeight="1">
      <c r="A17" s="2077" t="s">
        <v>1802</v>
      </c>
      <c r="B17" s="2030" t="s">
        <v>1803</v>
      </c>
      <c r="C17" s="1052">
        <f>'数据-汇总表'!E3</f>
        <v>72085.949999999983</v>
      </c>
      <c r="D17" s="2078" t="s">
        <v>1804</v>
      </c>
      <c r="E17" s="3128"/>
      <c r="F17" s="3129"/>
      <c r="G17" s="3129"/>
      <c r="H17" s="3129"/>
      <c r="I17" s="3130"/>
      <c r="J17" s="2024"/>
      <c r="K17" s="2079"/>
      <c r="L17" s="2074"/>
      <c r="M17" s="2074"/>
      <c r="N17" s="2075"/>
      <c r="O17" s="2074"/>
      <c r="P17" s="2075"/>
      <c r="Q17" s="2024"/>
      <c r="R17" s="2024"/>
      <c r="S17" s="2024"/>
      <c r="T17" s="2024"/>
      <c r="U17" s="2024"/>
      <c r="V17" s="2024"/>
    </row>
    <row r="18" spans="1:22" ht="36" customHeight="1" thickBot="1">
      <c r="A18" s="2080" t="s">
        <v>70</v>
      </c>
      <c r="B18" s="2033" t="s">
        <v>1805</v>
      </c>
      <c r="C18" s="1440">
        <f>'数据-汇总表'!D3</f>
        <v>57352.9</v>
      </c>
      <c r="D18" s="2081" t="s">
        <v>1804</v>
      </c>
      <c r="E18" s="3131"/>
      <c r="F18" s="3132"/>
      <c r="G18" s="3132"/>
      <c r="H18" s="3132"/>
      <c r="I18" s="3133"/>
      <c r="J18" s="2024"/>
      <c r="K18" s="2079"/>
      <c r="L18" s="2074"/>
      <c r="M18" s="2074"/>
      <c r="N18" s="2075"/>
      <c r="O18" s="2074"/>
      <c r="P18" s="2075"/>
      <c r="Q18" s="2024"/>
      <c r="R18" s="2024"/>
      <c r="S18" s="2024"/>
      <c r="T18" s="2024"/>
      <c r="U18" s="2024"/>
      <c r="V18" s="2024"/>
    </row>
    <row r="19" spans="1:22" ht="37.5" customHeight="1" thickTop="1" thickBot="1">
      <c r="A19" s="371" t="s">
        <v>1806</v>
      </c>
      <c r="B19" s="350" t="s">
        <v>1807</v>
      </c>
      <c r="C19" s="2082" t="s">
        <v>3030</v>
      </c>
      <c r="D19" s="2083" t="s">
        <v>1808</v>
      </c>
      <c r="E19" s="2084" t="s">
        <v>70</v>
      </c>
      <c r="F19" s="2085" t="str">
        <f>IF(AND(C19="是",E19="否"),"是否提供他项权证或相关说明","")</f>
        <v/>
      </c>
      <c r="G19" s="2086"/>
      <c r="H19" s="2037"/>
      <c r="I19" s="2037"/>
      <c r="J19" s="2037"/>
      <c r="K19" s="2046"/>
      <c r="L19" s="2023"/>
      <c r="M19" s="2023"/>
      <c r="N19" s="2075"/>
      <c r="O19" s="2074"/>
      <c r="P19" s="2075"/>
      <c r="Q19" s="2024"/>
      <c r="R19" s="2024"/>
      <c r="S19" s="2024"/>
      <c r="T19" s="2024"/>
      <c r="U19" s="2024"/>
      <c r="V19" s="2024"/>
    </row>
    <row r="20" spans="1:22" ht="18" customHeight="1">
      <c r="A20" s="2087" t="s">
        <v>1809</v>
      </c>
      <c r="B20" s="3118" t="s">
        <v>1810</v>
      </c>
      <c r="C20" s="3119"/>
      <c r="D20" s="3120" t="s">
        <v>1811</v>
      </c>
      <c r="E20" s="3121"/>
      <c r="F20" s="2088" t="s">
        <v>1812</v>
      </c>
      <c r="G20" s="2037"/>
      <c r="H20" s="2037"/>
      <c r="I20" s="2037"/>
      <c r="J20" s="2037"/>
      <c r="K20" s="3117" t="s">
        <v>1813</v>
      </c>
      <c r="L20" s="74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3"/>
      <c r="N20" s="2075"/>
      <c r="O20" s="2074"/>
      <c r="P20" s="2075"/>
      <c r="Q20" s="2024"/>
      <c r="R20" s="2024"/>
      <c r="S20" s="2024"/>
      <c r="T20" s="2024"/>
      <c r="U20" s="2024"/>
      <c r="V20" s="2024"/>
    </row>
    <row r="21" spans="1:22" ht="24.75" customHeight="1">
      <c r="A21" s="2087"/>
      <c r="B21" s="2089" t="s">
        <v>1814</v>
      </c>
      <c r="C21" s="2090" t="s">
        <v>3155</v>
      </c>
      <c r="D21" s="2091" t="s">
        <v>1815</v>
      </c>
      <c r="E21" s="2092" t="s">
        <v>70</v>
      </c>
      <c r="F21" s="2093"/>
      <c r="G21" s="2037"/>
      <c r="H21" s="2037"/>
      <c r="I21" s="2037"/>
      <c r="J21" s="2037"/>
      <c r="K21" s="3117"/>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5"/>
      <c r="O21" s="2074"/>
      <c r="P21" s="2075"/>
      <c r="Q21" s="2024"/>
      <c r="R21" s="2024"/>
      <c r="S21" s="2024"/>
      <c r="T21" s="2024"/>
      <c r="U21" s="2024"/>
      <c r="V21" s="2024"/>
    </row>
    <row r="22" spans="1:22" ht="24.75" customHeight="1" thickBot="1">
      <c r="A22" s="2087"/>
      <c r="B22" s="2094" t="s">
        <v>1816</v>
      </c>
      <c r="C22" s="2090" t="s">
        <v>3155</v>
      </c>
      <c r="D22" s="2021"/>
      <c r="E22" s="2021"/>
      <c r="F22" s="2095"/>
      <c r="G22" s="2037"/>
      <c r="H22" s="2037"/>
      <c r="I22" s="2037"/>
      <c r="J22" s="2037"/>
      <c r="K22" s="3117"/>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5"/>
      <c r="O22" s="2074"/>
      <c r="P22" s="2075"/>
      <c r="Q22" s="2024"/>
      <c r="R22" s="2024"/>
      <c r="S22" s="2024"/>
      <c r="T22" s="2024"/>
      <c r="U22" s="2024"/>
      <c r="V22" s="2024"/>
    </row>
    <row r="23" spans="1:22" ht="18" customHeight="1">
      <c r="A23" s="2096" t="s">
        <v>1817</v>
      </c>
      <c r="B23" s="181" t="s">
        <v>1818</v>
      </c>
      <c r="C23" s="2097"/>
      <c r="D23" s="2098" t="s">
        <v>1818</v>
      </c>
      <c r="E23" s="2099"/>
      <c r="F23" s="2095"/>
      <c r="G23" s="2037"/>
      <c r="H23" s="2037"/>
      <c r="I23" s="2037"/>
      <c r="J23" s="2037"/>
      <c r="K23" s="2100"/>
      <c r="L23" s="744"/>
      <c r="M23" s="2023"/>
      <c r="N23" s="2075"/>
      <c r="O23" s="2074"/>
      <c r="P23" s="2075"/>
      <c r="Q23" s="2024"/>
      <c r="R23" s="2024"/>
      <c r="S23" s="2024"/>
      <c r="T23" s="2024"/>
      <c r="U23" s="2024"/>
      <c r="V23" s="2024"/>
    </row>
    <row r="24" spans="1:22" ht="18" customHeight="1">
      <c r="A24" s="2101"/>
      <c r="B24" s="181" t="s">
        <v>1819</v>
      </c>
      <c r="C24" s="2102"/>
      <c r="D24" s="2096" t="s">
        <v>1819</v>
      </c>
      <c r="E24" s="2103"/>
      <c r="F24" s="2095"/>
      <c r="G24" s="2037"/>
      <c r="H24" s="2037"/>
      <c r="I24" s="2037"/>
      <c r="J24" s="2037"/>
      <c r="K24" s="2100"/>
      <c r="L24" s="744"/>
      <c r="M24" s="2023"/>
      <c r="N24" s="2075"/>
      <c r="O24" s="2074"/>
      <c r="P24" s="2075"/>
      <c r="Q24" s="2024"/>
      <c r="R24" s="2024"/>
      <c r="S24" s="2024"/>
      <c r="T24" s="2024"/>
      <c r="U24" s="2024"/>
      <c r="V24" s="2024"/>
    </row>
    <row r="25" spans="1:22" ht="18" customHeight="1">
      <c r="A25" s="2101"/>
      <c r="B25" s="181" t="s">
        <v>1820</v>
      </c>
      <c r="C25" s="2102"/>
      <c r="D25" s="2096" t="s">
        <v>1820</v>
      </c>
      <c r="E25" s="2103"/>
      <c r="F25" s="2095"/>
      <c r="G25" s="2037"/>
      <c r="H25" s="2037"/>
      <c r="I25" s="2037"/>
      <c r="J25" s="2037"/>
      <c r="K25" s="2046"/>
      <c r="L25" s="2023"/>
      <c r="M25" s="2023"/>
      <c r="N25" s="2075"/>
      <c r="O25" s="2074"/>
      <c r="P25" s="2075"/>
      <c r="Q25" s="2024"/>
      <c r="R25" s="2024"/>
      <c r="S25" s="2024"/>
      <c r="T25" s="2024"/>
      <c r="U25" s="2024"/>
      <c r="V25" s="2024"/>
    </row>
    <row r="26" spans="1:22" ht="18" customHeight="1" thickBot="1">
      <c r="A26" s="2104"/>
      <c r="B26" s="2105" t="s">
        <v>1821</v>
      </c>
      <c r="C26" s="2106"/>
      <c r="D26" s="2107" t="s">
        <v>1822</v>
      </c>
      <c r="E26" s="2108"/>
      <c r="F26" s="2109"/>
      <c r="G26" s="2054"/>
      <c r="H26" s="2054"/>
      <c r="I26" s="2054"/>
      <c r="J26" s="2037"/>
      <c r="K26" s="2046"/>
      <c r="L26" s="2023"/>
      <c r="M26" s="2023"/>
      <c r="N26" s="2075"/>
      <c r="O26" s="2074"/>
      <c r="P26" s="2075"/>
      <c r="Q26" s="2024"/>
      <c r="R26" s="2024"/>
      <c r="S26" s="2024"/>
      <c r="T26" s="2024"/>
      <c r="U26" s="2024"/>
      <c r="V26" s="2024"/>
    </row>
    <row r="27" spans="1:22" ht="18" customHeight="1" thickTop="1">
      <c r="A27" s="3135" t="s">
        <v>1823</v>
      </c>
      <c r="B27" s="2055" t="s">
        <v>1824</v>
      </c>
      <c r="C27" s="2110" t="s">
        <v>3156</v>
      </c>
      <c r="D27" s="2111"/>
      <c r="E27" s="2037"/>
      <c r="F27" s="2037"/>
      <c r="G27" s="2037"/>
      <c r="H27" s="2037"/>
      <c r="I27" s="2037"/>
      <c r="J27" s="2024"/>
      <c r="K27" s="2073"/>
      <c r="L27" s="2074"/>
      <c r="M27" s="2074"/>
      <c r="N27" s="2075"/>
      <c r="O27" s="2074"/>
      <c r="P27" s="2075"/>
      <c r="Q27" s="2024"/>
      <c r="R27" s="2024"/>
      <c r="S27" s="2024"/>
      <c r="T27" s="2024"/>
      <c r="U27" s="2024"/>
      <c r="V27" s="2024"/>
    </row>
    <row r="28" spans="1:22" ht="18" customHeight="1">
      <c r="A28" s="3135"/>
      <c r="B28" s="2030" t="s">
        <v>1825</v>
      </c>
      <c r="C28" s="2112" t="s">
        <v>3032</v>
      </c>
      <c r="D28" s="2113"/>
      <c r="E28" s="2037"/>
      <c r="F28" s="2037"/>
      <c r="G28" s="2037"/>
      <c r="H28" s="2037"/>
      <c r="I28" s="2037"/>
      <c r="J28" s="2024"/>
      <c r="K28" s="2114"/>
      <c r="L28" s="2023"/>
      <c r="M28" s="2023"/>
      <c r="N28" s="2024"/>
      <c r="O28" s="2025"/>
      <c r="P28" s="2024"/>
      <c r="Q28" s="2024"/>
      <c r="R28" s="2024"/>
      <c r="S28" s="2024"/>
      <c r="T28" s="2024"/>
      <c r="U28" s="2024"/>
      <c r="V28" s="2024"/>
    </row>
    <row r="29" spans="1:22" ht="18" customHeight="1">
      <c r="A29" s="3135"/>
      <c r="B29" s="2030" t="s">
        <v>1826</v>
      </c>
      <c r="C29" s="2115" t="s">
        <v>3030</v>
      </c>
      <c r="D29" s="2116"/>
      <c r="E29" s="2037"/>
      <c r="F29" s="2037"/>
      <c r="G29" s="2037"/>
      <c r="H29" s="2037"/>
      <c r="I29" s="2037"/>
      <c r="J29" s="2024"/>
      <c r="K29" s="2114"/>
      <c r="L29" s="2023"/>
      <c r="M29" s="2023"/>
      <c r="N29" s="2024"/>
      <c r="O29" s="2025"/>
      <c r="P29" s="2024"/>
      <c r="Q29" s="2024"/>
      <c r="R29" s="2024"/>
      <c r="S29" s="2024"/>
      <c r="T29" s="2024"/>
      <c r="U29" s="2024"/>
      <c r="V29" s="2024"/>
    </row>
    <row r="30" spans="1:22" ht="18" customHeight="1">
      <c r="A30" s="3136"/>
      <c r="B30" s="2030" t="s">
        <v>1827</v>
      </c>
      <c r="C30" s="3137"/>
      <c r="D30" s="3138"/>
      <c r="E30" s="2037"/>
      <c r="F30" s="2037"/>
      <c r="G30" s="2037"/>
      <c r="H30" s="2037"/>
      <c r="I30" s="2037"/>
      <c r="J30" s="2024"/>
      <c r="K30" s="2114"/>
      <c r="L30" s="2023"/>
      <c r="M30" s="2023"/>
      <c r="N30" s="2024"/>
      <c r="O30" s="2025"/>
      <c r="P30" s="2024"/>
      <c r="Q30" s="2024"/>
      <c r="R30" s="2024"/>
      <c r="S30" s="2024"/>
      <c r="T30" s="2024"/>
      <c r="U30" s="2024"/>
      <c r="V30" s="2024"/>
    </row>
    <row r="31" spans="1:22" ht="18" customHeight="1">
      <c r="A31" s="3139" t="s">
        <v>1828</v>
      </c>
      <c r="B31" s="2117" t="s">
        <v>3033</v>
      </c>
      <c r="C31" s="2118" t="str">
        <f>IF(B31="现房","成新及维护状况正常否",IF(B31="在建","工程状态是否正常",IF(B31="土地","是否闲置","-")))</f>
        <v>成新及维护状况正常否</v>
      </c>
      <c r="D31" s="2119"/>
      <c r="E31" s="3016" t="s">
        <v>3159</v>
      </c>
      <c r="F31" s="2037"/>
      <c r="G31" s="2037"/>
      <c r="H31" s="2037"/>
      <c r="I31" s="2037"/>
      <c r="J31" s="2037"/>
      <c r="K31" s="2045"/>
      <c r="L31" s="2023"/>
      <c r="M31" s="2023"/>
      <c r="N31" s="2024"/>
      <c r="O31" s="2025"/>
      <c r="P31" s="2024"/>
      <c r="Q31" s="2024"/>
      <c r="R31" s="2024"/>
      <c r="S31" s="2024"/>
      <c r="T31" s="2024"/>
      <c r="U31" s="2024"/>
      <c r="V31" s="2024"/>
    </row>
    <row r="32" spans="1:22" ht="18" customHeight="1">
      <c r="A32" s="3140"/>
      <c r="B32" s="2117" t="s">
        <v>3157</v>
      </c>
      <c r="C32" s="2118" t="str">
        <f>IF(B32="现房","成新及维护状况是否正常",IF(B32="在建","工程状态是否正常",IF(B32="土地","是否闲置","-")))</f>
        <v>工程状态是否正常</v>
      </c>
      <c r="D32" s="2119"/>
      <c r="E32" s="3016" t="s">
        <v>3160</v>
      </c>
      <c r="F32" s="2037"/>
      <c r="G32" s="2037"/>
      <c r="H32" s="2037"/>
      <c r="I32" s="2037"/>
      <c r="J32" s="2037"/>
      <c r="K32" s="2046"/>
      <c r="L32" s="2023"/>
      <c r="M32" s="2023"/>
      <c r="N32" s="2024"/>
      <c r="O32" s="2025"/>
      <c r="P32" s="2024"/>
      <c r="Q32" s="2024"/>
      <c r="R32" s="2024"/>
      <c r="S32" s="2024"/>
      <c r="T32" s="2024"/>
      <c r="U32" s="2024"/>
      <c r="V32" s="2024"/>
    </row>
    <row r="33" spans="1:22" ht="18" customHeight="1">
      <c r="A33" s="3140"/>
      <c r="B33" s="2120" t="s">
        <v>3158</v>
      </c>
      <c r="C33" s="2060" t="str">
        <f>IF(B33="现房","成新及维护状况是否正常",IF(B33="在建","工程状态是否正常",IF(B33="土地","是否闲置","-")))</f>
        <v>是否闲置</v>
      </c>
      <c r="D33" s="2121"/>
      <c r="E33" s="3017" t="s">
        <v>3160</v>
      </c>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1829</v>
      </c>
      <c r="B34" s="2122" t="s">
        <v>3034</v>
      </c>
      <c r="C34" s="2122" t="s">
        <v>3035</v>
      </c>
      <c r="D34" s="2122" t="s">
        <v>3036</v>
      </c>
      <c r="E34" s="2122" t="s">
        <v>3037</v>
      </c>
      <c r="F34" s="2122" t="s">
        <v>3038</v>
      </c>
      <c r="G34" s="2122" t="s">
        <v>3039</v>
      </c>
      <c r="H34" s="2122" t="s">
        <v>3161</v>
      </c>
      <c r="I34" s="2037"/>
      <c r="J34" s="2037"/>
      <c r="K34" s="1790">
        <f>COUNTIF(B34:H34,"——")</f>
        <v>0</v>
      </c>
      <c r="L34" s="2065" t="s">
        <v>1830</v>
      </c>
      <c r="M34" s="2065" t="s">
        <v>1831</v>
      </c>
      <c r="N34" s="2065" t="s">
        <v>1832</v>
      </c>
      <c r="O34" s="2065" t="s">
        <v>1833</v>
      </c>
      <c r="P34" s="2065" t="s">
        <v>1834</v>
      </c>
      <c r="Q34" s="2065" t="s">
        <v>1835</v>
      </c>
      <c r="R34" s="2065" t="s">
        <v>1836</v>
      </c>
      <c r="S34" s="3134" t="s">
        <v>1837</v>
      </c>
      <c r="T34" s="2123" t="str">
        <f>NUMBERSTRING(7-K34,1)&amp;"通"</f>
        <v>七通</v>
      </c>
      <c r="U34" s="2024"/>
      <c r="V34" s="2024"/>
    </row>
    <row r="35" spans="1:22" ht="18" customHeight="1">
      <c r="A35" s="2124"/>
      <c r="B35" s="3141" t="s">
        <v>1838</v>
      </c>
      <c r="C35" s="3141"/>
      <c r="D35" s="3141"/>
      <c r="E35" s="3141"/>
      <c r="F35" s="2125" t="str">
        <f>C10</f>
        <v>山东省</v>
      </c>
      <c r="G35" s="2037"/>
      <c r="H35" s="2037"/>
      <c r="I35" s="2037"/>
      <c r="J35" s="2037"/>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通路、通电、通讯、通上水、通下水、平整、通热</v>
      </c>
      <c r="S35" s="3134"/>
      <c r="T35" s="48" t="str">
        <f>IF(T34="一通",L35,IF(T34="二通",M35,IF(T34="三通",N35,IF(T34="四通",O35,IF(T34="五通",P35,IF(T34="六通",Q35,R35))))))</f>
        <v>通路、通电、通讯、通上水、通下水、平整、通热</v>
      </c>
      <c r="U35" s="2024"/>
      <c r="V35" s="2024"/>
    </row>
    <row r="36" spans="1:22" ht="18" customHeight="1">
      <c r="A36" s="2126"/>
      <c r="B36" s="2125" t="s">
        <v>1839</v>
      </c>
      <c r="C36" s="2125" t="s">
        <v>1840</v>
      </c>
      <c r="D36" s="2125" t="s">
        <v>1841</v>
      </c>
      <c r="E36" s="2125" t="s">
        <v>1842</v>
      </c>
      <c r="F36" s="2127"/>
      <c r="G36" s="2037"/>
      <c r="H36" s="2037"/>
      <c r="I36" s="2037"/>
      <c r="J36" s="2037"/>
      <c r="K36" s="2046"/>
      <c r="L36" s="2023"/>
      <c r="M36" s="2023"/>
      <c r="N36" s="2024"/>
      <c r="O36" s="2025"/>
      <c r="P36" s="2024"/>
      <c r="Q36" s="2024"/>
      <c r="R36" s="2024"/>
      <c r="S36" s="2024"/>
      <c r="T36" s="2024"/>
      <c r="U36" s="2024"/>
      <c r="V36" s="2024"/>
    </row>
    <row r="37" spans="1:22" ht="18" customHeight="1">
      <c r="A37" s="2128" t="s">
        <v>1843</v>
      </c>
      <c r="B37" s="2129"/>
      <c r="C37" s="2129"/>
      <c r="D37" s="2129"/>
      <c r="E37" s="2129"/>
      <c r="F37" s="2127"/>
      <c r="G37" s="2037"/>
      <c r="H37" s="2037"/>
      <c r="I37" s="2037"/>
      <c r="J37" s="2037"/>
      <c r="K37" s="2046"/>
      <c r="L37" s="2023"/>
      <c r="M37" s="2023"/>
      <c r="N37" s="2024"/>
      <c r="O37" s="2025"/>
      <c r="P37" s="2024"/>
      <c r="Q37" s="2024"/>
      <c r="R37" s="2024"/>
      <c r="S37" s="2024"/>
      <c r="T37" s="2024"/>
      <c r="U37" s="2024"/>
      <c r="V37" s="2024"/>
    </row>
    <row r="38" spans="1:22" ht="18" customHeight="1" thickBot="1">
      <c r="A38" s="2130" t="s">
        <v>1844</v>
      </c>
      <c r="B38" s="2131"/>
      <c r="C38" s="2131"/>
      <c r="D38" s="2131"/>
      <c r="E38" s="2131"/>
      <c r="F38" s="2132"/>
      <c r="G38" s="2054"/>
      <c r="H38" s="2054"/>
      <c r="I38" s="2054"/>
      <c r="J38" s="2037"/>
      <c r="K38" s="2046"/>
      <c r="L38" s="2023"/>
      <c r="M38" s="2023"/>
      <c r="N38" s="2024"/>
      <c r="O38" s="2025"/>
      <c r="P38" s="2024"/>
      <c r="Q38" s="2024"/>
      <c r="R38" s="2024"/>
      <c r="S38" s="2024"/>
      <c r="T38" s="2024"/>
      <c r="U38" s="2024"/>
      <c r="V38" s="2024"/>
    </row>
    <row r="39" spans="1:22" s="2137" customFormat="1" ht="18" customHeight="1" thickTop="1" thickBot="1">
      <c r="A39" s="2133" t="s">
        <v>1845</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4"/>
      <c r="B40" s="2024"/>
      <c r="C40" s="2024"/>
      <c r="D40" s="2024"/>
      <c r="E40" s="2024"/>
      <c r="F40" s="2024"/>
      <c r="G40" s="2024"/>
      <c r="H40" s="2024"/>
      <c r="I40" s="2138"/>
      <c r="J40" s="2075"/>
      <c r="K40" s="664"/>
      <c r="L40" s="2074"/>
      <c r="M40" s="2074"/>
      <c r="N40" s="2075"/>
      <c r="O40" s="2074"/>
      <c r="P40" s="2024"/>
      <c r="Q40" s="2024"/>
      <c r="R40" s="2024"/>
      <c r="S40" s="2024"/>
      <c r="T40" s="2024"/>
      <c r="U40" s="2024"/>
      <c r="V40" s="2024"/>
    </row>
    <row r="41" spans="1:22" ht="18" customHeight="1">
      <c r="A41" s="8" t="s">
        <v>1846</v>
      </c>
      <c r="B41" s="2139"/>
      <c r="C41" s="2140"/>
      <c r="D41" s="2024"/>
      <c r="E41" s="2024"/>
      <c r="F41" s="2024"/>
      <c r="G41" s="2024"/>
      <c r="H41" s="2024"/>
      <c r="I41" s="2025"/>
      <c r="J41" s="2024"/>
      <c r="K41" s="2114"/>
      <c r="L41" s="2023"/>
      <c r="M41" s="2023"/>
      <c r="N41" s="2024"/>
      <c r="O41" s="2025"/>
      <c r="P41" s="2024"/>
      <c r="Q41" s="2024"/>
      <c r="R41" s="2024"/>
      <c r="S41" s="2024"/>
      <c r="T41" s="2024"/>
      <c r="U41" s="2024"/>
      <c r="V41" s="2024"/>
    </row>
    <row r="42" spans="1:22" ht="18" customHeight="1">
      <c r="A42" s="2065" t="s">
        <v>1847</v>
      </c>
      <c r="B42" s="1790" t="s">
        <v>1848</v>
      </c>
      <c r="C42" s="1790" t="s">
        <v>1849</v>
      </c>
      <c r="D42" s="1790" t="s">
        <v>1850</v>
      </c>
      <c r="E42" s="1790" t="s">
        <v>1851</v>
      </c>
      <c r="F42" s="1790" t="s">
        <v>1852</v>
      </c>
      <c r="G42" s="1790" t="s">
        <v>1853</v>
      </c>
      <c r="H42" s="1790" t="s">
        <v>1854</v>
      </c>
      <c r="I42" s="1790" t="s">
        <v>1855</v>
      </c>
      <c r="J42" s="2141" t="s">
        <v>1856</v>
      </c>
      <c r="K42" s="2066" t="s">
        <v>1857</v>
      </c>
      <c r="L42" s="2066" t="s">
        <v>1858</v>
      </c>
      <c r="M42" s="2066" t="s">
        <v>1859</v>
      </c>
      <c r="N42" s="1790" t="s">
        <v>1860</v>
      </c>
      <c r="O42" s="1790" t="s">
        <v>1861</v>
      </c>
      <c r="P42" s="1790" t="s">
        <v>1862</v>
      </c>
      <c r="Q42" s="2065" t="s">
        <v>1863</v>
      </c>
      <c r="R42" s="2065" t="s">
        <v>1864</v>
      </c>
      <c r="S42" s="2024"/>
      <c r="T42" s="2024"/>
      <c r="U42" s="2024"/>
      <c r="V42" s="2024"/>
    </row>
    <row r="43" spans="1:22" s="2146" customFormat="1" ht="18" customHeight="1">
      <c r="A43" s="2142"/>
      <c r="B43" s="1268"/>
      <c r="C43" s="1268"/>
      <c r="D43" s="1268"/>
      <c r="E43" s="1268"/>
      <c r="F43" s="1268"/>
      <c r="G43" s="1268"/>
      <c r="H43" s="9"/>
      <c r="I43" s="9"/>
      <c r="J43" s="2143"/>
      <c r="K43" s="2144"/>
      <c r="L43" s="2144"/>
      <c r="M43" s="9"/>
      <c r="N43" s="1268"/>
      <c r="O43" s="9"/>
      <c r="P43" s="1268"/>
      <c r="Q43" s="1268"/>
      <c r="R43" s="1268"/>
      <c r="S43" s="2145"/>
      <c r="T43" s="2145"/>
      <c r="U43" s="2145"/>
      <c r="V43" s="2145"/>
    </row>
    <row r="44" spans="1:22" s="2146" customFormat="1" ht="18" customHeight="1">
      <c r="A44" s="2142"/>
      <c r="B44" s="2142"/>
      <c r="C44" s="1268"/>
      <c r="D44" s="1268"/>
      <c r="E44" s="1268"/>
      <c r="F44" s="1268"/>
      <c r="G44" s="1268"/>
      <c r="H44" s="9"/>
      <c r="I44" s="9"/>
      <c r="J44" s="2143"/>
      <c r="K44" s="2144"/>
      <c r="L44" s="2144"/>
      <c r="M44" s="9"/>
      <c r="N44" s="1268"/>
      <c r="O44" s="9"/>
      <c r="P44" s="1268"/>
      <c r="Q44" s="1268"/>
      <c r="R44" s="1268"/>
      <c r="S44" s="2145"/>
      <c r="T44" s="2145"/>
      <c r="U44" s="2145"/>
      <c r="V44" s="2145"/>
    </row>
    <row r="45" spans="1:22" s="2146" customFormat="1" ht="18" customHeight="1">
      <c r="A45" s="2142"/>
      <c r="B45" s="2142"/>
      <c r="C45" s="1268"/>
      <c r="D45" s="1268"/>
      <c r="E45" s="1268"/>
      <c r="F45" s="1268"/>
      <c r="G45" s="1268"/>
      <c r="H45" s="9"/>
      <c r="I45" s="9"/>
      <c r="J45" s="2143"/>
      <c r="K45" s="2144"/>
      <c r="L45" s="2144"/>
      <c r="M45" s="9"/>
      <c r="N45" s="1268"/>
      <c r="O45" s="9"/>
      <c r="P45" s="1268"/>
      <c r="Q45" s="1268"/>
      <c r="R45" s="1268"/>
      <c r="S45" s="2145"/>
      <c r="T45" s="2145"/>
      <c r="U45" s="2145"/>
      <c r="V45" s="2145"/>
    </row>
    <row r="46" spans="1:22" s="2146" customFormat="1" ht="18" customHeight="1">
      <c r="A46" s="2142"/>
      <c r="B46" s="2142"/>
      <c r="C46" s="1268"/>
      <c r="D46" s="1268"/>
      <c r="E46" s="1268"/>
      <c r="F46" s="1268"/>
      <c r="G46" s="1268"/>
      <c r="H46" s="9"/>
      <c r="I46" s="9"/>
      <c r="J46" s="2143"/>
      <c r="K46" s="2144"/>
      <c r="L46" s="2144"/>
      <c r="M46" s="9"/>
      <c r="N46" s="1268"/>
      <c r="O46" s="9"/>
      <c r="P46" s="1268"/>
      <c r="Q46" s="1268"/>
      <c r="R46" s="1268"/>
      <c r="S46" s="2145"/>
      <c r="T46" s="2145"/>
      <c r="U46" s="2145"/>
      <c r="V46" s="2145"/>
    </row>
    <row r="47" spans="1:22" s="2146" customFormat="1" ht="18" customHeight="1">
      <c r="A47" s="2142"/>
      <c r="B47" s="2142"/>
      <c r="C47" s="1268"/>
      <c r="D47" s="1268"/>
      <c r="E47" s="1268"/>
      <c r="F47" s="1268"/>
      <c r="G47" s="1268"/>
      <c r="H47" s="9"/>
      <c r="I47" s="9"/>
      <c r="J47" s="2143"/>
      <c r="K47" s="2144"/>
      <c r="L47" s="2144"/>
      <c r="M47" s="9"/>
      <c r="N47" s="1268"/>
      <c r="O47" s="9"/>
      <c r="P47" s="1268"/>
      <c r="Q47" s="1268"/>
      <c r="R47" s="1268"/>
      <c r="S47" s="2145"/>
      <c r="T47" s="2145"/>
      <c r="U47" s="2145"/>
      <c r="V47" s="2145"/>
    </row>
    <row r="48" spans="1:22" s="2146" customFormat="1" ht="18" customHeight="1">
      <c r="A48" s="2142"/>
      <c r="B48" s="2142"/>
      <c r="C48" s="1268"/>
      <c r="D48" s="1268"/>
      <c r="E48" s="1268"/>
      <c r="F48" s="1268"/>
      <c r="G48" s="1268"/>
      <c r="H48" s="9"/>
      <c r="I48" s="9"/>
      <c r="J48" s="2143"/>
      <c r="K48" s="2144"/>
      <c r="L48" s="2144"/>
      <c r="M48" s="9"/>
      <c r="N48" s="1268"/>
      <c r="O48" s="9"/>
      <c r="P48" s="1268"/>
      <c r="Q48" s="1268"/>
      <c r="R48" s="1268"/>
      <c r="S48" s="2145"/>
      <c r="T48" s="2145"/>
      <c r="U48" s="2145"/>
      <c r="V48" s="2145"/>
    </row>
    <row r="49" spans="1:22" s="2146" customFormat="1" ht="18" customHeight="1">
      <c r="A49" s="2142"/>
      <c r="B49" s="2142"/>
      <c r="C49" s="1268"/>
      <c r="D49" s="1268"/>
      <c r="E49" s="1268"/>
      <c r="F49" s="1268"/>
      <c r="G49" s="1268"/>
      <c r="H49" s="9"/>
      <c r="I49" s="9"/>
      <c r="J49" s="2143"/>
      <c r="K49" s="2144"/>
      <c r="L49" s="2144"/>
      <c r="M49" s="9"/>
      <c r="N49" s="1268"/>
      <c r="O49" s="9"/>
      <c r="P49" s="1268"/>
      <c r="Q49" s="1268"/>
      <c r="R49" s="1268"/>
      <c r="S49" s="2145"/>
      <c r="T49" s="2145"/>
      <c r="U49" s="2145"/>
      <c r="V49" s="2145"/>
    </row>
    <row r="50" spans="1:22" s="2146" customFormat="1" ht="18" customHeight="1">
      <c r="A50" s="2142"/>
      <c r="B50" s="2142"/>
      <c r="C50" s="1268"/>
      <c r="D50" s="1268"/>
      <c r="E50" s="1268"/>
      <c r="F50" s="1268"/>
      <c r="G50" s="1268"/>
      <c r="H50" s="9"/>
      <c r="I50" s="9"/>
      <c r="J50" s="2143"/>
      <c r="K50" s="2144"/>
      <c r="L50" s="2144"/>
      <c r="M50" s="9"/>
      <c r="N50" s="1268"/>
      <c r="O50" s="9"/>
      <c r="P50" s="1268"/>
      <c r="Q50" s="1268"/>
      <c r="R50" s="1268"/>
      <c r="S50" s="2145"/>
      <c r="T50" s="2145"/>
      <c r="U50" s="2145"/>
      <c r="V50" s="2145"/>
    </row>
    <row r="51" spans="1:22" s="2146" customFormat="1" ht="18" customHeight="1">
      <c r="A51" s="2142"/>
      <c r="B51" s="2142"/>
      <c r="C51" s="1268"/>
      <c r="D51" s="1268"/>
      <c r="E51" s="1268"/>
      <c r="F51" s="1268"/>
      <c r="G51" s="1268"/>
      <c r="H51" s="9"/>
      <c r="I51" s="9"/>
      <c r="J51" s="2143"/>
      <c r="K51" s="2144"/>
      <c r="L51" s="2144"/>
      <c r="M51" s="9"/>
      <c r="N51" s="1268"/>
      <c r="O51" s="9"/>
      <c r="P51" s="1268"/>
      <c r="Q51" s="1268"/>
      <c r="R51" s="1268"/>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4" activePane="bottomRight" state="frozen"/>
      <selection activeCell="C50" sqref="C50"/>
      <selection pane="topRight" activeCell="C50" sqref="C50"/>
      <selection pane="bottomLeft" activeCell="C50" sqref="C50"/>
      <selection pane="bottomRight" activeCell="A16" sqref="A16"/>
    </sheetView>
  </sheetViews>
  <sheetFormatPr defaultColWidth="8.875" defaultRowHeight="14.25"/>
  <cols>
    <col min="1" max="1" width="10.625" style="2148" customWidth="1"/>
    <col min="2" max="2" width="11" style="2148" customWidth="1"/>
    <col min="3" max="3" width="12.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hidden="1" customWidth="1"/>
    <col min="16" max="16" width="9.75" style="2148" hidden="1" customWidth="1"/>
    <col min="17" max="17" width="9.375" style="2148" customWidth="1"/>
    <col min="18" max="18" width="9.25" style="2148" customWidth="1"/>
    <col min="19" max="19" width="10.875" style="2148" customWidth="1"/>
    <col min="20" max="20" width="10.75" style="2148" customWidth="1"/>
    <col min="21" max="21" width="10.75" style="2148" hidden="1" customWidth="1"/>
    <col min="22" max="22" width="10.875" style="2148" hidden="1" customWidth="1"/>
    <col min="23" max="27" width="10.75" style="2148" hidden="1" customWidth="1"/>
    <col min="28" max="28" width="10.875" style="2148" hidden="1"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1865</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2" t="s">
        <v>1866</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6" customFormat="1" ht="24">
      <c r="A2" s="11" t="s">
        <v>1867</v>
      </c>
      <c r="B2" s="11" t="s">
        <v>1868</v>
      </c>
      <c r="C2" s="11" t="s">
        <v>1869</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5" t="s">
        <v>1870</v>
      </c>
      <c r="AZ2" s="1266" t="s">
        <v>1871</v>
      </c>
      <c r="BA2" s="11" t="s">
        <v>1872</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123801</v>
      </c>
      <c r="B3" s="14">
        <f>IF(C3="否",G5-AT5,G5)</f>
        <v>155603.50999999998</v>
      </c>
      <c r="C3" s="2157" t="s">
        <v>1873</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7"/>
      <c r="AZ3" s="1268"/>
      <c r="BA3" s="1269"/>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1874</v>
      </c>
      <c r="B5" s="1798"/>
      <c r="C5" s="1798"/>
      <c r="D5" s="1801"/>
      <c r="E5" s="16" t="s">
        <v>1</v>
      </c>
      <c r="F5" s="16">
        <f>SUM(F13:F587)</f>
        <v>0</v>
      </c>
      <c r="G5" s="16">
        <f>SUM(G13:G587)</f>
        <v>155603.50999999998</v>
      </c>
      <c r="H5" s="16">
        <f t="shared" ref="H5:AT5" si="0">SUM(H13:H656)</f>
        <v>143416.26999999999</v>
      </c>
      <c r="I5" s="16">
        <f t="shared" si="0"/>
        <v>12937.380000000001</v>
      </c>
      <c r="J5" s="16">
        <f t="shared" si="0"/>
        <v>0</v>
      </c>
      <c r="K5" s="16">
        <f t="shared" si="0"/>
        <v>98583.819999999992</v>
      </c>
      <c r="L5" s="16">
        <f t="shared" si="0"/>
        <v>0</v>
      </c>
      <c r="M5" s="16">
        <f t="shared" si="0"/>
        <v>3361.56</v>
      </c>
      <c r="N5" s="16">
        <f t="shared" si="0"/>
        <v>0</v>
      </c>
      <c r="O5" s="16">
        <f t="shared" si="0"/>
        <v>0</v>
      </c>
      <c r="P5" s="16">
        <f t="shared" si="0"/>
        <v>0</v>
      </c>
      <c r="Q5" s="16">
        <f t="shared" si="0"/>
        <v>10105.599999999999</v>
      </c>
      <c r="R5" s="16">
        <f t="shared" si="0"/>
        <v>0</v>
      </c>
      <c r="S5" s="16">
        <f t="shared" si="0"/>
        <v>18427.91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12187.239999999989</v>
      </c>
      <c r="AD5" s="16">
        <f t="shared" si="0"/>
        <v>0</v>
      </c>
      <c r="AE5" s="16">
        <f t="shared" si="0"/>
        <v>0</v>
      </c>
      <c r="AF5" s="16">
        <f t="shared" si="0"/>
        <v>0</v>
      </c>
      <c r="AG5" s="16">
        <f t="shared" si="0"/>
        <v>0</v>
      </c>
      <c r="AH5" s="16">
        <f t="shared" si="0"/>
        <v>0</v>
      </c>
      <c r="AI5" s="16">
        <f t="shared" si="0"/>
        <v>0</v>
      </c>
      <c r="AJ5" s="16">
        <f t="shared" si="0"/>
        <v>1061.82</v>
      </c>
      <c r="AK5" s="16">
        <f t="shared" si="0"/>
        <v>0</v>
      </c>
      <c r="AL5" s="16">
        <f t="shared" si="0"/>
        <v>765.41</v>
      </c>
      <c r="AM5" s="16">
        <f t="shared" si="0"/>
        <v>0</v>
      </c>
      <c r="AN5" s="16">
        <f t="shared" si="0"/>
        <v>10360.009999999987</v>
      </c>
      <c r="AO5" s="16">
        <f t="shared" si="0"/>
        <v>0</v>
      </c>
      <c r="AP5" s="16">
        <f t="shared" si="0"/>
        <v>0</v>
      </c>
      <c r="AQ5" s="16">
        <f t="shared" si="0"/>
        <v>0</v>
      </c>
      <c r="AR5" s="16">
        <f t="shared" si="0"/>
        <v>0</v>
      </c>
      <c r="AS5" s="16">
        <f t="shared" si="0"/>
        <v>0</v>
      </c>
      <c r="AT5" s="16">
        <f t="shared" si="0"/>
        <v>0</v>
      </c>
      <c r="AU5" s="1797"/>
      <c r="AV5" s="15" t="s">
        <v>1874</v>
      </c>
      <c r="AW5" s="1798"/>
      <c r="AX5" s="1798"/>
      <c r="AY5" s="17" t="s">
        <v>3</v>
      </c>
      <c r="AZ5" s="18">
        <f t="shared" ref="AZ5:BT5" si="1">SUM(AZ13:AZ656)</f>
        <v>72085.949999999983</v>
      </c>
      <c r="BA5" s="18">
        <f t="shared" si="1"/>
        <v>60405.75</v>
      </c>
      <c r="BB5" s="18">
        <f t="shared" si="1"/>
        <v>0</v>
      </c>
      <c r="BC5" s="18">
        <f t="shared" si="1"/>
        <v>46364.71</v>
      </c>
      <c r="BD5" s="18">
        <f t="shared" si="1"/>
        <v>0</v>
      </c>
      <c r="BE5" s="18">
        <f t="shared" si="1"/>
        <v>0</v>
      </c>
      <c r="BF5" s="18">
        <f t="shared" si="1"/>
        <v>4738.6399999999994</v>
      </c>
      <c r="BG5" s="18">
        <f t="shared" si="1"/>
        <v>9302.4</v>
      </c>
      <c r="BH5" s="18">
        <f t="shared" si="1"/>
        <v>0</v>
      </c>
      <c r="BI5" s="18">
        <f t="shared" si="1"/>
        <v>0</v>
      </c>
      <c r="BJ5" s="18">
        <f t="shared" si="1"/>
        <v>0</v>
      </c>
      <c r="BK5" s="18">
        <f t="shared" si="1"/>
        <v>0</v>
      </c>
      <c r="BL5" s="18">
        <f t="shared" si="1"/>
        <v>11680.199999999988</v>
      </c>
      <c r="BM5" s="18">
        <f t="shared" si="1"/>
        <v>0</v>
      </c>
      <c r="BN5" s="18">
        <f t="shared" si="1"/>
        <v>0</v>
      </c>
      <c r="BO5" s="18">
        <f t="shared" si="1"/>
        <v>0</v>
      </c>
      <c r="BP5" s="18">
        <f t="shared" si="1"/>
        <v>604.78</v>
      </c>
      <c r="BQ5" s="18">
        <f t="shared" si="1"/>
        <v>715.41</v>
      </c>
      <c r="BR5" s="18">
        <f t="shared" si="1"/>
        <v>10360.009999999987</v>
      </c>
      <c r="BS5" s="18">
        <f t="shared" si="1"/>
        <v>0</v>
      </c>
      <c r="BT5" s="19">
        <f t="shared" si="1"/>
        <v>0</v>
      </c>
    </row>
    <row r="6" spans="1:72" s="2166" customFormat="1" ht="12.75">
      <c r="A6" s="15" t="s">
        <v>1875</v>
      </c>
      <c r="B6" s="2163"/>
      <c r="C6" s="2163"/>
      <c r="D6" s="2164"/>
      <c r="E6" s="16">
        <f>H6+AC6+AT6</f>
        <v>123800.99</v>
      </c>
      <c r="F6" s="16" t="s">
        <v>1</v>
      </c>
      <c r="G6" s="16" t="s">
        <v>2</v>
      </c>
      <c r="H6" s="20">
        <f>SUMIF(I$12:AB$12,"总值",I6:AB6)</f>
        <v>114104.61</v>
      </c>
      <c r="I6" s="16">
        <f t="shared" ref="I6:AB6" si="2">ROUND($A$3*I5/$B$3,2)</f>
        <v>10293.219999999999</v>
      </c>
      <c r="J6" s="16">
        <f t="shared" si="2"/>
        <v>0</v>
      </c>
      <c r="K6" s="16">
        <f t="shared" si="2"/>
        <v>78435.09</v>
      </c>
      <c r="L6" s="16">
        <f t="shared" si="2"/>
        <v>0</v>
      </c>
      <c r="M6" s="16">
        <f t="shared" si="2"/>
        <v>2674.52</v>
      </c>
      <c r="N6" s="16">
        <f t="shared" si="2"/>
        <v>0</v>
      </c>
      <c r="O6" s="16">
        <f t="shared" si="2"/>
        <v>0</v>
      </c>
      <c r="P6" s="16">
        <f t="shared" si="2"/>
        <v>0</v>
      </c>
      <c r="Q6" s="16">
        <f t="shared" si="2"/>
        <v>8040.2</v>
      </c>
      <c r="R6" s="16">
        <f t="shared" si="2"/>
        <v>0</v>
      </c>
      <c r="S6" s="16">
        <f t="shared" si="2"/>
        <v>14661.58</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9696.380000000001</v>
      </c>
      <c r="AD6" s="16">
        <f t="shared" ref="AD6:AS6" si="3">ROUND($A$3*AD5/$B$3,2)</f>
        <v>0</v>
      </c>
      <c r="AE6" s="16">
        <f t="shared" si="3"/>
        <v>0</v>
      </c>
      <c r="AF6" s="16">
        <f t="shared" si="3"/>
        <v>0</v>
      </c>
      <c r="AG6" s="16">
        <f t="shared" si="3"/>
        <v>0</v>
      </c>
      <c r="AH6" s="16">
        <f t="shared" si="3"/>
        <v>0</v>
      </c>
      <c r="AI6" s="16">
        <f t="shared" si="3"/>
        <v>0</v>
      </c>
      <c r="AJ6" s="16">
        <f t="shared" si="3"/>
        <v>844.8</v>
      </c>
      <c r="AK6" s="16">
        <f t="shared" si="3"/>
        <v>0</v>
      </c>
      <c r="AL6" s="16">
        <f t="shared" si="3"/>
        <v>608.97</v>
      </c>
      <c r="AM6" s="16">
        <f t="shared" si="3"/>
        <v>0</v>
      </c>
      <c r="AN6" s="16">
        <f t="shared" si="3"/>
        <v>8242.61</v>
      </c>
      <c r="AO6" s="16">
        <f t="shared" si="3"/>
        <v>0</v>
      </c>
      <c r="AP6" s="16">
        <f t="shared" si="3"/>
        <v>0</v>
      </c>
      <c r="AQ6" s="16">
        <f t="shared" si="3"/>
        <v>0</v>
      </c>
      <c r="AR6" s="16">
        <f t="shared" si="3"/>
        <v>0</v>
      </c>
      <c r="AS6" s="16">
        <f t="shared" si="3"/>
        <v>0</v>
      </c>
      <c r="AT6" s="20">
        <f>IF(C3="是",ROUND($A$3*AT5/$B$3,2),0)</f>
        <v>0</v>
      </c>
      <c r="AU6" s="2165"/>
      <c r="AV6" s="15" t="s">
        <v>1875</v>
      </c>
      <c r="AW6" s="2163"/>
      <c r="AX6" s="2163"/>
      <c r="AY6" s="21">
        <f>IF(AY3&gt;0,AY3,ROUND($A$3*AZ5/$B$3,2))</f>
        <v>57352.9</v>
      </c>
      <c r="AZ6" s="16" t="s">
        <v>3</v>
      </c>
      <c r="BA6" s="16">
        <f>ROUND($AY$6*BA5/$AZ$5,2)</f>
        <v>48059.92</v>
      </c>
      <c r="BB6" s="16">
        <f>ROUND($AY$6*BB5/$AZ$5,2)</f>
        <v>0</v>
      </c>
      <c r="BC6" s="16">
        <f t="shared" ref="BC6:BH6" si="4">ROUND($AY$6*BC5/$AZ$5,2)</f>
        <v>36888.61</v>
      </c>
      <c r="BD6" s="16">
        <f t="shared" si="4"/>
        <v>0</v>
      </c>
      <c r="BE6" s="16">
        <f t="shared" si="4"/>
        <v>0</v>
      </c>
      <c r="BF6" s="16">
        <f t="shared" si="4"/>
        <v>3770.15</v>
      </c>
      <c r="BG6" s="16">
        <f t="shared" si="4"/>
        <v>7401.16</v>
      </c>
      <c r="BH6" s="16">
        <f t="shared" si="4"/>
        <v>0</v>
      </c>
      <c r="BI6" s="16">
        <f t="shared" ref="BI6:BT6" si="5">ROUND($AY$6*BI5/$AZ$5,2)</f>
        <v>0</v>
      </c>
      <c r="BJ6" s="16">
        <f t="shared" si="5"/>
        <v>0</v>
      </c>
      <c r="BK6" s="16">
        <f t="shared" si="5"/>
        <v>0</v>
      </c>
      <c r="BL6" s="16">
        <f t="shared" si="5"/>
        <v>9292.98</v>
      </c>
      <c r="BM6" s="16">
        <f t="shared" si="5"/>
        <v>0</v>
      </c>
      <c r="BN6" s="16">
        <f t="shared" si="5"/>
        <v>0</v>
      </c>
      <c r="BO6" s="16">
        <f t="shared" si="5"/>
        <v>0</v>
      </c>
      <c r="BP6" s="16">
        <f t="shared" si="5"/>
        <v>481.17</v>
      </c>
      <c r="BQ6" s="16">
        <f t="shared" si="5"/>
        <v>569.19000000000005</v>
      </c>
      <c r="BR6" s="16">
        <f t="shared" si="5"/>
        <v>8242.61</v>
      </c>
      <c r="BS6" s="16">
        <f t="shared" si="5"/>
        <v>0</v>
      </c>
      <c r="BT6" s="22">
        <f t="shared" si="5"/>
        <v>0</v>
      </c>
    </row>
    <row r="7" spans="1:72" s="2156" customFormat="1" ht="24.75">
      <c r="A7" s="2100" t="s">
        <v>1876</v>
      </c>
      <c r="B7" s="2100" t="s">
        <v>1877</v>
      </c>
      <c r="C7" s="2100" t="s">
        <v>1878</v>
      </c>
      <c r="D7" s="2100" t="s">
        <v>1879</v>
      </c>
      <c r="E7" s="2100" t="s">
        <v>1880</v>
      </c>
      <c r="F7" s="2100" t="s">
        <v>1881</v>
      </c>
      <c r="G7" s="2167" t="s">
        <v>1882</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801"/>
      <c r="AU7" s="2168" t="s">
        <v>1883</v>
      </c>
      <c r="AV7" s="23" t="s">
        <v>1884</v>
      </c>
      <c r="AW7" s="2155" t="s">
        <v>1885</v>
      </c>
      <c r="AX7" s="23" t="s">
        <v>1878</v>
      </c>
      <c r="AY7" s="1798" t="s">
        <v>1886</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1887</v>
      </c>
      <c r="H8" s="2173" t="s">
        <v>1888</v>
      </c>
      <c r="I8" s="2174"/>
      <c r="J8" s="1813"/>
      <c r="K8" s="1813"/>
      <c r="L8" s="1813"/>
      <c r="M8" s="1813"/>
      <c r="N8" s="1813"/>
      <c r="O8" s="1813"/>
      <c r="P8" s="1813"/>
      <c r="Q8" s="1813"/>
      <c r="R8" s="1813"/>
      <c r="S8" s="1813"/>
      <c r="T8" s="1813"/>
      <c r="U8" s="1813"/>
      <c r="V8" s="2175"/>
      <c r="W8" s="1813"/>
      <c r="X8" s="1813"/>
      <c r="Y8" s="1813"/>
      <c r="Z8" s="1813"/>
      <c r="AA8" s="2175"/>
      <c r="AB8" s="2176"/>
      <c r="AC8" s="979" t="s">
        <v>1889</v>
      </c>
      <c r="AD8" s="2177"/>
      <c r="AE8" s="2169"/>
      <c r="AF8" s="1813"/>
      <c r="AG8" s="1813"/>
      <c r="AH8" s="1813"/>
      <c r="AI8" s="1813"/>
      <c r="AJ8" s="1813"/>
      <c r="AK8" s="1813"/>
      <c r="AL8" s="1813"/>
      <c r="AM8" s="1813"/>
      <c r="AN8" s="1813"/>
      <c r="AO8" s="1813"/>
      <c r="AP8" s="1813"/>
      <c r="AQ8" s="1813"/>
      <c r="AR8" s="1813"/>
      <c r="AS8" s="1813"/>
      <c r="AT8" s="1288" t="s">
        <v>1890</v>
      </c>
      <c r="AU8" s="2171" t="s">
        <v>1891</v>
      </c>
      <c r="AV8" s="1288"/>
      <c r="AW8" s="2154"/>
      <c r="AX8" s="1288"/>
      <c r="AY8" s="2155" t="s">
        <v>1892</v>
      </c>
      <c r="AZ8" s="1812" t="s">
        <v>1893</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8" customFormat="1" ht="12.75">
      <c r="A9" s="2171"/>
      <c r="B9" s="2171"/>
      <c r="C9" s="2171"/>
      <c r="D9" s="2171"/>
      <c r="E9" s="2171"/>
      <c r="F9" s="2171"/>
      <c r="G9" s="1288"/>
      <c r="H9" s="2179" t="s">
        <v>1894</v>
      </c>
      <c r="I9" s="2180" t="s">
        <v>3040</v>
      </c>
      <c r="J9" s="979"/>
      <c r="K9" s="2180" t="s">
        <v>3040</v>
      </c>
      <c r="L9" s="979"/>
      <c r="M9" s="2180" t="s">
        <v>3040</v>
      </c>
      <c r="N9" s="979"/>
      <c r="O9" s="2180" t="s">
        <v>3040</v>
      </c>
      <c r="P9" s="979"/>
      <c r="Q9" s="2180" t="s">
        <v>3169</v>
      </c>
      <c r="R9" s="979"/>
      <c r="S9" s="2180" t="s">
        <v>3169</v>
      </c>
      <c r="T9" s="979"/>
      <c r="U9" s="2180"/>
      <c r="V9" s="979"/>
      <c r="W9" s="2180"/>
      <c r="X9" s="2181"/>
      <c r="Y9" s="2180"/>
      <c r="Z9" s="979"/>
      <c r="AA9" s="2180"/>
      <c r="AB9" s="979"/>
      <c r="AC9" s="2172" t="s">
        <v>1894</v>
      </c>
      <c r="AD9" s="15" t="s">
        <v>1895</v>
      </c>
      <c r="AE9" s="1294"/>
      <c r="AF9" s="15" t="s">
        <v>1896</v>
      </c>
      <c r="AG9" s="1294"/>
      <c r="AH9" s="15" t="s">
        <v>1895</v>
      </c>
      <c r="AI9" s="1294"/>
      <c r="AJ9" s="15" t="s">
        <v>1896</v>
      </c>
      <c r="AK9" s="1294"/>
      <c r="AL9" s="15" t="s">
        <v>1895</v>
      </c>
      <c r="AM9" s="1294"/>
      <c r="AN9" s="15" t="s">
        <v>1896</v>
      </c>
      <c r="AO9" s="1294"/>
      <c r="AP9" s="15" t="s">
        <v>1895</v>
      </c>
      <c r="AQ9" s="1294"/>
      <c r="AR9" s="15" t="s">
        <v>1896</v>
      </c>
      <c r="AS9" s="2182"/>
      <c r="AT9" s="2171"/>
      <c r="AU9" s="2171" t="s">
        <v>1897</v>
      </c>
      <c r="AV9" s="1288"/>
      <c r="AW9" s="2154"/>
      <c r="AX9" s="1288"/>
      <c r="AY9" s="28"/>
      <c r="AZ9" s="28" t="s">
        <v>1887</v>
      </c>
      <c r="BA9" s="2183" t="s">
        <v>1898</v>
      </c>
      <c r="BB9" s="2184"/>
      <c r="BC9" s="1334"/>
      <c r="BD9" s="1334"/>
      <c r="BE9" s="1334"/>
      <c r="BF9" s="1334"/>
      <c r="BG9" s="1334"/>
      <c r="BH9" s="1334"/>
      <c r="BI9" s="1334"/>
      <c r="BJ9" s="1334"/>
      <c r="BK9" s="2185"/>
      <c r="BL9" s="15" t="s">
        <v>1899</v>
      </c>
      <c r="BM9" s="1813"/>
      <c r="BN9" s="2174"/>
      <c r="BO9" s="1813"/>
      <c r="BP9" s="1813"/>
      <c r="BQ9" s="1813"/>
      <c r="BR9" s="1813"/>
      <c r="BS9" s="1813"/>
      <c r="BT9" s="26"/>
    </row>
    <row r="10" spans="1:72" s="2178" customFormat="1" ht="12.75">
      <c r="A10" s="2171"/>
      <c r="B10" s="2171"/>
      <c r="C10" s="2171"/>
      <c r="D10" s="2171"/>
      <c r="E10" s="2171"/>
      <c r="F10" s="2171"/>
      <c r="G10" s="1288"/>
      <c r="H10" s="28"/>
      <c r="I10" s="2180" t="s">
        <v>3162</v>
      </c>
      <c r="J10" s="979"/>
      <c r="K10" s="2186" t="s">
        <v>3162</v>
      </c>
      <c r="L10" s="979"/>
      <c r="M10" s="2186" t="s">
        <v>1377</v>
      </c>
      <c r="N10" s="979"/>
      <c r="O10" s="2186" t="s">
        <v>1377</v>
      </c>
      <c r="P10" s="979"/>
      <c r="Q10" s="2186" t="s">
        <v>3170</v>
      </c>
      <c r="R10" s="979"/>
      <c r="S10" s="2186" t="s">
        <v>3172</v>
      </c>
      <c r="T10" s="979"/>
      <c r="U10" s="2186"/>
      <c r="V10" s="979"/>
      <c r="W10" s="2186"/>
      <c r="X10" s="979"/>
      <c r="Y10" s="2186"/>
      <c r="Z10" s="979"/>
      <c r="AA10" s="2186"/>
      <c r="AB10" s="979"/>
      <c r="AC10" s="1288"/>
      <c r="AD10" s="15" t="s">
        <v>1900</v>
      </c>
      <c r="AE10" s="2187"/>
      <c r="AF10" s="15" t="s">
        <v>1900</v>
      </c>
      <c r="AG10" s="2187"/>
      <c r="AH10" s="15" t="s">
        <v>1901</v>
      </c>
      <c r="AI10" s="2187"/>
      <c r="AJ10" s="15" t="s">
        <v>1901</v>
      </c>
      <c r="AK10" s="2187"/>
      <c r="AL10" s="15" t="s">
        <v>1902</v>
      </c>
      <c r="AM10" s="1294"/>
      <c r="AN10" s="15" t="s">
        <v>1902</v>
      </c>
      <c r="AO10" s="1294"/>
      <c r="AP10" s="15" t="s">
        <v>1903</v>
      </c>
      <c r="AQ10" s="1294"/>
      <c r="AR10" s="15" t="s">
        <v>1903</v>
      </c>
      <c r="AS10" s="1294"/>
      <c r="AT10" s="2171"/>
      <c r="AU10" s="2171"/>
      <c r="AV10" s="1288"/>
      <c r="AW10" s="2154"/>
      <c r="AX10" s="1288"/>
      <c r="AY10" s="28"/>
      <c r="AZ10" s="28"/>
      <c r="BA10" s="2188" t="s">
        <v>1894</v>
      </c>
      <c r="BB10" s="2189" t="str">
        <f>I9</f>
        <v>地上</v>
      </c>
      <c r="BC10" s="29" t="str">
        <f>K9</f>
        <v>地上</v>
      </c>
      <c r="BD10" s="29" t="str">
        <f>M9</f>
        <v>地上</v>
      </c>
      <c r="BE10" s="29" t="str">
        <f>O9</f>
        <v>地上</v>
      </c>
      <c r="BF10" s="29" t="str">
        <f>Q9</f>
        <v>地下</v>
      </c>
      <c r="BG10" s="29" t="str">
        <f>S9</f>
        <v>地下</v>
      </c>
      <c r="BH10" s="29">
        <f>U9</f>
        <v>0</v>
      </c>
      <c r="BI10" s="29">
        <f>W9</f>
        <v>0</v>
      </c>
      <c r="BJ10" s="29">
        <f>Y9</f>
        <v>0</v>
      </c>
      <c r="BK10" s="29">
        <f>AA9</f>
        <v>0</v>
      </c>
      <c r="BL10" s="25" t="s">
        <v>1894</v>
      </c>
      <c r="BM10" s="1812" t="str">
        <f>AD9</f>
        <v>地上</v>
      </c>
      <c r="BN10" s="29" t="str">
        <f>AF9</f>
        <v>地下</v>
      </c>
      <c r="BO10" s="1812" t="str">
        <f>AH9</f>
        <v>地上</v>
      </c>
      <c r="BP10" s="29" t="str">
        <f>AJ9</f>
        <v>地下</v>
      </c>
      <c r="BQ10" s="1812" t="str">
        <f>AL9</f>
        <v>地上</v>
      </c>
      <c r="BR10" s="29" t="str">
        <f>AN9</f>
        <v>地下</v>
      </c>
      <c r="BS10" s="1812" t="str">
        <f>AP9</f>
        <v>地上</v>
      </c>
      <c r="BT10" s="2190" t="str">
        <f>AR9</f>
        <v>地下</v>
      </c>
    </row>
    <row r="11" spans="1:72" s="2178" customFormat="1" ht="12.75">
      <c r="A11" s="2171"/>
      <c r="B11" s="2171"/>
      <c r="C11" s="2171"/>
      <c r="D11" s="2171"/>
      <c r="E11" s="2171"/>
      <c r="F11" s="2171"/>
      <c r="G11" s="1288"/>
      <c r="H11" s="2188"/>
      <c r="I11" s="2191" t="s">
        <v>3163</v>
      </c>
      <c r="J11" s="2192"/>
      <c r="K11" s="2191" t="s">
        <v>3164</v>
      </c>
      <c r="L11" s="2192"/>
      <c r="M11" s="2191" t="s">
        <v>3165</v>
      </c>
      <c r="N11" s="2192"/>
      <c r="O11" s="2191" t="s">
        <v>3166</v>
      </c>
      <c r="P11" s="2192"/>
      <c r="Q11" s="2191" t="s">
        <v>3171</v>
      </c>
      <c r="R11" s="2192"/>
      <c r="S11" s="2191" t="s">
        <v>3172</v>
      </c>
      <c r="T11" s="2192"/>
      <c r="U11" s="2191"/>
      <c r="V11" s="2192"/>
      <c r="W11" s="2191"/>
      <c r="X11" s="2192"/>
      <c r="Y11" s="2191"/>
      <c r="Z11" s="2192"/>
      <c r="AA11" s="2191"/>
      <c r="AB11" s="2192"/>
      <c r="AC11" s="1288"/>
      <c r="AD11" s="2193" t="s">
        <v>1904</v>
      </c>
      <c r="AE11" s="1814"/>
      <c r="AF11" s="2193" t="s">
        <v>1904</v>
      </c>
      <c r="AG11" s="1814"/>
      <c r="AH11" s="2193" t="s">
        <v>1905</v>
      </c>
      <c r="AI11" s="2194"/>
      <c r="AJ11" s="2193" t="s">
        <v>1905</v>
      </c>
      <c r="AK11" s="1814"/>
      <c r="AL11" s="1812"/>
      <c r="AM11" s="1814"/>
      <c r="AN11" s="1812"/>
      <c r="AO11" s="1814"/>
      <c r="AP11" s="1812"/>
      <c r="AQ11" s="1814"/>
      <c r="AR11" s="1812"/>
      <c r="AS11" s="1814"/>
      <c r="AT11" s="2154"/>
      <c r="AU11" s="2171"/>
      <c r="AV11" s="1288"/>
      <c r="AW11" s="2154"/>
      <c r="AX11" s="1288"/>
      <c r="AY11" s="28"/>
      <c r="AZ11" s="28"/>
      <c r="BA11" s="28"/>
      <c r="BB11" s="2176" t="str">
        <f>I10</f>
        <v>住宅</v>
      </c>
      <c r="BC11" s="2176" t="str">
        <f>K10</f>
        <v>住宅</v>
      </c>
      <c r="BD11" s="2176" t="str">
        <f>M10</f>
        <v>商业</v>
      </c>
      <c r="BE11" s="2176" t="str">
        <f>O10</f>
        <v>商业</v>
      </c>
      <c r="BF11" s="2176" t="str">
        <f>Q10</f>
        <v>仓储</v>
      </c>
      <c r="BG11" s="2176" t="str">
        <f>S10</f>
        <v>车库</v>
      </c>
      <c r="BH11" s="2176">
        <f>U10</f>
        <v>0</v>
      </c>
      <c r="BI11" s="2176">
        <f>W10</f>
        <v>0</v>
      </c>
      <c r="BJ11" s="2176">
        <f>Y10</f>
        <v>0</v>
      </c>
      <c r="BK11" s="2176">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80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7" t="s">
        <v>1907</v>
      </c>
      <c r="W12" s="11" t="s">
        <v>1906</v>
      </c>
      <c r="X12" s="11" t="s">
        <v>1907</v>
      </c>
      <c r="Y12" s="11" t="s">
        <v>1906</v>
      </c>
      <c r="Z12" s="11" t="s">
        <v>1907</v>
      </c>
      <c r="AA12" s="11" t="s">
        <v>1906</v>
      </c>
      <c r="AB12" s="11" t="s">
        <v>1907</v>
      </c>
      <c r="AC12" s="2198"/>
      <c r="AD12" s="180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6" t="s">
        <v>1907</v>
      </c>
      <c r="AT12" s="2199"/>
      <c r="AU12" s="2196"/>
      <c r="AV12" s="31"/>
      <c r="AW12" s="2155"/>
      <c r="AX12" s="31"/>
      <c r="AY12" s="2200"/>
      <c r="AZ12" s="28"/>
      <c r="BA12" s="2188"/>
      <c r="BB12" s="24" t="str">
        <f>I11</f>
        <v>独栋</v>
      </c>
      <c r="BC12" s="2201" t="str">
        <f>K11</f>
        <v>洋房</v>
      </c>
      <c r="BD12" s="2201" t="str">
        <f>M11</f>
        <v>底商</v>
      </c>
      <c r="BE12" s="2176" t="str">
        <f>O11</f>
        <v>独立商业</v>
      </c>
      <c r="BF12" s="2176" t="str">
        <f>Q11</f>
        <v>戊类库房</v>
      </c>
      <c r="BG12" s="2176" t="str">
        <f>S11</f>
        <v>车库</v>
      </c>
      <c r="BH12" s="2176">
        <f>U11</f>
        <v>0</v>
      </c>
      <c r="BI12" s="2176">
        <f>W11</f>
        <v>0</v>
      </c>
      <c r="BJ12" s="2176">
        <f>Y11</f>
        <v>0</v>
      </c>
      <c r="BK12" s="2176">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5">
        <f>AR11</f>
        <v>0</v>
      </c>
    </row>
    <row r="13" spans="1:72" s="2156" customFormat="1" ht="12.75">
      <c r="A13" s="1268"/>
      <c r="B13" s="1268"/>
      <c r="C13" s="3019" t="s">
        <v>3234</v>
      </c>
      <c r="D13" s="2202" t="s">
        <v>3030</v>
      </c>
      <c r="E13" s="16">
        <f>IF($C$3="是",ROUND($A$3*G13/$B$3,2),ROUND($A$3*(G13-AT13)/$B$3,2))</f>
        <v>249.62</v>
      </c>
      <c r="F13" s="32"/>
      <c r="G13" s="33">
        <f>H13+AC13+AT13</f>
        <v>313.74</v>
      </c>
      <c r="H13" s="20">
        <f>SUMIF(I$12:AB$12,"总值",I13:AB13)</f>
        <v>313.74</v>
      </c>
      <c r="I13" s="2203">
        <f>Sheet3!I19</f>
        <v>313.74</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8号别墅</v>
      </c>
      <c r="AY13" s="1801">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25.5">
      <c r="A14" s="1268"/>
      <c r="B14" s="1268"/>
      <c r="C14" s="3020" t="s">
        <v>3235</v>
      </c>
      <c r="D14" s="2202" t="s">
        <v>3030</v>
      </c>
      <c r="E14" s="16">
        <f>IF($C$3="是",ROUND($A$3*G14/$B$3,2),ROUND($A$3*(G14-AT14)/$B$3,2))</f>
        <v>2626.29</v>
      </c>
      <c r="F14" s="32"/>
      <c r="G14" s="33">
        <f>H14+AC14+AT14</f>
        <v>3300.9399999999996</v>
      </c>
      <c r="H14" s="20">
        <f>SUMIF(I$12:AB$12,"总值",I14:AB14)</f>
        <v>3300.9399999999996</v>
      </c>
      <c r="I14" s="2203">
        <f>Sheet3!I20+Sheet3!I21+Sheet3!I22+Sheet3!I23+Sheet3!I24+Sheet3!I25+Sheet3!I26+Sheet3!I27+Sheet3!I28</f>
        <v>3300.9399999999996</v>
      </c>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其余抵押别墅</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25.5">
      <c r="A15" s="1268"/>
      <c r="B15" s="1268"/>
      <c r="C15" s="3020" t="s">
        <v>3468</v>
      </c>
      <c r="D15" s="2202" t="s">
        <v>3030</v>
      </c>
      <c r="E15" s="16">
        <f>IF($C$3="是",ROUND($A$3*G15/$B$3,2),ROUND($A$3*(G15-AT15)/$B$3,2))</f>
        <v>38.42</v>
      </c>
      <c r="F15" s="32"/>
      <c r="G15" s="33">
        <f>H15+AC15+AT15</f>
        <v>48.29</v>
      </c>
      <c r="H15" s="20">
        <f>SUMIF(I$12:AB$12,"总值",I15:AB15)</f>
        <v>48.29</v>
      </c>
      <c r="I15" s="2203"/>
      <c r="J15" s="2203"/>
      <c r="K15" s="2203"/>
      <c r="L15" s="2203"/>
      <c r="M15" s="2203">
        <f>Sheet3!K33</f>
        <v>48.29</v>
      </c>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t="str">
        <f t="shared" si="6"/>
        <v>抵押商业一层商铺之一</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8"/>
      <c r="B16" s="1268"/>
      <c r="C16" s="3020" t="s">
        <v>3236</v>
      </c>
      <c r="D16" s="2202" t="s">
        <v>3031</v>
      </c>
      <c r="E16" s="16">
        <f>IF($C$3="是",ROUND($A$3*G16/$B$3,2),ROUND($A$3*(G16-AT16)/$B$3,2))</f>
        <v>57352.9</v>
      </c>
      <c r="F16" s="32"/>
      <c r="G16" s="33">
        <f>H16+AC16+AT16</f>
        <v>72085.949999999983</v>
      </c>
      <c r="H16" s="20">
        <f>SUMIF(I$12:AB$12,"总值",I16:AB16)</f>
        <v>60405.75</v>
      </c>
      <c r="I16" s="2203"/>
      <c r="J16" s="2203"/>
      <c r="K16" s="2203">
        <f>Sheet3!F10</f>
        <v>46364.71</v>
      </c>
      <c r="L16" s="2203"/>
      <c r="M16" s="2203"/>
      <c r="N16" s="2203"/>
      <c r="O16" s="2203"/>
      <c r="P16" s="2203"/>
      <c r="Q16" s="2203">
        <f>Sheet3!F11+Sheet3!F12</f>
        <v>4738.6399999999994</v>
      </c>
      <c r="R16" s="2203"/>
      <c r="S16" s="2203">
        <f>Sheet3!F14</f>
        <v>9302.4</v>
      </c>
      <c r="T16" s="2203"/>
      <c r="U16" s="2203"/>
      <c r="V16" s="2203"/>
      <c r="W16" s="2203"/>
      <c r="X16" s="2203"/>
      <c r="Y16" s="2203"/>
      <c r="Z16" s="2203"/>
      <c r="AA16" s="2203"/>
      <c r="AB16" s="2203"/>
      <c r="AC16" s="16">
        <f>SUMIF(AD$12:AS$12,"总值",AD16:AS16)</f>
        <v>11680.199999999988</v>
      </c>
      <c r="AD16" s="2204"/>
      <c r="AE16" s="2204"/>
      <c r="AF16" s="2204"/>
      <c r="AG16" s="2204"/>
      <c r="AH16" s="2204"/>
      <c r="AI16" s="2204"/>
      <c r="AJ16" s="2204">
        <f>Sheet3!F13</f>
        <v>604.78</v>
      </c>
      <c r="AK16" s="2204"/>
      <c r="AL16" s="2204">
        <f>Sheet3!F15</f>
        <v>715.41</v>
      </c>
      <c r="AM16" s="2204"/>
      <c r="AN16" s="2204">
        <f>'[2]数据-基础表'!$AN$16</f>
        <v>10360.009999999987</v>
      </c>
      <c r="AO16" s="2204"/>
      <c r="AP16" s="2204"/>
      <c r="AQ16" s="2204"/>
      <c r="AR16" s="2204"/>
      <c r="AS16" s="2204"/>
      <c r="AT16" s="2205"/>
      <c r="AU16" s="2206"/>
      <c r="AV16" s="11">
        <f t="shared" si="6"/>
        <v>0</v>
      </c>
      <c r="AW16" s="11">
        <f t="shared" si="6"/>
        <v>0</v>
      </c>
      <c r="AX16" s="11" t="str">
        <f>C16</f>
        <v>二期一标段</v>
      </c>
      <c r="AY16" s="1801">
        <f>ROUND($AY$6*AZ16/$AZ$5,2)</f>
        <v>57352.9</v>
      </c>
      <c r="AZ16" s="16">
        <f>BA16+BL16</f>
        <v>72085.949999999983</v>
      </c>
      <c r="BA16" s="16">
        <f>SUM(BB16:BK16)</f>
        <v>60405.75</v>
      </c>
      <c r="BB16" s="16">
        <f>IF($D16="是",I16-J16,0)</f>
        <v>0</v>
      </c>
      <c r="BC16" s="16">
        <f>IF($D16="是",K16-L16,0)</f>
        <v>46364.71</v>
      </c>
      <c r="BD16" s="16">
        <f>IF($D16="是",M16-N16,0)</f>
        <v>0</v>
      </c>
      <c r="BE16" s="16">
        <f>IF($D16="是",O16-P16,0)</f>
        <v>0</v>
      </c>
      <c r="BF16" s="16">
        <f>IF($D16="是",Q16-R16,0)</f>
        <v>4738.6399999999994</v>
      </c>
      <c r="BG16" s="16">
        <f>IF($D16="是",S16-T16,0)</f>
        <v>9302.4</v>
      </c>
      <c r="BH16" s="16">
        <f>IF($D16="是",U16-V16,0)</f>
        <v>0</v>
      </c>
      <c r="BI16" s="16">
        <f>IF($D16="是",W16-X16,0)</f>
        <v>0</v>
      </c>
      <c r="BJ16" s="16">
        <f>IF($D16="是",Y16-Z16,0)</f>
        <v>0</v>
      </c>
      <c r="BK16" s="16">
        <f>IF($D16="是",AA16-AB16,0)</f>
        <v>0</v>
      </c>
      <c r="BL16" s="16">
        <f>SUM(BM16:BT16)</f>
        <v>11680.199999999988</v>
      </c>
      <c r="BM16" s="16">
        <f>IF($D16="是",AD16-AE16,0)</f>
        <v>0</v>
      </c>
      <c r="BN16" s="16">
        <f>IF($D16="是",AF16-AG16,0)</f>
        <v>0</v>
      </c>
      <c r="BO16" s="16">
        <f>IF($D16="是",AH16-AI16,0)</f>
        <v>0</v>
      </c>
      <c r="BP16" s="16">
        <f>IF($D16="是",AJ16-AK16,0)</f>
        <v>604.78</v>
      </c>
      <c r="BQ16" s="16">
        <f>IF($D16="是",AL16-AM16,0)</f>
        <v>715.41</v>
      </c>
      <c r="BR16" s="16">
        <f>IF($D16="是",AN16-AO16,0)</f>
        <v>10360.009999999987</v>
      </c>
      <c r="BS16" s="16">
        <f>IF($D16="是",AP16-AQ16,0)</f>
        <v>0</v>
      </c>
      <c r="BT16" s="22">
        <f>IF($D16="是",AR16-AS16,0)</f>
        <v>0</v>
      </c>
    </row>
    <row r="17" spans="1:72" s="2156" customFormat="1" ht="12.75">
      <c r="A17" s="1268"/>
      <c r="B17" s="1268"/>
      <c r="C17" s="3020" t="s">
        <v>3237</v>
      </c>
      <c r="D17" s="2202" t="s">
        <v>3030</v>
      </c>
      <c r="E17" s="16">
        <f>IF($C$3="是",ROUND($A$3*G17/$B$3,2),ROUND($A$3*(G17-AT17)/$B$3,2))</f>
        <v>51051.35</v>
      </c>
      <c r="F17" s="32"/>
      <c r="G17" s="33">
        <f>H17+AC17+AT17</f>
        <v>64165.63</v>
      </c>
      <c r="H17" s="20">
        <f>SUMIF(I$12:AB$12,"总值",I17:AB17)</f>
        <v>63658.59</v>
      </c>
      <c r="I17" s="2203"/>
      <c r="J17" s="2203"/>
      <c r="K17" s="2203">
        <f>Sheet3!I10</f>
        <v>49166.119999999995</v>
      </c>
      <c r="L17" s="2203"/>
      <c r="M17" s="2203"/>
      <c r="N17" s="2203"/>
      <c r="O17" s="2203"/>
      <c r="P17" s="2203"/>
      <c r="Q17" s="2203">
        <f>Sheet3!I14</f>
        <v>5366.96</v>
      </c>
      <c r="R17" s="2203"/>
      <c r="S17" s="2203">
        <f>Sheet3!I13</f>
        <v>9125.51</v>
      </c>
      <c r="T17" s="2203"/>
      <c r="U17" s="2203"/>
      <c r="V17" s="2203"/>
      <c r="W17" s="2203"/>
      <c r="X17" s="2203"/>
      <c r="Y17" s="2203"/>
      <c r="Z17" s="2203"/>
      <c r="AA17" s="2203"/>
      <c r="AB17" s="2203"/>
      <c r="AC17" s="16">
        <f>SUMIF(AD$12:AS$12,"总值",AD17:AS17)</f>
        <v>507.04</v>
      </c>
      <c r="AD17" s="2204"/>
      <c r="AE17" s="2204"/>
      <c r="AF17" s="2204"/>
      <c r="AG17" s="2204"/>
      <c r="AH17" s="2204"/>
      <c r="AI17" s="2204"/>
      <c r="AJ17" s="2204">
        <f>Sheet3!I11</f>
        <v>457.04</v>
      </c>
      <c r="AK17" s="2204"/>
      <c r="AL17" s="2204">
        <f>Sheet3!I12</f>
        <v>50</v>
      </c>
      <c r="AM17" s="2204"/>
      <c r="AN17" s="2204"/>
      <c r="AO17" s="2204"/>
      <c r="AP17" s="2204"/>
      <c r="AQ17" s="2204"/>
      <c r="AR17" s="2204"/>
      <c r="AS17" s="2204"/>
      <c r="AT17" s="2205"/>
      <c r="AU17" s="2206"/>
      <c r="AV17" s="11">
        <f t="shared" si="6"/>
        <v>0</v>
      </c>
      <c r="AW17" s="11">
        <f t="shared" si="6"/>
        <v>0</v>
      </c>
      <c r="AX17" s="11" t="str">
        <f>C17</f>
        <v>二期二标段</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18" t="s">
        <v>3238</v>
      </c>
      <c r="D18" s="2207" t="s">
        <v>3030</v>
      </c>
      <c r="E18" s="35">
        <f t="shared" ref="E18:E112" si="7">IF($C$3="是",ROUND($A$3*G18/$B$3,2),ROUND($A$3*(G18-AT18)/$B$3,2))</f>
        <v>7417.31</v>
      </c>
      <c r="F18" s="36"/>
      <c r="G18" s="37">
        <f t="shared" ref="G18:G109" si="8">H18+AC18+AT18</f>
        <v>9322.7000000000007</v>
      </c>
      <c r="H18" s="38">
        <f t="shared" ref="H18:H109" si="9">SUMIF(I$12:AB$12,"总值",I18:AB18)</f>
        <v>9322.7000000000007</v>
      </c>
      <c r="I18" s="39">
        <f>Sheet3!D4</f>
        <v>9322.7000000000007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0">
        <f t="shared" ref="AV18:AV112" si="11">A18</f>
        <v>0</v>
      </c>
      <c r="AW18" s="1790">
        <f t="shared" ref="AW18:AW112" si="12">B18</f>
        <v>0</v>
      </c>
      <c r="AX18" s="1790" t="str">
        <f>C18</f>
        <v>已售别墅</v>
      </c>
      <c r="AY18" s="42">
        <f t="shared" ref="AY18:AY109" si="13">ROUND($AY$6*AZ18/$AZ$5,2)</f>
        <v>0</v>
      </c>
      <c r="AZ18" s="35">
        <f t="shared" ref="AZ18:AZ109" si="14">BA18+BL18</f>
        <v>0</v>
      </c>
      <c r="BA18" s="35">
        <f t="shared" ref="BA18:BA109" si="15">SUM(BB18:BK18)</f>
        <v>0</v>
      </c>
      <c r="BB18" s="35">
        <f t="shared" ref="BB18:BB109" si="16">IF($D18="是",I18-J18,0)</f>
        <v>0</v>
      </c>
      <c r="BC18" s="35">
        <f t="shared" ref="BC18:BC109" si="17">IF($D18="是",K18-L18,0)</f>
        <v>0</v>
      </c>
      <c r="BD18" s="35">
        <f t="shared" ref="BD18:BD109" si="18">IF($D18="是",M18-N18,0)</f>
        <v>0</v>
      </c>
      <c r="BE18" s="35">
        <f t="shared" ref="BE18:BE109" si="19">IF($D18="是",O18-P18,0)</f>
        <v>0</v>
      </c>
      <c r="BF18" s="35">
        <f t="shared" ref="BF18:BF109" si="20">IF($D18="是",Q18-R18,0)</f>
        <v>0</v>
      </c>
      <c r="BG18" s="35">
        <f t="shared" ref="BG18:BG109" si="21">IF($D18="是",S18-T18,0)</f>
        <v>0</v>
      </c>
      <c r="BH18" s="35">
        <f t="shared" ref="BH18:BH109" si="22">IF($D18="是",U18-V18,0)</f>
        <v>0</v>
      </c>
      <c r="BI18" s="35">
        <f t="shared" ref="BI18:BI109" si="23">IF($D18="是",W18-X18,0)</f>
        <v>0</v>
      </c>
      <c r="BJ18" s="35">
        <f t="shared" ref="BJ18:BJ109" si="24">IF($D18="是",Y18-Z18,0)</f>
        <v>0</v>
      </c>
      <c r="BK18" s="35">
        <f t="shared" ref="BK18:BK109" si="25">IF($D18="是",AA18-AB18,0)</f>
        <v>0</v>
      </c>
      <c r="BL18" s="35">
        <f t="shared" ref="BL18:BL109" si="26">SUM(BM18:BT18)</f>
        <v>0</v>
      </c>
      <c r="BM18" s="35">
        <f t="shared" ref="BM18:BM109" si="27">IF($D18="是",AD18-AE18,0)</f>
        <v>0</v>
      </c>
      <c r="BN18" s="35">
        <f t="shared" ref="BN18:BN109" si="28">IF($D18="是",AF18-AG18,0)</f>
        <v>0</v>
      </c>
      <c r="BO18" s="35">
        <f t="shared" ref="BO18:BO109" si="29">IF($D18="是",AH18-AI18,0)</f>
        <v>0</v>
      </c>
      <c r="BP18" s="35">
        <f t="shared" ref="BP18:BP109" si="30">IF($D18="是",AJ18-AK18,0)</f>
        <v>0</v>
      </c>
      <c r="BQ18" s="35">
        <f t="shared" ref="BQ18:BQ109" si="31">IF($D18="是",AL18-AM18,0)</f>
        <v>0</v>
      </c>
      <c r="BR18" s="35">
        <f t="shared" ref="BR18:BR109" si="32">IF($D18="是",AN18-AO18,0)</f>
        <v>0</v>
      </c>
      <c r="BS18" s="35">
        <f t="shared" ref="BS18:BS109" si="33">IF($D18="是",AP18-AQ18,0)</f>
        <v>0</v>
      </c>
      <c r="BT18" s="43">
        <f t="shared" ref="BT18:BT109" si="34">IF($D18="是",AR18-AS18,0)</f>
        <v>0</v>
      </c>
    </row>
    <row r="19" spans="1:72">
      <c r="A19" s="9"/>
      <c r="B19" s="34"/>
      <c r="C19" s="3018" t="s">
        <v>3239</v>
      </c>
      <c r="D19" s="2207" t="s">
        <v>3030</v>
      </c>
      <c r="E19" s="35">
        <f t="shared" si="7"/>
        <v>2429.0100000000002</v>
      </c>
      <c r="F19" s="36"/>
      <c r="G19" s="37">
        <f t="shared" si="8"/>
        <v>3052.99</v>
      </c>
      <c r="H19" s="38">
        <f t="shared" si="9"/>
        <v>3052.99</v>
      </c>
      <c r="I19" s="39"/>
      <c r="J19" s="39"/>
      <c r="K19" s="39">
        <f>Sheet3!D5</f>
        <v>3052.99</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0">
        <f t="shared" si="11"/>
        <v>0</v>
      </c>
      <c r="AW19" s="1790">
        <f t="shared" si="12"/>
        <v>0</v>
      </c>
      <c r="AX19" s="1790" t="str">
        <f>C19</f>
        <v>已售洋房</v>
      </c>
      <c r="AY19" s="42">
        <f t="shared" si="13"/>
        <v>0</v>
      </c>
      <c r="AZ19" s="35">
        <f t="shared" si="14"/>
        <v>0</v>
      </c>
      <c r="BA19" s="35">
        <f t="shared" si="15"/>
        <v>0</v>
      </c>
      <c r="BB19" s="35">
        <f t="shared" si="16"/>
        <v>0</v>
      </c>
      <c r="BC19" s="35">
        <f t="shared" si="17"/>
        <v>0</v>
      </c>
      <c r="BD19" s="35">
        <f t="shared" si="18"/>
        <v>0</v>
      </c>
      <c r="BE19" s="35">
        <f t="shared" si="19"/>
        <v>0</v>
      </c>
      <c r="BF19" s="35">
        <f t="shared" si="20"/>
        <v>0</v>
      </c>
      <c r="BG19" s="35">
        <f t="shared" si="21"/>
        <v>0</v>
      </c>
      <c r="BH19" s="35">
        <f t="shared" si="22"/>
        <v>0</v>
      </c>
      <c r="BI19" s="35">
        <f t="shared" si="23"/>
        <v>0</v>
      </c>
      <c r="BJ19" s="35">
        <f t="shared" si="24"/>
        <v>0</v>
      </c>
      <c r="BK19" s="35">
        <f t="shared" si="25"/>
        <v>0</v>
      </c>
      <c r="BL19" s="35">
        <f t="shared" si="26"/>
        <v>0</v>
      </c>
      <c r="BM19" s="35">
        <f t="shared" si="27"/>
        <v>0</v>
      </c>
      <c r="BN19" s="35">
        <f t="shared" si="28"/>
        <v>0</v>
      </c>
      <c r="BO19" s="35">
        <f t="shared" si="29"/>
        <v>0</v>
      </c>
      <c r="BP19" s="35">
        <f t="shared" si="30"/>
        <v>0</v>
      </c>
      <c r="BQ19" s="35">
        <f t="shared" si="31"/>
        <v>0</v>
      </c>
      <c r="BR19" s="35">
        <f t="shared" si="32"/>
        <v>0</v>
      </c>
      <c r="BS19" s="35">
        <f t="shared" si="33"/>
        <v>0</v>
      </c>
      <c r="BT19" s="43">
        <f t="shared" si="34"/>
        <v>0</v>
      </c>
    </row>
    <row r="20" spans="1:72" ht="28.5">
      <c r="A20" s="9"/>
      <c r="B20" s="34"/>
      <c r="C20" s="3018" t="s">
        <v>3467</v>
      </c>
      <c r="D20" s="2207" t="s">
        <v>3030</v>
      </c>
      <c r="E20" s="35">
        <f t="shared" si="7"/>
        <v>2636.1</v>
      </c>
      <c r="F20" s="36"/>
      <c r="G20" s="37">
        <f t="shared" si="8"/>
        <v>3313.27</v>
      </c>
      <c r="H20" s="38">
        <f t="shared" si="9"/>
        <v>3313.27</v>
      </c>
      <c r="I20" s="39"/>
      <c r="J20" s="39"/>
      <c r="K20" s="39"/>
      <c r="L20" s="39"/>
      <c r="M20" s="39">
        <f>Sheet3!B5+Sheet3!B6-'数据-基础表'!M15</f>
        <v>3313.27</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0">
        <f t="shared" si="11"/>
        <v>0</v>
      </c>
      <c r="AW20" s="1790">
        <f t="shared" si="12"/>
        <v>0</v>
      </c>
      <c r="AX20" s="1790" t="str">
        <f t="shared" ref="AX20:AX112" si="35">C20</f>
        <v>其余抵押商铺</v>
      </c>
      <c r="AY20" s="42">
        <f t="shared" si="13"/>
        <v>0</v>
      </c>
      <c r="AZ20" s="35">
        <f t="shared" si="14"/>
        <v>0</v>
      </c>
      <c r="BA20" s="35">
        <f t="shared" si="15"/>
        <v>0</v>
      </c>
      <c r="BB20" s="35">
        <f t="shared" si="16"/>
        <v>0</v>
      </c>
      <c r="BC20" s="35">
        <f t="shared" si="17"/>
        <v>0</v>
      </c>
      <c r="BD20" s="35">
        <f t="shared" si="18"/>
        <v>0</v>
      </c>
      <c r="BE20" s="35">
        <f t="shared" si="19"/>
        <v>0</v>
      </c>
      <c r="BF20" s="35">
        <f t="shared" si="20"/>
        <v>0</v>
      </c>
      <c r="BG20" s="35">
        <f t="shared" si="21"/>
        <v>0</v>
      </c>
      <c r="BH20" s="35">
        <f t="shared" si="22"/>
        <v>0</v>
      </c>
      <c r="BI20" s="35">
        <f t="shared" si="23"/>
        <v>0</v>
      </c>
      <c r="BJ20" s="35">
        <f t="shared" si="24"/>
        <v>0</v>
      </c>
      <c r="BK20" s="35">
        <f t="shared" si="25"/>
        <v>0</v>
      </c>
      <c r="BL20" s="35">
        <f t="shared" si="26"/>
        <v>0</v>
      </c>
      <c r="BM20" s="35">
        <f t="shared" si="27"/>
        <v>0</v>
      </c>
      <c r="BN20" s="35">
        <f t="shared" si="28"/>
        <v>0</v>
      </c>
      <c r="BO20" s="35">
        <f t="shared" si="29"/>
        <v>0</v>
      </c>
      <c r="BP20" s="35">
        <f t="shared" si="30"/>
        <v>0</v>
      </c>
      <c r="BQ20" s="35">
        <f t="shared" si="31"/>
        <v>0</v>
      </c>
      <c r="BR20" s="35">
        <f t="shared" si="32"/>
        <v>0</v>
      </c>
      <c r="BS20" s="35">
        <f t="shared" si="33"/>
        <v>0</v>
      </c>
      <c r="BT20" s="43">
        <f t="shared" si="34"/>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0">
        <f t="shared" si="11"/>
        <v>0</v>
      </c>
      <c r="AW21" s="1790">
        <f t="shared" si="12"/>
        <v>0</v>
      </c>
      <c r="AX21" s="1790">
        <f t="shared" si="35"/>
        <v>0</v>
      </c>
      <c r="AY21" s="42">
        <f t="shared" si="13"/>
        <v>0</v>
      </c>
      <c r="AZ21" s="35">
        <f t="shared" si="14"/>
        <v>0</v>
      </c>
      <c r="BA21" s="35">
        <f t="shared" si="15"/>
        <v>0</v>
      </c>
      <c r="BB21" s="35">
        <f t="shared" si="16"/>
        <v>0</v>
      </c>
      <c r="BC21" s="35">
        <f t="shared" si="17"/>
        <v>0</v>
      </c>
      <c r="BD21" s="35">
        <f t="shared" si="18"/>
        <v>0</v>
      </c>
      <c r="BE21" s="35">
        <f t="shared" si="19"/>
        <v>0</v>
      </c>
      <c r="BF21" s="35">
        <f t="shared" si="20"/>
        <v>0</v>
      </c>
      <c r="BG21" s="35">
        <f t="shared" si="21"/>
        <v>0</v>
      </c>
      <c r="BH21" s="35">
        <f t="shared" si="22"/>
        <v>0</v>
      </c>
      <c r="BI21" s="35">
        <f t="shared" si="23"/>
        <v>0</v>
      </c>
      <c r="BJ21" s="35">
        <f t="shared" si="24"/>
        <v>0</v>
      </c>
      <c r="BK21" s="35">
        <f t="shared" si="25"/>
        <v>0</v>
      </c>
      <c r="BL21" s="35">
        <f t="shared" si="26"/>
        <v>0</v>
      </c>
      <c r="BM21" s="35">
        <f t="shared" si="27"/>
        <v>0</v>
      </c>
      <c r="BN21" s="35">
        <f t="shared" si="28"/>
        <v>0</v>
      </c>
      <c r="BO21" s="35">
        <f t="shared" si="29"/>
        <v>0</v>
      </c>
      <c r="BP21" s="35">
        <f t="shared" si="30"/>
        <v>0</v>
      </c>
      <c r="BQ21" s="35">
        <f t="shared" si="31"/>
        <v>0</v>
      </c>
      <c r="BR21" s="35">
        <f t="shared" si="32"/>
        <v>0</v>
      </c>
      <c r="BS21" s="35">
        <f t="shared" si="33"/>
        <v>0</v>
      </c>
      <c r="BT21" s="43">
        <f t="shared" si="34"/>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0">
        <f t="shared" si="11"/>
        <v>0</v>
      </c>
      <c r="AW22" s="1790">
        <f t="shared" si="12"/>
        <v>0</v>
      </c>
      <c r="AX22" s="1790">
        <f t="shared" si="35"/>
        <v>0</v>
      </c>
      <c r="AY22" s="42">
        <f t="shared" si="13"/>
        <v>0</v>
      </c>
      <c r="AZ22" s="35">
        <f t="shared" si="14"/>
        <v>0</v>
      </c>
      <c r="BA22" s="35">
        <f t="shared" si="15"/>
        <v>0</v>
      </c>
      <c r="BB22" s="35">
        <f t="shared" si="16"/>
        <v>0</v>
      </c>
      <c r="BC22" s="35">
        <f t="shared" si="17"/>
        <v>0</v>
      </c>
      <c r="BD22" s="35">
        <f t="shared" si="18"/>
        <v>0</v>
      </c>
      <c r="BE22" s="35">
        <f t="shared" si="19"/>
        <v>0</v>
      </c>
      <c r="BF22" s="35">
        <f t="shared" si="20"/>
        <v>0</v>
      </c>
      <c r="BG22" s="35">
        <f t="shared" si="21"/>
        <v>0</v>
      </c>
      <c r="BH22" s="35">
        <f t="shared" si="22"/>
        <v>0</v>
      </c>
      <c r="BI22" s="35">
        <f t="shared" si="23"/>
        <v>0</v>
      </c>
      <c r="BJ22" s="35">
        <f t="shared" si="24"/>
        <v>0</v>
      </c>
      <c r="BK22" s="35">
        <f t="shared" si="25"/>
        <v>0</v>
      </c>
      <c r="BL22" s="35">
        <f t="shared" si="26"/>
        <v>0</v>
      </c>
      <c r="BM22" s="35">
        <f t="shared" si="27"/>
        <v>0</v>
      </c>
      <c r="BN22" s="35">
        <f t="shared" si="28"/>
        <v>0</v>
      </c>
      <c r="BO22" s="35">
        <f t="shared" si="29"/>
        <v>0</v>
      </c>
      <c r="BP22" s="35">
        <f t="shared" si="30"/>
        <v>0</v>
      </c>
      <c r="BQ22" s="35">
        <f t="shared" si="31"/>
        <v>0</v>
      </c>
      <c r="BR22" s="35">
        <f t="shared" si="32"/>
        <v>0</v>
      </c>
      <c r="BS22" s="35">
        <f t="shared" si="33"/>
        <v>0</v>
      </c>
      <c r="BT22" s="43">
        <f t="shared" si="34"/>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0">
        <f t="shared" si="11"/>
        <v>0</v>
      </c>
      <c r="AW23" s="1790">
        <f t="shared" si="12"/>
        <v>0</v>
      </c>
      <c r="AX23" s="1790">
        <f t="shared" si="35"/>
        <v>0</v>
      </c>
      <c r="AY23" s="42">
        <f t="shared" si="13"/>
        <v>0</v>
      </c>
      <c r="AZ23" s="35">
        <f t="shared" si="14"/>
        <v>0</v>
      </c>
      <c r="BA23" s="35">
        <f t="shared" si="15"/>
        <v>0</v>
      </c>
      <c r="BB23" s="35">
        <f t="shared" si="16"/>
        <v>0</v>
      </c>
      <c r="BC23" s="35">
        <f t="shared" si="17"/>
        <v>0</v>
      </c>
      <c r="BD23" s="35">
        <f t="shared" si="18"/>
        <v>0</v>
      </c>
      <c r="BE23" s="35">
        <f t="shared" si="19"/>
        <v>0</v>
      </c>
      <c r="BF23" s="35">
        <f t="shared" si="20"/>
        <v>0</v>
      </c>
      <c r="BG23" s="35">
        <f t="shared" si="21"/>
        <v>0</v>
      </c>
      <c r="BH23" s="35">
        <f t="shared" si="22"/>
        <v>0</v>
      </c>
      <c r="BI23" s="35">
        <f t="shared" si="23"/>
        <v>0</v>
      </c>
      <c r="BJ23" s="35">
        <f t="shared" si="24"/>
        <v>0</v>
      </c>
      <c r="BK23" s="35">
        <f t="shared" si="25"/>
        <v>0</v>
      </c>
      <c r="BL23" s="35">
        <f t="shared" si="26"/>
        <v>0</v>
      </c>
      <c r="BM23" s="35">
        <f t="shared" si="27"/>
        <v>0</v>
      </c>
      <c r="BN23" s="35">
        <f t="shared" si="28"/>
        <v>0</v>
      </c>
      <c r="BO23" s="35">
        <f t="shared" si="29"/>
        <v>0</v>
      </c>
      <c r="BP23" s="35">
        <f t="shared" si="30"/>
        <v>0</v>
      </c>
      <c r="BQ23" s="35">
        <f t="shared" si="31"/>
        <v>0</v>
      </c>
      <c r="BR23" s="35">
        <f t="shared" si="32"/>
        <v>0</v>
      </c>
      <c r="BS23" s="35">
        <f t="shared" si="33"/>
        <v>0</v>
      </c>
      <c r="BT23" s="43">
        <f t="shared" si="34"/>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0">
        <f t="shared" si="11"/>
        <v>0</v>
      </c>
      <c r="AW24" s="1790">
        <f t="shared" si="12"/>
        <v>0</v>
      </c>
      <c r="AX24" s="1790">
        <f t="shared" si="35"/>
        <v>0</v>
      </c>
      <c r="AY24" s="42">
        <f t="shared" si="13"/>
        <v>0</v>
      </c>
      <c r="AZ24" s="35">
        <f t="shared" si="14"/>
        <v>0</v>
      </c>
      <c r="BA24" s="35">
        <f t="shared" si="15"/>
        <v>0</v>
      </c>
      <c r="BB24" s="35">
        <f t="shared" si="16"/>
        <v>0</v>
      </c>
      <c r="BC24" s="35">
        <f t="shared" si="17"/>
        <v>0</v>
      </c>
      <c r="BD24" s="35">
        <f t="shared" si="18"/>
        <v>0</v>
      </c>
      <c r="BE24" s="35">
        <f t="shared" si="19"/>
        <v>0</v>
      </c>
      <c r="BF24" s="35">
        <f t="shared" si="20"/>
        <v>0</v>
      </c>
      <c r="BG24" s="35">
        <f t="shared" si="21"/>
        <v>0</v>
      </c>
      <c r="BH24" s="35">
        <f t="shared" si="22"/>
        <v>0</v>
      </c>
      <c r="BI24" s="35">
        <f t="shared" si="23"/>
        <v>0</v>
      </c>
      <c r="BJ24" s="35">
        <f t="shared" si="24"/>
        <v>0</v>
      </c>
      <c r="BK24" s="35">
        <f t="shared" si="25"/>
        <v>0</v>
      </c>
      <c r="BL24" s="35">
        <f t="shared" si="26"/>
        <v>0</v>
      </c>
      <c r="BM24" s="35">
        <f t="shared" si="27"/>
        <v>0</v>
      </c>
      <c r="BN24" s="35">
        <f t="shared" si="28"/>
        <v>0</v>
      </c>
      <c r="BO24" s="35">
        <f t="shared" si="29"/>
        <v>0</v>
      </c>
      <c r="BP24" s="35">
        <f t="shared" si="30"/>
        <v>0</v>
      </c>
      <c r="BQ24" s="35">
        <f t="shared" si="31"/>
        <v>0</v>
      </c>
      <c r="BR24" s="35">
        <f t="shared" si="32"/>
        <v>0</v>
      </c>
      <c r="BS24" s="35">
        <f t="shared" si="33"/>
        <v>0</v>
      </c>
      <c r="BT24" s="43">
        <f t="shared" si="34"/>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0">
        <f t="shared" si="11"/>
        <v>0</v>
      </c>
      <c r="AW25" s="1790">
        <f t="shared" si="12"/>
        <v>0</v>
      </c>
      <c r="AX25" s="1790">
        <f t="shared" si="35"/>
        <v>0</v>
      </c>
      <c r="AY25" s="42">
        <f t="shared" si="13"/>
        <v>0</v>
      </c>
      <c r="AZ25" s="35">
        <f t="shared" si="14"/>
        <v>0</v>
      </c>
      <c r="BA25" s="35">
        <f t="shared" si="15"/>
        <v>0</v>
      </c>
      <c r="BB25" s="35">
        <f t="shared" si="16"/>
        <v>0</v>
      </c>
      <c r="BC25" s="35">
        <f t="shared" si="17"/>
        <v>0</v>
      </c>
      <c r="BD25" s="35">
        <f t="shared" si="18"/>
        <v>0</v>
      </c>
      <c r="BE25" s="35">
        <f t="shared" si="19"/>
        <v>0</v>
      </c>
      <c r="BF25" s="35">
        <f t="shared" si="20"/>
        <v>0</v>
      </c>
      <c r="BG25" s="35">
        <f t="shared" si="21"/>
        <v>0</v>
      </c>
      <c r="BH25" s="35">
        <f t="shared" si="22"/>
        <v>0</v>
      </c>
      <c r="BI25" s="35">
        <f t="shared" si="23"/>
        <v>0</v>
      </c>
      <c r="BJ25" s="35">
        <f t="shared" si="24"/>
        <v>0</v>
      </c>
      <c r="BK25" s="35">
        <f t="shared" si="25"/>
        <v>0</v>
      </c>
      <c r="BL25" s="35">
        <f t="shared" si="26"/>
        <v>0</v>
      </c>
      <c r="BM25" s="35">
        <f t="shared" si="27"/>
        <v>0</v>
      </c>
      <c r="BN25" s="35">
        <f t="shared" si="28"/>
        <v>0</v>
      </c>
      <c r="BO25" s="35">
        <f t="shared" si="29"/>
        <v>0</v>
      </c>
      <c r="BP25" s="35">
        <f t="shared" si="30"/>
        <v>0</v>
      </c>
      <c r="BQ25" s="35">
        <f t="shared" si="31"/>
        <v>0</v>
      </c>
      <c r="BR25" s="35">
        <f t="shared" si="32"/>
        <v>0</v>
      </c>
      <c r="BS25" s="35">
        <f t="shared" si="33"/>
        <v>0</v>
      </c>
      <c r="BT25" s="43">
        <f t="shared" si="34"/>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0">
        <f t="shared" si="11"/>
        <v>0</v>
      </c>
      <c r="AW26" s="1790">
        <f t="shared" si="12"/>
        <v>0</v>
      </c>
      <c r="AX26" s="1790">
        <f t="shared" si="35"/>
        <v>0</v>
      </c>
      <c r="AY26" s="42">
        <f t="shared" si="13"/>
        <v>0</v>
      </c>
      <c r="AZ26" s="35">
        <f t="shared" si="14"/>
        <v>0</v>
      </c>
      <c r="BA26" s="35">
        <f t="shared" si="15"/>
        <v>0</v>
      </c>
      <c r="BB26" s="35">
        <f t="shared" si="16"/>
        <v>0</v>
      </c>
      <c r="BC26" s="35">
        <f t="shared" si="17"/>
        <v>0</v>
      </c>
      <c r="BD26" s="35">
        <f t="shared" si="18"/>
        <v>0</v>
      </c>
      <c r="BE26" s="35">
        <f t="shared" si="19"/>
        <v>0</v>
      </c>
      <c r="BF26" s="35">
        <f t="shared" si="20"/>
        <v>0</v>
      </c>
      <c r="BG26" s="35">
        <f t="shared" si="21"/>
        <v>0</v>
      </c>
      <c r="BH26" s="35">
        <f t="shared" si="22"/>
        <v>0</v>
      </c>
      <c r="BI26" s="35">
        <f t="shared" si="23"/>
        <v>0</v>
      </c>
      <c r="BJ26" s="35">
        <f t="shared" si="24"/>
        <v>0</v>
      </c>
      <c r="BK26" s="35">
        <f t="shared" si="25"/>
        <v>0</v>
      </c>
      <c r="BL26" s="35">
        <f t="shared" si="26"/>
        <v>0</v>
      </c>
      <c r="BM26" s="35">
        <f t="shared" si="27"/>
        <v>0</v>
      </c>
      <c r="BN26" s="35">
        <f t="shared" si="28"/>
        <v>0</v>
      </c>
      <c r="BO26" s="35">
        <f t="shared" si="29"/>
        <v>0</v>
      </c>
      <c r="BP26" s="35">
        <f t="shared" si="30"/>
        <v>0</v>
      </c>
      <c r="BQ26" s="35">
        <f t="shared" si="31"/>
        <v>0</v>
      </c>
      <c r="BR26" s="35">
        <f t="shared" si="32"/>
        <v>0</v>
      </c>
      <c r="BS26" s="35">
        <f t="shared" si="33"/>
        <v>0</v>
      </c>
      <c r="BT26" s="43">
        <f t="shared" si="34"/>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0">
        <f t="shared" si="11"/>
        <v>0</v>
      </c>
      <c r="AW27" s="1790">
        <f t="shared" si="12"/>
        <v>0</v>
      </c>
      <c r="AX27" s="1790">
        <f t="shared" si="35"/>
        <v>0</v>
      </c>
      <c r="AY27" s="42">
        <f t="shared" si="13"/>
        <v>0</v>
      </c>
      <c r="AZ27" s="35">
        <f t="shared" si="14"/>
        <v>0</v>
      </c>
      <c r="BA27" s="35">
        <f t="shared" si="15"/>
        <v>0</v>
      </c>
      <c r="BB27" s="35">
        <f t="shared" si="16"/>
        <v>0</v>
      </c>
      <c r="BC27" s="35">
        <f t="shared" si="17"/>
        <v>0</v>
      </c>
      <c r="BD27" s="35">
        <f t="shared" si="18"/>
        <v>0</v>
      </c>
      <c r="BE27" s="35">
        <f t="shared" si="19"/>
        <v>0</v>
      </c>
      <c r="BF27" s="35">
        <f t="shared" si="20"/>
        <v>0</v>
      </c>
      <c r="BG27" s="35">
        <f t="shared" si="21"/>
        <v>0</v>
      </c>
      <c r="BH27" s="35">
        <f t="shared" si="22"/>
        <v>0</v>
      </c>
      <c r="BI27" s="35">
        <f t="shared" si="23"/>
        <v>0</v>
      </c>
      <c r="BJ27" s="35">
        <f t="shared" si="24"/>
        <v>0</v>
      </c>
      <c r="BK27" s="35">
        <f t="shared" si="25"/>
        <v>0</v>
      </c>
      <c r="BL27" s="35">
        <f t="shared" si="26"/>
        <v>0</v>
      </c>
      <c r="BM27" s="35">
        <f t="shared" si="27"/>
        <v>0</v>
      </c>
      <c r="BN27" s="35">
        <f t="shared" si="28"/>
        <v>0</v>
      </c>
      <c r="BO27" s="35">
        <f t="shared" si="29"/>
        <v>0</v>
      </c>
      <c r="BP27" s="35">
        <f t="shared" si="30"/>
        <v>0</v>
      </c>
      <c r="BQ27" s="35">
        <f t="shared" si="31"/>
        <v>0</v>
      </c>
      <c r="BR27" s="35">
        <f t="shared" si="32"/>
        <v>0</v>
      </c>
      <c r="BS27" s="35">
        <f t="shared" si="33"/>
        <v>0</v>
      </c>
      <c r="BT27" s="43">
        <f t="shared" si="34"/>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0">
        <f t="shared" si="11"/>
        <v>0</v>
      </c>
      <c r="AW28" s="1790">
        <f t="shared" si="12"/>
        <v>0</v>
      </c>
      <c r="AX28" s="1790">
        <f t="shared" si="35"/>
        <v>0</v>
      </c>
      <c r="AY28" s="42">
        <f t="shared" si="13"/>
        <v>0</v>
      </c>
      <c r="AZ28" s="35">
        <f t="shared" si="14"/>
        <v>0</v>
      </c>
      <c r="BA28" s="35">
        <f t="shared" si="15"/>
        <v>0</v>
      </c>
      <c r="BB28" s="35">
        <f t="shared" si="16"/>
        <v>0</v>
      </c>
      <c r="BC28" s="35">
        <f t="shared" si="17"/>
        <v>0</v>
      </c>
      <c r="BD28" s="35">
        <f t="shared" si="18"/>
        <v>0</v>
      </c>
      <c r="BE28" s="35">
        <f t="shared" si="19"/>
        <v>0</v>
      </c>
      <c r="BF28" s="35">
        <f t="shared" si="20"/>
        <v>0</v>
      </c>
      <c r="BG28" s="35">
        <f t="shared" si="21"/>
        <v>0</v>
      </c>
      <c r="BH28" s="35">
        <f t="shared" si="22"/>
        <v>0</v>
      </c>
      <c r="BI28" s="35">
        <f t="shared" si="23"/>
        <v>0</v>
      </c>
      <c r="BJ28" s="35">
        <f t="shared" si="24"/>
        <v>0</v>
      </c>
      <c r="BK28" s="35">
        <f t="shared" si="25"/>
        <v>0</v>
      </c>
      <c r="BL28" s="35">
        <f t="shared" si="26"/>
        <v>0</v>
      </c>
      <c r="BM28" s="35">
        <f t="shared" si="27"/>
        <v>0</v>
      </c>
      <c r="BN28" s="35">
        <f t="shared" si="28"/>
        <v>0</v>
      </c>
      <c r="BO28" s="35">
        <f t="shared" si="29"/>
        <v>0</v>
      </c>
      <c r="BP28" s="35">
        <f t="shared" si="30"/>
        <v>0</v>
      </c>
      <c r="BQ28" s="35">
        <f t="shared" si="31"/>
        <v>0</v>
      </c>
      <c r="BR28" s="35">
        <f t="shared" si="32"/>
        <v>0</v>
      </c>
      <c r="BS28" s="35">
        <f t="shared" si="33"/>
        <v>0</v>
      </c>
      <c r="BT28" s="43">
        <f t="shared" si="34"/>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0">
        <f t="shared" si="11"/>
        <v>0</v>
      </c>
      <c r="AW29" s="1790">
        <f t="shared" si="12"/>
        <v>0</v>
      </c>
      <c r="AX29" s="1790">
        <f t="shared" si="35"/>
        <v>0</v>
      </c>
      <c r="AY29" s="42">
        <f t="shared" si="13"/>
        <v>0</v>
      </c>
      <c r="AZ29" s="35">
        <f t="shared" si="14"/>
        <v>0</v>
      </c>
      <c r="BA29" s="35">
        <f t="shared" si="15"/>
        <v>0</v>
      </c>
      <c r="BB29" s="35">
        <f t="shared" si="16"/>
        <v>0</v>
      </c>
      <c r="BC29" s="35">
        <f t="shared" si="17"/>
        <v>0</v>
      </c>
      <c r="BD29" s="35">
        <f t="shared" si="18"/>
        <v>0</v>
      </c>
      <c r="BE29" s="35">
        <f t="shared" si="19"/>
        <v>0</v>
      </c>
      <c r="BF29" s="35">
        <f t="shared" si="20"/>
        <v>0</v>
      </c>
      <c r="BG29" s="35">
        <f t="shared" si="21"/>
        <v>0</v>
      </c>
      <c r="BH29" s="35">
        <f t="shared" si="22"/>
        <v>0</v>
      </c>
      <c r="BI29" s="35">
        <f t="shared" si="23"/>
        <v>0</v>
      </c>
      <c r="BJ29" s="35">
        <f t="shared" si="24"/>
        <v>0</v>
      </c>
      <c r="BK29" s="35">
        <f t="shared" si="25"/>
        <v>0</v>
      </c>
      <c r="BL29" s="35">
        <f t="shared" si="26"/>
        <v>0</v>
      </c>
      <c r="BM29" s="35">
        <f t="shared" si="27"/>
        <v>0</v>
      </c>
      <c r="BN29" s="35">
        <f t="shared" si="28"/>
        <v>0</v>
      </c>
      <c r="BO29" s="35">
        <f t="shared" si="29"/>
        <v>0</v>
      </c>
      <c r="BP29" s="35">
        <f t="shared" si="30"/>
        <v>0</v>
      </c>
      <c r="BQ29" s="35">
        <f t="shared" si="31"/>
        <v>0</v>
      </c>
      <c r="BR29" s="35">
        <f t="shared" si="32"/>
        <v>0</v>
      </c>
      <c r="BS29" s="35">
        <f t="shared" si="33"/>
        <v>0</v>
      </c>
      <c r="BT29" s="43">
        <f t="shared" si="34"/>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0">
        <f t="shared" si="11"/>
        <v>0</v>
      </c>
      <c r="AW30" s="1790">
        <f t="shared" si="12"/>
        <v>0</v>
      </c>
      <c r="AX30" s="1790">
        <f t="shared" si="35"/>
        <v>0</v>
      </c>
      <c r="AY30" s="42">
        <f t="shared" si="13"/>
        <v>0</v>
      </c>
      <c r="AZ30" s="35">
        <f t="shared" si="14"/>
        <v>0</v>
      </c>
      <c r="BA30" s="35">
        <f t="shared" si="15"/>
        <v>0</v>
      </c>
      <c r="BB30" s="35">
        <f t="shared" si="16"/>
        <v>0</v>
      </c>
      <c r="BC30" s="35">
        <f t="shared" si="17"/>
        <v>0</v>
      </c>
      <c r="BD30" s="35">
        <f t="shared" si="18"/>
        <v>0</v>
      </c>
      <c r="BE30" s="35">
        <f t="shared" si="19"/>
        <v>0</v>
      </c>
      <c r="BF30" s="35">
        <f t="shared" si="20"/>
        <v>0</v>
      </c>
      <c r="BG30" s="35">
        <f t="shared" si="21"/>
        <v>0</v>
      </c>
      <c r="BH30" s="35">
        <f t="shared" si="22"/>
        <v>0</v>
      </c>
      <c r="BI30" s="35">
        <f t="shared" si="23"/>
        <v>0</v>
      </c>
      <c r="BJ30" s="35">
        <f t="shared" si="24"/>
        <v>0</v>
      </c>
      <c r="BK30" s="35">
        <f t="shared" si="25"/>
        <v>0</v>
      </c>
      <c r="BL30" s="35">
        <f t="shared" si="26"/>
        <v>0</v>
      </c>
      <c r="BM30" s="35">
        <f t="shared" si="27"/>
        <v>0</v>
      </c>
      <c r="BN30" s="35">
        <f t="shared" si="28"/>
        <v>0</v>
      </c>
      <c r="BO30" s="35">
        <f t="shared" si="29"/>
        <v>0</v>
      </c>
      <c r="BP30" s="35">
        <f t="shared" si="30"/>
        <v>0</v>
      </c>
      <c r="BQ30" s="35">
        <f t="shared" si="31"/>
        <v>0</v>
      </c>
      <c r="BR30" s="35">
        <f t="shared" si="32"/>
        <v>0</v>
      </c>
      <c r="BS30" s="35">
        <f t="shared" si="33"/>
        <v>0</v>
      </c>
      <c r="BT30" s="43">
        <f t="shared" si="34"/>
        <v>0</v>
      </c>
    </row>
    <row r="31" spans="1:72">
      <c r="A31" s="9"/>
      <c r="B31" s="34"/>
      <c r="C31" s="3018"/>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0">
        <f t="shared" si="11"/>
        <v>0</v>
      </c>
      <c r="AW31" s="1790">
        <f t="shared" si="12"/>
        <v>0</v>
      </c>
      <c r="AX31" s="1790">
        <f t="shared" si="35"/>
        <v>0</v>
      </c>
      <c r="AY31" s="42">
        <f t="shared" si="13"/>
        <v>0</v>
      </c>
      <c r="AZ31" s="35">
        <f t="shared" si="14"/>
        <v>0</v>
      </c>
      <c r="BA31" s="35">
        <f t="shared" si="15"/>
        <v>0</v>
      </c>
      <c r="BB31" s="35">
        <f t="shared" si="16"/>
        <v>0</v>
      </c>
      <c r="BC31" s="35">
        <f t="shared" si="17"/>
        <v>0</v>
      </c>
      <c r="BD31" s="35">
        <f t="shared" si="18"/>
        <v>0</v>
      </c>
      <c r="BE31" s="35">
        <f t="shared" si="19"/>
        <v>0</v>
      </c>
      <c r="BF31" s="35">
        <f t="shared" si="20"/>
        <v>0</v>
      </c>
      <c r="BG31" s="35">
        <f t="shared" si="21"/>
        <v>0</v>
      </c>
      <c r="BH31" s="35">
        <f t="shared" si="22"/>
        <v>0</v>
      </c>
      <c r="BI31" s="35">
        <f t="shared" si="23"/>
        <v>0</v>
      </c>
      <c r="BJ31" s="35">
        <f t="shared" si="24"/>
        <v>0</v>
      </c>
      <c r="BK31" s="35">
        <f t="shared" si="25"/>
        <v>0</v>
      </c>
      <c r="BL31" s="35">
        <f t="shared" si="26"/>
        <v>0</v>
      </c>
      <c r="BM31" s="35">
        <f t="shared" si="27"/>
        <v>0</v>
      </c>
      <c r="BN31" s="35">
        <f t="shared" si="28"/>
        <v>0</v>
      </c>
      <c r="BO31" s="35">
        <f t="shared" si="29"/>
        <v>0</v>
      </c>
      <c r="BP31" s="35">
        <f t="shared" si="30"/>
        <v>0</v>
      </c>
      <c r="BQ31" s="35">
        <f t="shared" si="31"/>
        <v>0</v>
      </c>
      <c r="BR31" s="35">
        <f t="shared" si="32"/>
        <v>0</v>
      </c>
      <c r="BS31" s="35">
        <f t="shared" si="33"/>
        <v>0</v>
      </c>
      <c r="BT31" s="43">
        <f t="shared" si="34"/>
        <v>0</v>
      </c>
    </row>
    <row r="32" spans="1:72">
      <c r="A32" s="9"/>
      <c r="B32" s="34"/>
      <c r="C32" s="3018"/>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0">
        <f t="shared" si="11"/>
        <v>0</v>
      </c>
      <c r="AW32" s="1790">
        <f t="shared" si="12"/>
        <v>0</v>
      </c>
      <c r="AX32" s="1790">
        <f t="shared" si="35"/>
        <v>0</v>
      </c>
      <c r="AY32" s="42">
        <f t="shared" si="13"/>
        <v>0</v>
      </c>
      <c r="AZ32" s="35">
        <f t="shared" si="14"/>
        <v>0</v>
      </c>
      <c r="BA32" s="35">
        <f t="shared" si="15"/>
        <v>0</v>
      </c>
      <c r="BB32" s="35">
        <f t="shared" si="16"/>
        <v>0</v>
      </c>
      <c r="BC32" s="35">
        <f t="shared" si="17"/>
        <v>0</v>
      </c>
      <c r="BD32" s="35">
        <f t="shared" si="18"/>
        <v>0</v>
      </c>
      <c r="BE32" s="35">
        <f t="shared" si="19"/>
        <v>0</v>
      </c>
      <c r="BF32" s="35">
        <f t="shared" si="20"/>
        <v>0</v>
      </c>
      <c r="BG32" s="35">
        <f t="shared" si="21"/>
        <v>0</v>
      </c>
      <c r="BH32" s="35">
        <f t="shared" si="22"/>
        <v>0</v>
      </c>
      <c r="BI32" s="35">
        <f t="shared" si="23"/>
        <v>0</v>
      </c>
      <c r="BJ32" s="35">
        <f t="shared" si="24"/>
        <v>0</v>
      </c>
      <c r="BK32" s="35">
        <f t="shared" si="25"/>
        <v>0</v>
      </c>
      <c r="BL32" s="35">
        <f t="shared" si="26"/>
        <v>0</v>
      </c>
      <c r="BM32" s="35">
        <f t="shared" si="27"/>
        <v>0</v>
      </c>
      <c r="BN32" s="35">
        <f t="shared" si="28"/>
        <v>0</v>
      </c>
      <c r="BO32" s="35">
        <f t="shared" si="29"/>
        <v>0</v>
      </c>
      <c r="BP32" s="35">
        <f t="shared" si="30"/>
        <v>0</v>
      </c>
      <c r="BQ32" s="35">
        <f t="shared" si="31"/>
        <v>0</v>
      </c>
      <c r="BR32" s="35">
        <f t="shared" si="32"/>
        <v>0</v>
      </c>
      <c r="BS32" s="35">
        <f t="shared" si="33"/>
        <v>0</v>
      </c>
      <c r="BT32" s="43">
        <f t="shared" si="34"/>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0">
        <f t="shared" si="11"/>
        <v>0</v>
      </c>
      <c r="AW33" s="1790">
        <f t="shared" si="12"/>
        <v>0</v>
      </c>
      <c r="AX33" s="1790">
        <f t="shared" si="35"/>
        <v>0</v>
      </c>
      <c r="AY33" s="42">
        <f t="shared" si="13"/>
        <v>0</v>
      </c>
      <c r="AZ33" s="35">
        <f t="shared" si="14"/>
        <v>0</v>
      </c>
      <c r="BA33" s="35">
        <f t="shared" si="15"/>
        <v>0</v>
      </c>
      <c r="BB33" s="35">
        <f t="shared" si="16"/>
        <v>0</v>
      </c>
      <c r="BC33" s="35">
        <f t="shared" si="17"/>
        <v>0</v>
      </c>
      <c r="BD33" s="35">
        <f t="shared" si="18"/>
        <v>0</v>
      </c>
      <c r="BE33" s="35">
        <f t="shared" si="19"/>
        <v>0</v>
      </c>
      <c r="BF33" s="35">
        <f t="shared" si="20"/>
        <v>0</v>
      </c>
      <c r="BG33" s="35">
        <f t="shared" si="21"/>
        <v>0</v>
      </c>
      <c r="BH33" s="35">
        <f t="shared" si="22"/>
        <v>0</v>
      </c>
      <c r="BI33" s="35">
        <f t="shared" si="23"/>
        <v>0</v>
      </c>
      <c r="BJ33" s="35">
        <f t="shared" si="24"/>
        <v>0</v>
      </c>
      <c r="BK33" s="35">
        <f t="shared" si="25"/>
        <v>0</v>
      </c>
      <c r="BL33" s="35">
        <f t="shared" si="26"/>
        <v>0</v>
      </c>
      <c r="BM33" s="35">
        <f t="shared" si="27"/>
        <v>0</v>
      </c>
      <c r="BN33" s="35">
        <f t="shared" si="28"/>
        <v>0</v>
      </c>
      <c r="BO33" s="35">
        <f t="shared" si="29"/>
        <v>0</v>
      </c>
      <c r="BP33" s="35">
        <f t="shared" si="30"/>
        <v>0</v>
      </c>
      <c r="BQ33" s="35">
        <f t="shared" si="31"/>
        <v>0</v>
      </c>
      <c r="BR33" s="35">
        <f t="shared" si="32"/>
        <v>0</v>
      </c>
      <c r="BS33" s="35">
        <f t="shared" si="33"/>
        <v>0</v>
      </c>
      <c r="BT33" s="43">
        <f t="shared" si="34"/>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0">
        <f t="shared" si="11"/>
        <v>0</v>
      </c>
      <c r="AW34" s="1790">
        <f t="shared" si="12"/>
        <v>0</v>
      </c>
      <c r="AX34" s="1790">
        <f t="shared" si="35"/>
        <v>0</v>
      </c>
      <c r="AY34" s="42">
        <f t="shared" si="13"/>
        <v>0</v>
      </c>
      <c r="AZ34" s="35">
        <f t="shared" si="14"/>
        <v>0</v>
      </c>
      <c r="BA34" s="35">
        <f t="shared" si="15"/>
        <v>0</v>
      </c>
      <c r="BB34" s="35">
        <f t="shared" si="16"/>
        <v>0</v>
      </c>
      <c r="BC34" s="35">
        <f t="shared" si="17"/>
        <v>0</v>
      </c>
      <c r="BD34" s="35">
        <f t="shared" si="18"/>
        <v>0</v>
      </c>
      <c r="BE34" s="35">
        <f t="shared" si="19"/>
        <v>0</v>
      </c>
      <c r="BF34" s="35">
        <f t="shared" si="20"/>
        <v>0</v>
      </c>
      <c r="BG34" s="35">
        <f t="shared" si="21"/>
        <v>0</v>
      </c>
      <c r="BH34" s="35">
        <f t="shared" si="22"/>
        <v>0</v>
      </c>
      <c r="BI34" s="35">
        <f t="shared" si="23"/>
        <v>0</v>
      </c>
      <c r="BJ34" s="35">
        <f t="shared" si="24"/>
        <v>0</v>
      </c>
      <c r="BK34" s="35">
        <f t="shared" si="25"/>
        <v>0</v>
      </c>
      <c r="BL34" s="35">
        <f t="shared" si="26"/>
        <v>0</v>
      </c>
      <c r="BM34" s="35">
        <f t="shared" si="27"/>
        <v>0</v>
      </c>
      <c r="BN34" s="35">
        <f t="shared" si="28"/>
        <v>0</v>
      </c>
      <c r="BO34" s="35">
        <f t="shared" si="29"/>
        <v>0</v>
      </c>
      <c r="BP34" s="35">
        <f t="shared" si="30"/>
        <v>0</v>
      </c>
      <c r="BQ34" s="35">
        <f t="shared" si="31"/>
        <v>0</v>
      </c>
      <c r="BR34" s="35">
        <f t="shared" si="32"/>
        <v>0</v>
      </c>
      <c r="BS34" s="35">
        <f t="shared" si="33"/>
        <v>0</v>
      </c>
      <c r="BT34" s="43">
        <f t="shared" si="34"/>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0">
        <f t="shared" si="11"/>
        <v>0</v>
      </c>
      <c r="AW35" s="1790">
        <f t="shared" si="12"/>
        <v>0</v>
      </c>
      <c r="AX35" s="1790">
        <f t="shared" si="35"/>
        <v>0</v>
      </c>
      <c r="AY35" s="42">
        <f t="shared" si="13"/>
        <v>0</v>
      </c>
      <c r="AZ35" s="35">
        <f t="shared" si="14"/>
        <v>0</v>
      </c>
      <c r="BA35" s="35">
        <f t="shared" si="15"/>
        <v>0</v>
      </c>
      <c r="BB35" s="35">
        <f t="shared" si="16"/>
        <v>0</v>
      </c>
      <c r="BC35" s="35">
        <f t="shared" si="17"/>
        <v>0</v>
      </c>
      <c r="BD35" s="35">
        <f t="shared" si="18"/>
        <v>0</v>
      </c>
      <c r="BE35" s="35">
        <f t="shared" si="19"/>
        <v>0</v>
      </c>
      <c r="BF35" s="35">
        <f t="shared" si="20"/>
        <v>0</v>
      </c>
      <c r="BG35" s="35">
        <f t="shared" si="21"/>
        <v>0</v>
      </c>
      <c r="BH35" s="35">
        <f t="shared" si="22"/>
        <v>0</v>
      </c>
      <c r="BI35" s="35">
        <f t="shared" si="23"/>
        <v>0</v>
      </c>
      <c r="BJ35" s="35">
        <f t="shared" si="24"/>
        <v>0</v>
      </c>
      <c r="BK35" s="35">
        <f t="shared" si="25"/>
        <v>0</v>
      </c>
      <c r="BL35" s="35">
        <f t="shared" si="26"/>
        <v>0</v>
      </c>
      <c r="BM35" s="35">
        <f t="shared" si="27"/>
        <v>0</v>
      </c>
      <c r="BN35" s="35">
        <f t="shared" si="28"/>
        <v>0</v>
      </c>
      <c r="BO35" s="35">
        <f t="shared" si="29"/>
        <v>0</v>
      </c>
      <c r="BP35" s="35">
        <f t="shared" si="30"/>
        <v>0</v>
      </c>
      <c r="BQ35" s="35">
        <f t="shared" si="31"/>
        <v>0</v>
      </c>
      <c r="BR35" s="35">
        <f t="shared" si="32"/>
        <v>0</v>
      </c>
      <c r="BS35" s="35">
        <f t="shared" si="33"/>
        <v>0</v>
      </c>
      <c r="BT35" s="43">
        <f t="shared" si="34"/>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0">
        <f t="shared" si="11"/>
        <v>0</v>
      </c>
      <c r="AW36" s="1790">
        <f t="shared" si="12"/>
        <v>0</v>
      </c>
      <c r="AX36" s="1790">
        <f t="shared" si="35"/>
        <v>0</v>
      </c>
      <c r="AY36" s="42">
        <f t="shared" si="13"/>
        <v>0</v>
      </c>
      <c r="AZ36" s="35">
        <f t="shared" si="14"/>
        <v>0</v>
      </c>
      <c r="BA36" s="35">
        <f t="shared" si="15"/>
        <v>0</v>
      </c>
      <c r="BB36" s="35">
        <f t="shared" si="16"/>
        <v>0</v>
      </c>
      <c r="BC36" s="35">
        <f t="shared" si="17"/>
        <v>0</v>
      </c>
      <c r="BD36" s="35">
        <f t="shared" si="18"/>
        <v>0</v>
      </c>
      <c r="BE36" s="35">
        <f t="shared" si="19"/>
        <v>0</v>
      </c>
      <c r="BF36" s="35">
        <f t="shared" si="20"/>
        <v>0</v>
      </c>
      <c r="BG36" s="35">
        <f t="shared" si="21"/>
        <v>0</v>
      </c>
      <c r="BH36" s="35">
        <f t="shared" si="22"/>
        <v>0</v>
      </c>
      <c r="BI36" s="35">
        <f t="shared" si="23"/>
        <v>0</v>
      </c>
      <c r="BJ36" s="35">
        <f t="shared" si="24"/>
        <v>0</v>
      </c>
      <c r="BK36" s="35">
        <f t="shared" si="25"/>
        <v>0</v>
      </c>
      <c r="BL36" s="35">
        <f t="shared" si="26"/>
        <v>0</v>
      </c>
      <c r="BM36" s="35">
        <f t="shared" si="27"/>
        <v>0</v>
      </c>
      <c r="BN36" s="35">
        <f t="shared" si="28"/>
        <v>0</v>
      </c>
      <c r="BO36" s="35">
        <f t="shared" si="29"/>
        <v>0</v>
      </c>
      <c r="BP36" s="35">
        <f t="shared" si="30"/>
        <v>0</v>
      </c>
      <c r="BQ36" s="35">
        <f t="shared" si="31"/>
        <v>0</v>
      </c>
      <c r="BR36" s="35">
        <f t="shared" si="32"/>
        <v>0</v>
      </c>
      <c r="BS36" s="35">
        <f t="shared" si="33"/>
        <v>0</v>
      </c>
      <c r="BT36" s="43">
        <f t="shared" si="34"/>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0">
        <f t="shared" si="11"/>
        <v>0</v>
      </c>
      <c r="AW37" s="1790">
        <f t="shared" si="12"/>
        <v>0</v>
      </c>
      <c r="AX37" s="1790">
        <f t="shared" si="35"/>
        <v>0</v>
      </c>
      <c r="AY37" s="42">
        <f t="shared" si="13"/>
        <v>0</v>
      </c>
      <c r="AZ37" s="35">
        <f t="shared" si="14"/>
        <v>0</v>
      </c>
      <c r="BA37" s="35">
        <f t="shared" si="15"/>
        <v>0</v>
      </c>
      <c r="BB37" s="35">
        <f t="shared" si="16"/>
        <v>0</v>
      </c>
      <c r="BC37" s="35">
        <f t="shared" si="17"/>
        <v>0</v>
      </c>
      <c r="BD37" s="35">
        <f t="shared" si="18"/>
        <v>0</v>
      </c>
      <c r="BE37" s="35">
        <f t="shared" si="19"/>
        <v>0</v>
      </c>
      <c r="BF37" s="35">
        <f t="shared" si="20"/>
        <v>0</v>
      </c>
      <c r="BG37" s="35">
        <f t="shared" si="21"/>
        <v>0</v>
      </c>
      <c r="BH37" s="35">
        <f t="shared" si="22"/>
        <v>0</v>
      </c>
      <c r="BI37" s="35">
        <f t="shared" si="23"/>
        <v>0</v>
      </c>
      <c r="BJ37" s="35">
        <f t="shared" si="24"/>
        <v>0</v>
      </c>
      <c r="BK37" s="35">
        <f t="shared" si="25"/>
        <v>0</v>
      </c>
      <c r="BL37" s="35">
        <f t="shared" si="26"/>
        <v>0</v>
      </c>
      <c r="BM37" s="35">
        <f t="shared" si="27"/>
        <v>0</v>
      </c>
      <c r="BN37" s="35">
        <f t="shared" si="28"/>
        <v>0</v>
      </c>
      <c r="BO37" s="35">
        <f t="shared" si="29"/>
        <v>0</v>
      </c>
      <c r="BP37" s="35">
        <f t="shared" si="30"/>
        <v>0</v>
      </c>
      <c r="BQ37" s="35">
        <f t="shared" si="31"/>
        <v>0</v>
      </c>
      <c r="BR37" s="35">
        <f t="shared" si="32"/>
        <v>0</v>
      </c>
      <c r="BS37" s="35">
        <f t="shared" si="33"/>
        <v>0</v>
      </c>
      <c r="BT37" s="43">
        <f t="shared" si="34"/>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0">
        <f t="shared" si="11"/>
        <v>0</v>
      </c>
      <c r="AW38" s="1790">
        <f t="shared" si="12"/>
        <v>0</v>
      </c>
      <c r="AX38" s="1790">
        <f t="shared" si="35"/>
        <v>0</v>
      </c>
      <c r="AY38" s="42">
        <f t="shared" si="13"/>
        <v>0</v>
      </c>
      <c r="AZ38" s="35">
        <f t="shared" si="14"/>
        <v>0</v>
      </c>
      <c r="BA38" s="35">
        <f t="shared" si="15"/>
        <v>0</v>
      </c>
      <c r="BB38" s="35">
        <f t="shared" si="16"/>
        <v>0</v>
      </c>
      <c r="BC38" s="35">
        <f t="shared" si="17"/>
        <v>0</v>
      </c>
      <c r="BD38" s="35">
        <f t="shared" si="18"/>
        <v>0</v>
      </c>
      <c r="BE38" s="35">
        <f t="shared" si="19"/>
        <v>0</v>
      </c>
      <c r="BF38" s="35">
        <f t="shared" si="20"/>
        <v>0</v>
      </c>
      <c r="BG38" s="35">
        <f t="shared" si="21"/>
        <v>0</v>
      </c>
      <c r="BH38" s="35">
        <f t="shared" si="22"/>
        <v>0</v>
      </c>
      <c r="BI38" s="35">
        <f t="shared" si="23"/>
        <v>0</v>
      </c>
      <c r="BJ38" s="35">
        <f t="shared" si="24"/>
        <v>0</v>
      </c>
      <c r="BK38" s="35">
        <f t="shared" si="25"/>
        <v>0</v>
      </c>
      <c r="BL38" s="35">
        <f t="shared" si="26"/>
        <v>0</v>
      </c>
      <c r="BM38" s="35">
        <f t="shared" si="27"/>
        <v>0</v>
      </c>
      <c r="BN38" s="35">
        <f t="shared" si="28"/>
        <v>0</v>
      </c>
      <c r="BO38" s="35">
        <f t="shared" si="29"/>
        <v>0</v>
      </c>
      <c r="BP38" s="35">
        <f t="shared" si="30"/>
        <v>0</v>
      </c>
      <c r="BQ38" s="35">
        <f t="shared" si="31"/>
        <v>0</v>
      </c>
      <c r="BR38" s="35">
        <f t="shared" si="32"/>
        <v>0</v>
      </c>
      <c r="BS38" s="35">
        <f t="shared" si="33"/>
        <v>0</v>
      </c>
      <c r="BT38" s="43">
        <f t="shared" si="34"/>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0">
        <f t="shared" si="11"/>
        <v>0</v>
      </c>
      <c r="AW39" s="1790">
        <f t="shared" si="12"/>
        <v>0</v>
      </c>
      <c r="AX39" s="1790">
        <f t="shared" si="35"/>
        <v>0</v>
      </c>
      <c r="AY39" s="42">
        <f t="shared" si="13"/>
        <v>0</v>
      </c>
      <c r="AZ39" s="35">
        <f t="shared" si="14"/>
        <v>0</v>
      </c>
      <c r="BA39" s="35">
        <f t="shared" si="15"/>
        <v>0</v>
      </c>
      <c r="BB39" s="35">
        <f t="shared" si="16"/>
        <v>0</v>
      </c>
      <c r="BC39" s="35">
        <f t="shared" si="17"/>
        <v>0</v>
      </c>
      <c r="BD39" s="35">
        <f t="shared" si="18"/>
        <v>0</v>
      </c>
      <c r="BE39" s="35">
        <f t="shared" si="19"/>
        <v>0</v>
      </c>
      <c r="BF39" s="35">
        <f t="shared" si="20"/>
        <v>0</v>
      </c>
      <c r="BG39" s="35">
        <f t="shared" si="21"/>
        <v>0</v>
      </c>
      <c r="BH39" s="35">
        <f t="shared" si="22"/>
        <v>0</v>
      </c>
      <c r="BI39" s="35">
        <f t="shared" si="23"/>
        <v>0</v>
      </c>
      <c r="BJ39" s="35">
        <f t="shared" si="24"/>
        <v>0</v>
      </c>
      <c r="BK39" s="35">
        <f t="shared" si="25"/>
        <v>0</v>
      </c>
      <c r="BL39" s="35">
        <f t="shared" si="26"/>
        <v>0</v>
      </c>
      <c r="BM39" s="35">
        <f t="shared" si="27"/>
        <v>0</v>
      </c>
      <c r="BN39" s="35">
        <f t="shared" si="28"/>
        <v>0</v>
      </c>
      <c r="BO39" s="35">
        <f t="shared" si="29"/>
        <v>0</v>
      </c>
      <c r="BP39" s="35">
        <f t="shared" si="30"/>
        <v>0</v>
      </c>
      <c r="BQ39" s="35">
        <f t="shared" si="31"/>
        <v>0</v>
      </c>
      <c r="BR39" s="35">
        <f t="shared" si="32"/>
        <v>0</v>
      </c>
      <c r="BS39" s="35">
        <f t="shared" si="33"/>
        <v>0</v>
      </c>
      <c r="BT39" s="43">
        <f t="shared" si="34"/>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0">
        <f t="shared" si="11"/>
        <v>0</v>
      </c>
      <c r="AW40" s="1790">
        <f t="shared" si="12"/>
        <v>0</v>
      </c>
      <c r="AX40" s="1790">
        <f t="shared" si="35"/>
        <v>0</v>
      </c>
      <c r="AY40" s="42">
        <f t="shared" si="13"/>
        <v>0</v>
      </c>
      <c r="AZ40" s="35">
        <f t="shared" si="14"/>
        <v>0</v>
      </c>
      <c r="BA40" s="35">
        <f t="shared" si="15"/>
        <v>0</v>
      </c>
      <c r="BB40" s="35">
        <f t="shared" si="16"/>
        <v>0</v>
      </c>
      <c r="BC40" s="35">
        <f t="shared" si="17"/>
        <v>0</v>
      </c>
      <c r="BD40" s="35">
        <f t="shared" si="18"/>
        <v>0</v>
      </c>
      <c r="BE40" s="35">
        <f t="shared" si="19"/>
        <v>0</v>
      </c>
      <c r="BF40" s="35">
        <f t="shared" si="20"/>
        <v>0</v>
      </c>
      <c r="BG40" s="35">
        <f t="shared" si="21"/>
        <v>0</v>
      </c>
      <c r="BH40" s="35">
        <f t="shared" si="22"/>
        <v>0</v>
      </c>
      <c r="BI40" s="35">
        <f t="shared" si="23"/>
        <v>0</v>
      </c>
      <c r="BJ40" s="35">
        <f t="shared" si="24"/>
        <v>0</v>
      </c>
      <c r="BK40" s="35">
        <f t="shared" si="25"/>
        <v>0</v>
      </c>
      <c r="BL40" s="35">
        <f t="shared" si="26"/>
        <v>0</v>
      </c>
      <c r="BM40" s="35">
        <f t="shared" si="27"/>
        <v>0</v>
      </c>
      <c r="BN40" s="35">
        <f t="shared" si="28"/>
        <v>0</v>
      </c>
      <c r="BO40" s="35">
        <f t="shared" si="29"/>
        <v>0</v>
      </c>
      <c r="BP40" s="35">
        <f t="shared" si="30"/>
        <v>0</v>
      </c>
      <c r="BQ40" s="35">
        <f t="shared" si="31"/>
        <v>0</v>
      </c>
      <c r="BR40" s="35">
        <f t="shared" si="32"/>
        <v>0</v>
      </c>
      <c r="BS40" s="35">
        <f t="shared" si="33"/>
        <v>0</v>
      </c>
      <c r="BT40" s="43">
        <f t="shared" si="34"/>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0">
        <f t="shared" si="11"/>
        <v>0</v>
      </c>
      <c r="AW41" s="1790">
        <f t="shared" si="12"/>
        <v>0</v>
      </c>
      <c r="AX41" s="1790">
        <f t="shared" si="35"/>
        <v>0</v>
      </c>
      <c r="AY41" s="42">
        <f t="shared" si="13"/>
        <v>0</v>
      </c>
      <c r="AZ41" s="35">
        <f t="shared" si="14"/>
        <v>0</v>
      </c>
      <c r="BA41" s="35">
        <f t="shared" si="15"/>
        <v>0</v>
      </c>
      <c r="BB41" s="35">
        <f t="shared" si="16"/>
        <v>0</v>
      </c>
      <c r="BC41" s="35">
        <f t="shared" si="17"/>
        <v>0</v>
      </c>
      <c r="BD41" s="35">
        <f t="shared" si="18"/>
        <v>0</v>
      </c>
      <c r="BE41" s="35">
        <f t="shared" si="19"/>
        <v>0</v>
      </c>
      <c r="BF41" s="35">
        <f t="shared" si="20"/>
        <v>0</v>
      </c>
      <c r="BG41" s="35">
        <f t="shared" si="21"/>
        <v>0</v>
      </c>
      <c r="BH41" s="35">
        <f t="shared" si="22"/>
        <v>0</v>
      </c>
      <c r="BI41" s="35">
        <f t="shared" si="23"/>
        <v>0</v>
      </c>
      <c r="BJ41" s="35">
        <f t="shared" si="24"/>
        <v>0</v>
      </c>
      <c r="BK41" s="35">
        <f t="shared" si="25"/>
        <v>0</v>
      </c>
      <c r="BL41" s="35">
        <f t="shared" si="26"/>
        <v>0</v>
      </c>
      <c r="BM41" s="35">
        <f t="shared" si="27"/>
        <v>0</v>
      </c>
      <c r="BN41" s="35">
        <f t="shared" si="28"/>
        <v>0</v>
      </c>
      <c r="BO41" s="35">
        <f t="shared" si="29"/>
        <v>0</v>
      </c>
      <c r="BP41" s="35">
        <f t="shared" si="30"/>
        <v>0</v>
      </c>
      <c r="BQ41" s="35">
        <f t="shared" si="31"/>
        <v>0</v>
      </c>
      <c r="BR41" s="35">
        <f t="shared" si="32"/>
        <v>0</v>
      </c>
      <c r="BS41" s="35">
        <f t="shared" si="33"/>
        <v>0</v>
      </c>
      <c r="BT41" s="43">
        <f t="shared" si="34"/>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0">
        <f t="shared" si="11"/>
        <v>0</v>
      </c>
      <c r="AW42" s="1790">
        <f t="shared" si="12"/>
        <v>0</v>
      </c>
      <c r="AX42" s="1790">
        <f t="shared" si="35"/>
        <v>0</v>
      </c>
      <c r="AY42" s="42">
        <f t="shared" si="13"/>
        <v>0</v>
      </c>
      <c r="AZ42" s="35">
        <f t="shared" si="14"/>
        <v>0</v>
      </c>
      <c r="BA42" s="35">
        <f t="shared" si="15"/>
        <v>0</v>
      </c>
      <c r="BB42" s="35">
        <f t="shared" si="16"/>
        <v>0</v>
      </c>
      <c r="BC42" s="35">
        <f t="shared" si="17"/>
        <v>0</v>
      </c>
      <c r="BD42" s="35">
        <f t="shared" si="18"/>
        <v>0</v>
      </c>
      <c r="BE42" s="35">
        <f t="shared" si="19"/>
        <v>0</v>
      </c>
      <c r="BF42" s="35">
        <f t="shared" si="20"/>
        <v>0</v>
      </c>
      <c r="BG42" s="35">
        <f t="shared" si="21"/>
        <v>0</v>
      </c>
      <c r="BH42" s="35">
        <f t="shared" si="22"/>
        <v>0</v>
      </c>
      <c r="BI42" s="35">
        <f t="shared" si="23"/>
        <v>0</v>
      </c>
      <c r="BJ42" s="35">
        <f t="shared" si="24"/>
        <v>0</v>
      </c>
      <c r="BK42" s="35">
        <f t="shared" si="25"/>
        <v>0</v>
      </c>
      <c r="BL42" s="35">
        <f t="shared" si="26"/>
        <v>0</v>
      </c>
      <c r="BM42" s="35">
        <f t="shared" si="27"/>
        <v>0</v>
      </c>
      <c r="BN42" s="35">
        <f t="shared" si="28"/>
        <v>0</v>
      </c>
      <c r="BO42" s="35">
        <f t="shared" si="29"/>
        <v>0</v>
      </c>
      <c r="BP42" s="35">
        <f t="shared" si="30"/>
        <v>0</v>
      </c>
      <c r="BQ42" s="35">
        <f t="shared" si="31"/>
        <v>0</v>
      </c>
      <c r="BR42" s="35">
        <f t="shared" si="32"/>
        <v>0</v>
      </c>
      <c r="BS42" s="35">
        <f t="shared" si="33"/>
        <v>0</v>
      </c>
      <c r="BT42" s="43">
        <f t="shared" si="34"/>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0">
        <f t="shared" si="11"/>
        <v>0</v>
      </c>
      <c r="AW43" s="1790">
        <f t="shared" si="12"/>
        <v>0</v>
      </c>
      <c r="AX43" s="1790">
        <f t="shared" si="35"/>
        <v>0</v>
      </c>
      <c r="AY43" s="42">
        <f t="shared" si="13"/>
        <v>0</v>
      </c>
      <c r="AZ43" s="35">
        <f t="shared" si="14"/>
        <v>0</v>
      </c>
      <c r="BA43" s="35">
        <f t="shared" si="15"/>
        <v>0</v>
      </c>
      <c r="BB43" s="35">
        <f t="shared" si="16"/>
        <v>0</v>
      </c>
      <c r="BC43" s="35">
        <f t="shared" si="17"/>
        <v>0</v>
      </c>
      <c r="BD43" s="35">
        <f t="shared" si="18"/>
        <v>0</v>
      </c>
      <c r="BE43" s="35">
        <f t="shared" si="19"/>
        <v>0</v>
      </c>
      <c r="BF43" s="35">
        <f t="shared" si="20"/>
        <v>0</v>
      </c>
      <c r="BG43" s="35">
        <f t="shared" si="21"/>
        <v>0</v>
      </c>
      <c r="BH43" s="35">
        <f t="shared" si="22"/>
        <v>0</v>
      </c>
      <c r="BI43" s="35">
        <f t="shared" si="23"/>
        <v>0</v>
      </c>
      <c r="BJ43" s="35">
        <f t="shared" si="24"/>
        <v>0</v>
      </c>
      <c r="BK43" s="35">
        <f t="shared" si="25"/>
        <v>0</v>
      </c>
      <c r="BL43" s="35">
        <f t="shared" si="26"/>
        <v>0</v>
      </c>
      <c r="BM43" s="35">
        <f t="shared" si="27"/>
        <v>0</v>
      </c>
      <c r="BN43" s="35">
        <f t="shared" si="28"/>
        <v>0</v>
      </c>
      <c r="BO43" s="35">
        <f t="shared" si="29"/>
        <v>0</v>
      </c>
      <c r="BP43" s="35">
        <f t="shared" si="30"/>
        <v>0</v>
      </c>
      <c r="BQ43" s="35">
        <f t="shared" si="31"/>
        <v>0</v>
      </c>
      <c r="BR43" s="35">
        <f t="shared" si="32"/>
        <v>0</v>
      </c>
      <c r="BS43" s="35">
        <f t="shared" si="33"/>
        <v>0</v>
      </c>
      <c r="BT43" s="43">
        <f t="shared" si="34"/>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0">
        <f t="shared" si="11"/>
        <v>0</v>
      </c>
      <c r="AW44" s="1790">
        <f t="shared" si="12"/>
        <v>0</v>
      </c>
      <c r="AX44" s="1790">
        <f t="shared" si="35"/>
        <v>0</v>
      </c>
      <c r="AY44" s="42">
        <f t="shared" si="13"/>
        <v>0</v>
      </c>
      <c r="AZ44" s="35">
        <f t="shared" si="14"/>
        <v>0</v>
      </c>
      <c r="BA44" s="35">
        <f t="shared" si="15"/>
        <v>0</v>
      </c>
      <c r="BB44" s="35">
        <f t="shared" si="16"/>
        <v>0</v>
      </c>
      <c r="BC44" s="35">
        <f t="shared" si="17"/>
        <v>0</v>
      </c>
      <c r="BD44" s="35">
        <f t="shared" si="18"/>
        <v>0</v>
      </c>
      <c r="BE44" s="35">
        <f t="shared" si="19"/>
        <v>0</v>
      </c>
      <c r="BF44" s="35">
        <f t="shared" si="20"/>
        <v>0</v>
      </c>
      <c r="BG44" s="35">
        <f t="shared" si="21"/>
        <v>0</v>
      </c>
      <c r="BH44" s="35">
        <f t="shared" si="22"/>
        <v>0</v>
      </c>
      <c r="BI44" s="35">
        <f t="shared" si="23"/>
        <v>0</v>
      </c>
      <c r="BJ44" s="35">
        <f t="shared" si="24"/>
        <v>0</v>
      </c>
      <c r="BK44" s="35">
        <f t="shared" si="25"/>
        <v>0</v>
      </c>
      <c r="BL44" s="35">
        <f t="shared" si="26"/>
        <v>0</v>
      </c>
      <c r="BM44" s="35">
        <f t="shared" si="27"/>
        <v>0</v>
      </c>
      <c r="BN44" s="35">
        <f t="shared" si="28"/>
        <v>0</v>
      </c>
      <c r="BO44" s="35">
        <f t="shared" si="29"/>
        <v>0</v>
      </c>
      <c r="BP44" s="35">
        <f t="shared" si="30"/>
        <v>0</v>
      </c>
      <c r="BQ44" s="35">
        <f t="shared" si="31"/>
        <v>0</v>
      </c>
      <c r="BR44" s="35">
        <f t="shared" si="32"/>
        <v>0</v>
      </c>
      <c r="BS44" s="35">
        <f t="shared" si="33"/>
        <v>0</v>
      </c>
      <c r="BT44" s="43">
        <f t="shared" si="34"/>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0">
        <f t="shared" si="11"/>
        <v>0</v>
      </c>
      <c r="AW45" s="1790">
        <f t="shared" si="12"/>
        <v>0</v>
      </c>
      <c r="AX45" s="1790">
        <f t="shared" si="35"/>
        <v>0</v>
      </c>
      <c r="AY45" s="42">
        <f t="shared" si="13"/>
        <v>0</v>
      </c>
      <c r="AZ45" s="35">
        <f t="shared" si="14"/>
        <v>0</v>
      </c>
      <c r="BA45" s="35">
        <f t="shared" si="15"/>
        <v>0</v>
      </c>
      <c r="BB45" s="35">
        <f t="shared" si="16"/>
        <v>0</v>
      </c>
      <c r="BC45" s="35">
        <f t="shared" si="17"/>
        <v>0</v>
      </c>
      <c r="BD45" s="35">
        <f t="shared" si="18"/>
        <v>0</v>
      </c>
      <c r="BE45" s="35">
        <f t="shared" si="19"/>
        <v>0</v>
      </c>
      <c r="BF45" s="35">
        <f t="shared" si="20"/>
        <v>0</v>
      </c>
      <c r="BG45" s="35">
        <f t="shared" si="21"/>
        <v>0</v>
      </c>
      <c r="BH45" s="35">
        <f t="shared" si="22"/>
        <v>0</v>
      </c>
      <c r="BI45" s="35">
        <f t="shared" si="23"/>
        <v>0</v>
      </c>
      <c r="BJ45" s="35">
        <f t="shared" si="24"/>
        <v>0</v>
      </c>
      <c r="BK45" s="35">
        <f t="shared" si="25"/>
        <v>0</v>
      </c>
      <c r="BL45" s="35">
        <f t="shared" si="26"/>
        <v>0</v>
      </c>
      <c r="BM45" s="35">
        <f t="shared" si="27"/>
        <v>0</v>
      </c>
      <c r="BN45" s="35">
        <f t="shared" si="28"/>
        <v>0</v>
      </c>
      <c r="BO45" s="35">
        <f t="shared" si="29"/>
        <v>0</v>
      </c>
      <c r="BP45" s="35">
        <f t="shared" si="30"/>
        <v>0</v>
      </c>
      <c r="BQ45" s="35">
        <f t="shared" si="31"/>
        <v>0</v>
      </c>
      <c r="BR45" s="35">
        <f t="shared" si="32"/>
        <v>0</v>
      </c>
      <c r="BS45" s="35">
        <f t="shared" si="33"/>
        <v>0</v>
      </c>
      <c r="BT45" s="43">
        <f t="shared" si="34"/>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0">
        <f t="shared" si="11"/>
        <v>0</v>
      </c>
      <c r="AW46" s="1790">
        <f t="shared" si="12"/>
        <v>0</v>
      </c>
      <c r="AX46" s="1790">
        <f t="shared" si="35"/>
        <v>0</v>
      </c>
      <c r="AY46" s="42">
        <f t="shared" si="13"/>
        <v>0</v>
      </c>
      <c r="AZ46" s="35">
        <f t="shared" si="14"/>
        <v>0</v>
      </c>
      <c r="BA46" s="35">
        <f t="shared" si="15"/>
        <v>0</v>
      </c>
      <c r="BB46" s="35">
        <f t="shared" si="16"/>
        <v>0</v>
      </c>
      <c r="BC46" s="35">
        <f t="shared" si="17"/>
        <v>0</v>
      </c>
      <c r="BD46" s="35">
        <f t="shared" si="18"/>
        <v>0</v>
      </c>
      <c r="BE46" s="35">
        <f t="shared" si="19"/>
        <v>0</v>
      </c>
      <c r="BF46" s="35">
        <f t="shared" si="20"/>
        <v>0</v>
      </c>
      <c r="BG46" s="35">
        <f t="shared" si="21"/>
        <v>0</v>
      </c>
      <c r="BH46" s="35">
        <f t="shared" si="22"/>
        <v>0</v>
      </c>
      <c r="BI46" s="35">
        <f t="shared" si="23"/>
        <v>0</v>
      </c>
      <c r="BJ46" s="35">
        <f t="shared" si="24"/>
        <v>0</v>
      </c>
      <c r="BK46" s="35">
        <f t="shared" si="25"/>
        <v>0</v>
      </c>
      <c r="BL46" s="35">
        <f t="shared" si="26"/>
        <v>0</v>
      </c>
      <c r="BM46" s="35">
        <f t="shared" si="27"/>
        <v>0</v>
      </c>
      <c r="BN46" s="35">
        <f t="shared" si="28"/>
        <v>0</v>
      </c>
      <c r="BO46" s="35">
        <f t="shared" si="29"/>
        <v>0</v>
      </c>
      <c r="BP46" s="35">
        <f t="shared" si="30"/>
        <v>0</v>
      </c>
      <c r="BQ46" s="35">
        <f t="shared" si="31"/>
        <v>0</v>
      </c>
      <c r="BR46" s="35">
        <f t="shared" si="32"/>
        <v>0</v>
      </c>
      <c r="BS46" s="35">
        <f t="shared" si="33"/>
        <v>0</v>
      </c>
      <c r="BT46" s="43">
        <f t="shared" si="34"/>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0">
        <f t="shared" si="11"/>
        <v>0</v>
      </c>
      <c r="AW47" s="1790">
        <f t="shared" si="12"/>
        <v>0</v>
      </c>
      <c r="AX47" s="1790">
        <f t="shared" si="35"/>
        <v>0</v>
      </c>
      <c r="AY47" s="42">
        <f t="shared" si="13"/>
        <v>0</v>
      </c>
      <c r="AZ47" s="35">
        <f t="shared" si="14"/>
        <v>0</v>
      </c>
      <c r="BA47" s="35">
        <f t="shared" si="15"/>
        <v>0</v>
      </c>
      <c r="BB47" s="35">
        <f t="shared" si="16"/>
        <v>0</v>
      </c>
      <c r="BC47" s="35">
        <f t="shared" si="17"/>
        <v>0</v>
      </c>
      <c r="BD47" s="35">
        <f t="shared" si="18"/>
        <v>0</v>
      </c>
      <c r="BE47" s="35">
        <f t="shared" si="19"/>
        <v>0</v>
      </c>
      <c r="BF47" s="35">
        <f t="shared" si="20"/>
        <v>0</v>
      </c>
      <c r="BG47" s="35">
        <f t="shared" si="21"/>
        <v>0</v>
      </c>
      <c r="BH47" s="35">
        <f t="shared" si="22"/>
        <v>0</v>
      </c>
      <c r="BI47" s="35">
        <f t="shared" si="23"/>
        <v>0</v>
      </c>
      <c r="BJ47" s="35">
        <f t="shared" si="24"/>
        <v>0</v>
      </c>
      <c r="BK47" s="35">
        <f t="shared" si="25"/>
        <v>0</v>
      </c>
      <c r="BL47" s="35">
        <f t="shared" si="26"/>
        <v>0</v>
      </c>
      <c r="BM47" s="35">
        <f t="shared" si="27"/>
        <v>0</v>
      </c>
      <c r="BN47" s="35">
        <f t="shared" si="28"/>
        <v>0</v>
      </c>
      <c r="BO47" s="35">
        <f t="shared" si="29"/>
        <v>0</v>
      </c>
      <c r="BP47" s="35">
        <f t="shared" si="30"/>
        <v>0</v>
      </c>
      <c r="BQ47" s="35">
        <f t="shared" si="31"/>
        <v>0</v>
      </c>
      <c r="BR47" s="35">
        <f t="shared" si="32"/>
        <v>0</v>
      </c>
      <c r="BS47" s="35">
        <f t="shared" si="33"/>
        <v>0</v>
      </c>
      <c r="BT47" s="43">
        <f t="shared" si="34"/>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0">
        <f t="shared" si="11"/>
        <v>0</v>
      </c>
      <c r="AW48" s="1790">
        <f t="shared" si="12"/>
        <v>0</v>
      </c>
      <c r="AX48" s="1790">
        <f t="shared" si="35"/>
        <v>0</v>
      </c>
      <c r="AY48" s="42">
        <f t="shared" si="13"/>
        <v>0</v>
      </c>
      <c r="AZ48" s="35">
        <f t="shared" si="14"/>
        <v>0</v>
      </c>
      <c r="BA48" s="35">
        <f t="shared" si="15"/>
        <v>0</v>
      </c>
      <c r="BB48" s="35">
        <f t="shared" si="16"/>
        <v>0</v>
      </c>
      <c r="BC48" s="35">
        <f t="shared" si="17"/>
        <v>0</v>
      </c>
      <c r="BD48" s="35">
        <f t="shared" si="18"/>
        <v>0</v>
      </c>
      <c r="BE48" s="35">
        <f t="shared" si="19"/>
        <v>0</v>
      </c>
      <c r="BF48" s="35">
        <f t="shared" si="20"/>
        <v>0</v>
      </c>
      <c r="BG48" s="35">
        <f t="shared" si="21"/>
        <v>0</v>
      </c>
      <c r="BH48" s="35">
        <f t="shared" si="22"/>
        <v>0</v>
      </c>
      <c r="BI48" s="35">
        <f t="shared" si="23"/>
        <v>0</v>
      </c>
      <c r="BJ48" s="35">
        <f t="shared" si="24"/>
        <v>0</v>
      </c>
      <c r="BK48" s="35">
        <f t="shared" si="25"/>
        <v>0</v>
      </c>
      <c r="BL48" s="35">
        <f t="shared" si="26"/>
        <v>0</v>
      </c>
      <c r="BM48" s="35">
        <f t="shared" si="27"/>
        <v>0</v>
      </c>
      <c r="BN48" s="35">
        <f t="shared" si="28"/>
        <v>0</v>
      </c>
      <c r="BO48" s="35">
        <f t="shared" si="29"/>
        <v>0</v>
      </c>
      <c r="BP48" s="35">
        <f t="shared" si="30"/>
        <v>0</v>
      </c>
      <c r="BQ48" s="35">
        <f t="shared" si="31"/>
        <v>0</v>
      </c>
      <c r="BR48" s="35">
        <f t="shared" si="32"/>
        <v>0</v>
      </c>
      <c r="BS48" s="35">
        <f t="shared" si="33"/>
        <v>0</v>
      </c>
      <c r="BT48" s="43">
        <f t="shared" si="34"/>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0">
        <f t="shared" si="11"/>
        <v>0</v>
      </c>
      <c r="AW49" s="1790">
        <f t="shared" si="12"/>
        <v>0</v>
      </c>
      <c r="AX49" s="1790">
        <f t="shared" si="35"/>
        <v>0</v>
      </c>
      <c r="AY49" s="42">
        <f t="shared" si="13"/>
        <v>0</v>
      </c>
      <c r="AZ49" s="35">
        <f t="shared" si="14"/>
        <v>0</v>
      </c>
      <c r="BA49" s="35">
        <f t="shared" si="15"/>
        <v>0</v>
      </c>
      <c r="BB49" s="35">
        <f t="shared" si="16"/>
        <v>0</v>
      </c>
      <c r="BC49" s="35">
        <f t="shared" si="17"/>
        <v>0</v>
      </c>
      <c r="BD49" s="35">
        <f t="shared" si="18"/>
        <v>0</v>
      </c>
      <c r="BE49" s="35">
        <f t="shared" si="19"/>
        <v>0</v>
      </c>
      <c r="BF49" s="35">
        <f t="shared" si="20"/>
        <v>0</v>
      </c>
      <c r="BG49" s="35">
        <f t="shared" si="21"/>
        <v>0</v>
      </c>
      <c r="BH49" s="35">
        <f t="shared" si="22"/>
        <v>0</v>
      </c>
      <c r="BI49" s="35">
        <f t="shared" si="23"/>
        <v>0</v>
      </c>
      <c r="BJ49" s="35">
        <f t="shared" si="24"/>
        <v>0</v>
      </c>
      <c r="BK49" s="35">
        <f t="shared" si="25"/>
        <v>0</v>
      </c>
      <c r="BL49" s="35">
        <f t="shared" si="26"/>
        <v>0</v>
      </c>
      <c r="BM49" s="35">
        <f t="shared" si="27"/>
        <v>0</v>
      </c>
      <c r="BN49" s="35">
        <f t="shared" si="28"/>
        <v>0</v>
      </c>
      <c r="BO49" s="35">
        <f t="shared" si="29"/>
        <v>0</v>
      </c>
      <c r="BP49" s="35">
        <f t="shared" si="30"/>
        <v>0</v>
      </c>
      <c r="BQ49" s="35">
        <f t="shared" si="31"/>
        <v>0</v>
      </c>
      <c r="BR49" s="35">
        <f t="shared" si="32"/>
        <v>0</v>
      </c>
      <c r="BS49" s="35">
        <f t="shared" si="33"/>
        <v>0</v>
      </c>
      <c r="BT49" s="43">
        <f t="shared" si="34"/>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0">
        <f t="shared" si="11"/>
        <v>0</v>
      </c>
      <c r="AW50" s="1790">
        <f t="shared" si="12"/>
        <v>0</v>
      </c>
      <c r="AX50" s="1790">
        <f t="shared" si="35"/>
        <v>0</v>
      </c>
      <c r="AY50" s="42">
        <f t="shared" si="13"/>
        <v>0</v>
      </c>
      <c r="AZ50" s="35">
        <f t="shared" si="14"/>
        <v>0</v>
      </c>
      <c r="BA50" s="35">
        <f t="shared" si="15"/>
        <v>0</v>
      </c>
      <c r="BB50" s="35">
        <f t="shared" si="16"/>
        <v>0</v>
      </c>
      <c r="BC50" s="35">
        <f t="shared" si="17"/>
        <v>0</v>
      </c>
      <c r="BD50" s="35">
        <f t="shared" si="18"/>
        <v>0</v>
      </c>
      <c r="BE50" s="35">
        <f t="shared" si="19"/>
        <v>0</v>
      </c>
      <c r="BF50" s="35">
        <f t="shared" si="20"/>
        <v>0</v>
      </c>
      <c r="BG50" s="35">
        <f t="shared" si="21"/>
        <v>0</v>
      </c>
      <c r="BH50" s="35">
        <f t="shared" si="22"/>
        <v>0</v>
      </c>
      <c r="BI50" s="35">
        <f t="shared" si="23"/>
        <v>0</v>
      </c>
      <c r="BJ50" s="35">
        <f t="shared" si="24"/>
        <v>0</v>
      </c>
      <c r="BK50" s="35">
        <f t="shared" si="25"/>
        <v>0</v>
      </c>
      <c r="BL50" s="35">
        <f t="shared" si="26"/>
        <v>0</v>
      </c>
      <c r="BM50" s="35">
        <f t="shared" si="27"/>
        <v>0</v>
      </c>
      <c r="BN50" s="35">
        <f t="shared" si="28"/>
        <v>0</v>
      </c>
      <c r="BO50" s="35">
        <f t="shared" si="29"/>
        <v>0</v>
      </c>
      <c r="BP50" s="35">
        <f t="shared" si="30"/>
        <v>0</v>
      </c>
      <c r="BQ50" s="35">
        <f t="shared" si="31"/>
        <v>0</v>
      </c>
      <c r="BR50" s="35">
        <f t="shared" si="32"/>
        <v>0</v>
      </c>
      <c r="BS50" s="35">
        <f t="shared" si="33"/>
        <v>0</v>
      </c>
      <c r="BT50" s="43">
        <f t="shared" si="34"/>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0">
        <f t="shared" si="11"/>
        <v>0</v>
      </c>
      <c r="AW51" s="1790">
        <f t="shared" si="12"/>
        <v>0</v>
      </c>
      <c r="AX51" s="1790">
        <f t="shared" si="35"/>
        <v>0</v>
      </c>
      <c r="AY51" s="42">
        <f t="shared" si="13"/>
        <v>0</v>
      </c>
      <c r="AZ51" s="35">
        <f t="shared" si="14"/>
        <v>0</v>
      </c>
      <c r="BA51" s="35">
        <f t="shared" si="15"/>
        <v>0</v>
      </c>
      <c r="BB51" s="35">
        <f t="shared" si="16"/>
        <v>0</v>
      </c>
      <c r="BC51" s="35">
        <f t="shared" si="17"/>
        <v>0</v>
      </c>
      <c r="BD51" s="35">
        <f t="shared" si="18"/>
        <v>0</v>
      </c>
      <c r="BE51" s="35">
        <f t="shared" si="19"/>
        <v>0</v>
      </c>
      <c r="BF51" s="35">
        <f t="shared" si="20"/>
        <v>0</v>
      </c>
      <c r="BG51" s="35">
        <f t="shared" si="21"/>
        <v>0</v>
      </c>
      <c r="BH51" s="35">
        <f t="shared" si="22"/>
        <v>0</v>
      </c>
      <c r="BI51" s="35">
        <f t="shared" si="23"/>
        <v>0</v>
      </c>
      <c r="BJ51" s="35">
        <f t="shared" si="24"/>
        <v>0</v>
      </c>
      <c r="BK51" s="35">
        <f t="shared" si="25"/>
        <v>0</v>
      </c>
      <c r="BL51" s="35">
        <f t="shared" si="26"/>
        <v>0</v>
      </c>
      <c r="BM51" s="35">
        <f t="shared" si="27"/>
        <v>0</v>
      </c>
      <c r="BN51" s="35">
        <f t="shared" si="28"/>
        <v>0</v>
      </c>
      <c r="BO51" s="35">
        <f t="shared" si="29"/>
        <v>0</v>
      </c>
      <c r="BP51" s="35">
        <f t="shared" si="30"/>
        <v>0</v>
      </c>
      <c r="BQ51" s="35">
        <f t="shared" si="31"/>
        <v>0</v>
      </c>
      <c r="BR51" s="35">
        <f t="shared" si="32"/>
        <v>0</v>
      </c>
      <c r="BS51" s="35">
        <f t="shared" si="33"/>
        <v>0</v>
      </c>
      <c r="BT51" s="43">
        <f t="shared" si="34"/>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0">
        <f t="shared" si="11"/>
        <v>0</v>
      </c>
      <c r="AW52" s="1790">
        <f t="shared" si="12"/>
        <v>0</v>
      </c>
      <c r="AX52" s="1790">
        <f t="shared" si="35"/>
        <v>0</v>
      </c>
      <c r="AY52" s="42">
        <f t="shared" si="13"/>
        <v>0</v>
      </c>
      <c r="AZ52" s="35">
        <f t="shared" si="14"/>
        <v>0</v>
      </c>
      <c r="BA52" s="35">
        <f t="shared" si="15"/>
        <v>0</v>
      </c>
      <c r="BB52" s="35">
        <f t="shared" si="16"/>
        <v>0</v>
      </c>
      <c r="BC52" s="35">
        <f t="shared" si="17"/>
        <v>0</v>
      </c>
      <c r="BD52" s="35">
        <f t="shared" si="18"/>
        <v>0</v>
      </c>
      <c r="BE52" s="35">
        <f t="shared" si="19"/>
        <v>0</v>
      </c>
      <c r="BF52" s="35">
        <f t="shared" si="20"/>
        <v>0</v>
      </c>
      <c r="BG52" s="35">
        <f t="shared" si="21"/>
        <v>0</v>
      </c>
      <c r="BH52" s="35">
        <f t="shared" si="22"/>
        <v>0</v>
      </c>
      <c r="BI52" s="35">
        <f t="shared" si="23"/>
        <v>0</v>
      </c>
      <c r="BJ52" s="35">
        <f t="shared" si="24"/>
        <v>0</v>
      </c>
      <c r="BK52" s="35">
        <f t="shared" si="25"/>
        <v>0</v>
      </c>
      <c r="BL52" s="35">
        <f t="shared" si="26"/>
        <v>0</v>
      </c>
      <c r="BM52" s="35">
        <f t="shared" si="27"/>
        <v>0</v>
      </c>
      <c r="BN52" s="35">
        <f t="shared" si="28"/>
        <v>0</v>
      </c>
      <c r="BO52" s="35">
        <f t="shared" si="29"/>
        <v>0</v>
      </c>
      <c r="BP52" s="35">
        <f t="shared" si="30"/>
        <v>0</v>
      </c>
      <c r="BQ52" s="35">
        <f t="shared" si="31"/>
        <v>0</v>
      </c>
      <c r="BR52" s="35">
        <f t="shared" si="32"/>
        <v>0</v>
      </c>
      <c r="BS52" s="35">
        <f t="shared" si="33"/>
        <v>0</v>
      </c>
      <c r="BT52" s="43">
        <f t="shared" si="34"/>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0">
        <f t="shared" si="11"/>
        <v>0</v>
      </c>
      <c r="AW53" s="1790">
        <f t="shared" si="12"/>
        <v>0</v>
      </c>
      <c r="AX53" s="1790">
        <f t="shared" si="35"/>
        <v>0</v>
      </c>
      <c r="AY53" s="42">
        <f t="shared" si="13"/>
        <v>0</v>
      </c>
      <c r="AZ53" s="35">
        <f t="shared" si="14"/>
        <v>0</v>
      </c>
      <c r="BA53" s="35">
        <f t="shared" si="15"/>
        <v>0</v>
      </c>
      <c r="BB53" s="35">
        <f t="shared" si="16"/>
        <v>0</v>
      </c>
      <c r="BC53" s="35">
        <f t="shared" si="17"/>
        <v>0</v>
      </c>
      <c r="BD53" s="35">
        <f t="shared" si="18"/>
        <v>0</v>
      </c>
      <c r="BE53" s="35">
        <f t="shared" si="19"/>
        <v>0</v>
      </c>
      <c r="BF53" s="35">
        <f t="shared" si="20"/>
        <v>0</v>
      </c>
      <c r="BG53" s="35">
        <f t="shared" si="21"/>
        <v>0</v>
      </c>
      <c r="BH53" s="35">
        <f t="shared" si="22"/>
        <v>0</v>
      </c>
      <c r="BI53" s="35">
        <f t="shared" si="23"/>
        <v>0</v>
      </c>
      <c r="BJ53" s="35">
        <f t="shared" si="24"/>
        <v>0</v>
      </c>
      <c r="BK53" s="35">
        <f t="shared" si="25"/>
        <v>0</v>
      </c>
      <c r="BL53" s="35">
        <f t="shared" si="26"/>
        <v>0</v>
      </c>
      <c r="BM53" s="35">
        <f t="shared" si="27"/>
        <v>0</v>
      </c>
      <c r="BN53" s="35">
        <f t="shared" si="28"/>
        <v>0</v>
      </c>
      <c r="BO53" s="35">
        <f t="shared" si="29"/>
        <v>0</v>
      </c>
      <c r="BP53" s="35">
        <f t="shared" si="30"/>
        <v>0</v>
      </c>
      <c r="BQ53" s="35">
        <f t="shared" si="31"/>
        <v>0</v>
      </c>
      <c r="BR53" s="35">
        <f t="shared" si="32"/>
        <v>0</v>
      </c>
      <c r="BS53" s="35">
        <f t="shared" si="33"/>
        <v>0</v>
      </c>
      <c r="BT53" s="43">
        <f t="shared" si="34"/>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0">
        <f t="shared" si="11"/>
        <v>0</v>
      </c>
      <c r="AW54" s="1790">
        <f t="shared" si="12"/>
        <v>0</v>
      </c>
      <c r="AX54" s="1790">
        <f t="shared" si="35"/>
        <v>0</v>
      </c>
      <c r="AY54" s="42">
        <f t="shared" si="13"/>
        <v>0</v>
      </c>
      <c r="AZ54" s="35">
        <f t="shared" si="14"/>
        <v>0</v>
      </c>
      <c r="BA54" s="35">
        <f t="shared" si="15"/>
        <v>0</v>
      </c>
      <c r="BB54" s="35">
        <f t="shared" si="16"/>
        <v>0</v>
      </c>
      <c r="BC54" s="35">
        <f t="shared" si="17"/>
        <v>0</v>
      </c>
      <c r="BD54" s="35">
        <f t="shared" si="18"/>
        <v>0</v>
      </c>
      <c r="BE54" s="35">
        <f t="shared" si="19"/>
        <v>0</v>
      </c>
      <c r="BF54" s="35">
        <f t="shared" si="20"/>
        <v>0</v>
      </c>
      <c r="BG54" s="35">
        <f t="shared" si="21"/>
        <v>0</v>
      </c>
      <c r="BH54" s="35">
        <f t="shared" si="22"/>
        <v>0</v>
      </c>
      <c r="BI54" s="35">
        <f t="shared" si="23"/>
        <v>0</v>
      </c>
      <c r="BJ54" s="35">
        <f t="shared" si="24"/>
        <v>0</v>
      </c>
      <c r="BK54" s="35">
        <f t="shared" si="25"/>
        <v>0</v>
      </c>
      <c r="BL54" s="35">
        <f t="shared" si="26"/>
        <v>0</v>
      </c>
      <c r="BM54" s="35">
        <f t="shared" si="27"/>
        <v>0</v>
      </c>
      <c r="BN54" s="35">
        <f t="shared" si="28"/>
        <v>0</v>
      </c>
      <c r="BO54" s="35">
        <f t="shared" si="29"/>
        <v>0</v>
      </c>
      <c r="BP54" s="35">
        <f t="shared" si="30"/>
        <v>0</v>
      </c>
      <c r="BQ54" s="35">
        <f t="shared" si="31"/>
        <v>0</v>
      </c>
      <c r="BR54" s="35">
        <f t="shared" si="32"/>
        <v>0</v>
      </c>
      <c r="BS54" s="35">
        <f t="shared" si="33"/>
        <v>0</v>
      </c>
      <c r="BT54" s="43">
        <f t="shared" si="34"/>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0">
        <f t="shared" si="11"/>
        <v>0</v>
      </c>
      <c r="AW55" s="1790">
        <f t="shared" si="12"/>
        <v>0</v>
      </c>
      <c r="AX55" s="1790">
        <f t="shared" si="35"/>
        <v>0</v>
      </c>
      <c r="AY55" s="42">
        <f t="shared" si="13"/>
        <v>0</v>
      </c>
      <c r="AZ55" s="35">
        <f t="shared" si="14"/>
        <v>0</v>
      </c>
      <c r="BA55" s="35">
        <f t="shared" si="15"/>
        <v>0</v>
      </c>
      <c r="BB55" s="35">
        <f t="shared" si="16"/>
        <v>0</v>
      </c>
      <c r="BC55" s="35">
        <f t="shared" si="17"/>
        <v>0</v>
      </c>
      <c r="BD55" s="35">
        <f t="shared" si="18"/>
        <v>0</v>
      </c>
      <c r="BE55" s="35">
        <f t="shared" si="19"/>
        <v>0</v>
      </c>
      <c r="BF55" s="35">
        <f t="shared" si="20"/>
        <v>0</v>
      </c>
      <c r="BG55" s="35">
        <f t="shared" si="21"/>
        <v>0</v>
      </c>
      <c r="BH55" s="35">
        <f t="shared" si="22"/>
        <v>0</v>
      </c>
      <c r="BI55" s="35">
        <f t="shared" si="23"/>
        <v>0</v>
      </c>
      <c r="BJ55" s="35">
        <f t="shared" si="24"/>
        <v>0</v>
      </c>
      <c r="BK55" s="35">
        <f t="shared" si="25"/>
        <v>0</v>
      </c>
      <c r="BL55" s="35">
        <f t="shared" si="26"/>
        <v>0</v>
      </c>
      <c r="BM55" s="35">
        <f t="shared" si="27"/>
        <v>0</v>
      </c>
      <c r="BN55" s="35">
        <f t="shared" si="28"/>
        <v>0</v>
      </c>
      <c r="BO55" s="35">
        <f t="shared" si="29"/>
        <v>0</v>
      </c>
      <c r="BP55" s="35">
        <f t="shared" si="30"/>
        <v>0</v>
      </c>
      <c r="BQ55" s="35">
        <f t="shared" si="31"/>
        <v>0</v>
      </c>
      <c r="BR55" s="35">
        <f t="shared" si="32"/>
        <v>0</v>
      </c>
      <c r="BS55" s="35">
        <f t="shared" si="33"/>
        <v>0</v>
      </c>
      <c r="BT55" s="43">
        <f t="shared" si="34"/>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0">
        <f t="shared" si="11"/>
        <v>0</v>
      </c>
      <c r="AW56" s="1790">
        <f t="shared" si="12"/>
        <v>0</v>
      </c>
      <c r="AX56" s="1790">
        <f t="shared" si="35"/>
        <v>0</v>
      </c>
      <c r="AY56" s="42">
        <f t="shared" si="13"/>
        <v>0</v>
      </c>
      <c r="AZ56" s="35">
        <f t="shared" si="14"/>
        <v>0</v>
      </c>
      <c r="BA56" s="35">
        <f t="shared" si="15"/>
        <v>0</v>
      </c>
      <c r="BB56" s="35">
        <f t="shared" si="16"/>
        <v>0</v>
      </c>
      <c r="BC56" s="35">
        <f t="shared" si="17"/>
        <v>0</v>
      </c>
      <c r="BD56" s="35">
        <f t="shared" si="18"/>
        <v>0</v>
      </c>
      <c r="BE56" s="35">
        <f t="shared" si="19"/>
        <v>0</v>
      </c>
      <c r="BF56" s="35">
        <f t="shared" si="20"/>
        <v>0</v>
      </c>
      <c r="BG56" s="35">
        <f t="shared" si="21"/>
        <v>0</v>
      </c>
      <c r="BH56" s="35">
        <f t="shared" si="22"/>
        <v>0</v>
      </c>
      <c r="BI56" s="35">
        <f t="shared" si="23"/>
        <v>0</v>
      </c>
      <c r="BJ56" s="35">
        <f t="shared" si="24"/>
        <v>0</v>
      </c>
      <c r="BK56" s="35">
        <f t="shared" si="25"/>
        <v>0</v>
      </c>
      <c r="BL56" s="35">
        <f t="shared" si="26"/>
        <v>0</v>
      </c>
      <c r="BM56" s="35">
        <f t="shared" si="27"/>
        <v>0</v>
      </c>
      <c r="BN56" s="35">
        <f t="shared" si="28"/>
        <v>0</v>
      </c>
      <c r="BO56" s="35">
        <f t="shared" si="29"/>
        <v>0</v>
      </c>
      <c r="BP56" s="35">
        <f t="shared" si="30"/>
        <v>0</v>
      </c>
      <c r="BQ56" s="35">
        <f t="shared" si="31"/>
        <v>0</v>
      </c>
      <c r="BR56" s="35">
        <f t="shared" si="32"/>
        <v>0</v>
      </c>
      <c r="BS56" s="35">
        <f t="shared" si="33"/>
        <v>0</v>
      </c>
      <c r="BT56" s="43">
        <f t="shared" si="34"/>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0">
        <f t="shared" si="11"/>
        <v>0</v>
      </c>
      <c r="AW57" s="1790">
        <f t="shared" si="12"/>
        <v>0</v>
      </c>
      <c r="AX57" s="1790">
        <f t="shared" si="35"/>
        <v>0</v>
      </c>
      <c r="AY57" s="42">
        <f t="shared" si="13"/>
        <v>0</v>
      </c>
      <c r="AZ57" s="35">
        <f t="shared" si="14"/>
        <v>0</v>
      </c>
      <c r="BA57" s="35">
        <f t="shared" si="15"/>
        <v>0</v>
      </c>
      <c r="BB57" s="35">
        <f t="shared" si="16"/>
        <v>0</v>
      </c>
      <c r="BC57" s="35">
        <f t="shared" si="17"/>
        <v>0</v>
      </c>
      <c r="BD57" s="35">
        <f t="shared" si="18"/>
        <v>0</v>
      </c>
      <c r="BE57" s="35">
        <f t="shared" si="19"/>
        <v>0</v>
      </c>
      <c r="BF57" s="35">
        <f t="shared" si="20"/>
        <v>0</v>
      </c>
      <c r="BG57" s="35">
        <f t="shared" si="21"/>
        <v>0</v>
      </c>
      <c r="BH57" s="35">
        <f t="shared" si="22"/>
        <v>0</v>
      </c>
      <c r="BI57" s="35">
        <f t="shared" si="23"/>
        <v>0</v>
      </c>
      <c r="BJ57" s="35">
        <f t="shared" si="24"/>
        <v>0</v>
      </c>
      <c r="BK57" s="35">
        <f t="shared" si="25"/>
        <v>0</v>
      </c>
      <c r="BL57" s="35">
        <f t="shared" si="26"/>
        <v>0</v>
      </c>
      <c r="BM57" s="35">
        <f t="shared" si="27"/>
        <v>0</v>
      </c>
      <c r="BN57" s="35">
        <f t="shared" si="28"/>
        <v>0</v>
      </c>
      <c r="BO57" s="35">
        <f t="shared" si="29"/>
        <v>0</v>
      </c>
      <c r="BP57" s="35">
        <f t="shared" si="30"/>
        <v>0</v>
      </c>
      <c r="BQ57" s="35">
        <f t="shared" si="31"/>
        <v>0</v>
      </c>
      <c r="BR57" s="35">
        <f t="shared" si="32"/>
        <v>0</v>
      </c>
      <c r="BS57" s="35">
        <f t="shared" si="33"/>
        <v>0</v>
      </c>
      <c r="BT57" s="43">
        <f t="shared" si="34"/>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0">
        <f t="shared" si="11"/>
        <v>0</v>
      </c>
      <c r="AW58" s="1790">
        <f t="shared" si="12"/>
        <v>0</v>
      </c>
      <c r="AX58" s="1790">
        <f t="shared" si="35"/>
        <v>0</v>
      </c>
      <c r="AY58" s="42">
        <f t="shared" si="13"/>
        <v>0</v>
      </c>
      <c r="AZ58" s="35">
        <f t="shared" si="14"/>
        <v>0</v>
      </c>
      <c r="BA58" s="35">
        <f t="shared" si="15"/>
        <v>0</v>
      </c>
      <c r="BB58" s="35">
        <f t="shared" si="16"/>
        <v>0</v>
      </c>
      <c r="BC58" s="35">
        <f t="shared" si="17"/>
        <v>0</v>
      </c>
      <c r="BD58" s="35">
        <f t="shared" si="18"/>
        <v>0</v>
      </c>
      <c r="BE58" s="35">
        <f t="shared" si="19"/>
        <v>0</v>
      </c>
      <c r="BF58" s="35">
        <f t="shared" si="20"/>
        <v>0</v>
      </c>
      <c r="BG58" s="35">
        <f t="shared" si="21"/>
        <v>0</v>
      </c>
      <c r="BH58" s="35">
        <f t="shared" si="22"/>
        <v>0</v>
      </c>
      <c r="BI58" s="35">
        <f t="shared" si="23"/>
        <v>0</v>
      </c>
      <c r="BJ58" s="35">
        <f t="shared" si="24"/>
        <v>0</v>
      </c>
      <c r="BK58" s="35">
        <f t="shared" si="25"/>
        <v>0</v>
      </c>
      <c r="BL58" s="35">
        <f t="shared" si="26"/>
        <v>0</v>
      </c>
      <c r="BM58" s="35">
        <f t="shared" si="27"/>
        <v>0</v>
      </c>
      <c r="BN58" s="35">
        <f t="shared" si="28"/>
        <v>0</v>
      </c>
      <c r="BO58" s="35">
        <f t="shared" si="29"/>
        <v>0</v>
      </c>
      <c r="BP58" s="35">
        <f t="shared" si="30"/>
        <v>0</v>
      </c>
      <c r="BQ58" s="35">
        <f t="shared" si="31"/>
        <v>0</v>
      </c>
      <c r="BR58" s="35">
        <f t="shared" si="32"/>
        <v>0</v>
      </c>
      <c r="BS58" s="35">
        <f t="shared" si="33"/>
        <v>0</v>
      </c>
      <c r="BT58" s="43">
        <f t="shared" si="34"/>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0">
        <f t="shared" si="11"/>
        <v>0</v>
      </c>
      <c r="AW59" s="1790">
        <f t="shared" si="12"/>
        <v>0</v>
      </c>
      <c r="AX59" s="1790">
        <f t="shared" si="35"/>
        <v>0</v>
      </c>
      <c r="AY59" s="42">
        <f t="shared" si="13"/>
        <v>0</v>
      </c>
      <c r="AZ59" s="35">
        <f t="shared" si="14"/>
        <v>0</v>
      </c>
      <c r="BA59" s="35">
        <f t="shared" si="15"/>
        <v>0</v>
      </c>
      <c r="BB59" s="35">
        <f t="shared" si="16"/>
        <v>0</v>
      </c>
      <c r="BC59" s="35">
        <f t="shared" si="17"/>
        <v>0</v>
      </c>
      <c r="BD59" s="35">
        <f t="shared" si="18"/>
        <v>0</v>
      </c>
      <c r="BE59" s="35">
        <f t="shared" si="19"/>
        <v>0</v>
      </c>
      <c r="BF59" s="35">
        <f t="shared" si="20"/>
        <v>0</v>
      </c>
      <c r="BG59" s="35">
        <f t="shared" si="21"/>
        <v>0</v>
      </c>
      <c r="BH59" s="35">
        <f t="shared" si="22"/>
        <v>0</v>
      </c>
      <c r="BI59" s="35">
        <f t="shared" si="23"/>
        <v>0</v>
      </c>
      <c r="BJ59" s="35">
        <f t="shared" si="24"/>
        <v>0</v>
      </c>
      <c r="BK59" s="35">
        <f t="shared" si="25"/>
        <v>0</v>
      </c>
      <c r="BL59" s="35">
        <f t="shared" si="26"/>
        <v>0</v>
      </c>
      <c r="BM59" s="35">
        <f t="shared" si="27"/>
        <v>0</v>
      </c>
      <c r="BN59" s="35">
        <f t="shared" si="28"/>
        <v>0</v>
      </c>
      <c r="BO59" s="35">
        <f t="shared" si="29"/>
        <v>0</v>
      </c>
      <c r="BP59" s="35">
        <f t="shared" si="30"/>
        <v>0</v>
      </c>
      <c r="BQ59" s="35">
        <f t="shared" si="31"/>
        <v>0</v>
      </c>
      <c r="BR59" s="35">
        <f t="shared" si="32"/>
        <v>0</v>
      </c>
      <c r="BS59" s="35">
        <f t="shared" si="33"/>
        <v>0</v>
      </c>
      <c r="BT59" s="43">
        <f t="shared" si="34"/>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0">
        <f t="shared" si="11"/>
        <v>0</v>
      </c>
      <c r="AW60" s="1790">
        <f t="shared" si="12"/>
        <v>0</v>
      </c>
      <c r="AX60" s="1790">
        <f t="shared" si="35"/>
        <v>0</v>
      </c>
      <c r="AY60" s="42">
        <f t="shared" si="13"/>
        <v>0</v>
      </c>
      <c r="AZ60" s="35">
        <f t="shared" si="14"/>
        <v>0</v>
      </c>
      <c r="BA60" s="35">
        <f t="shared" si="15"/>
        <v>0</v>
      </c>
      <c r="BB60" s="35">
        <f t="shared" si="16"/>
        <v>0</v>
      </c>
      <c r="BC60" s="35">
        <f t="shared" si="17"/>
        <v>0</v>
      </c>
      <c r="BD60" s="35">
        <f t="shared" si="18"/>
        <v>0</v>
      </c>
      <c r="BE60" s="35">
        <f t="shared" si="19"/>
        <v>0</v>
      </c>
      <c r="BF60" s="35">
        <f t="shared" si="20"/>
        <v>0</v>
      </c>
      <c r="BG60" s="35">
        <f t="shared" si="21"/>
        <v>0</v>
      </c>
      <c r="BH60" s="35">
        <f t="shared" si="22"/>
        <v>0</v>
      </c>
      <c r="BI60" s="35">
        <f t="shared" si="23"/>
        <v>0</v>
      </c>
      <c r="BJ60" s="35">
        <f t="shared" si="24"/>
        <v>0</v>
      </c>
      <c r="BK60" s="35">
        <f t="shared" si="25"/>
        <v>0</v>
      </c>
      <c r="BL60" s="35">
        <f t="shared" si="26"/>
        <v>0</v>
      </c>
      <c r="BM60" s="35">
        <f t="shared" si="27"/>
        <v>0</v>
      </c>
      <c r="BN60" s="35">
        <f t="shared" si="28"/>
        <v>0</v>
      </c>
      <c r="BO60" s="35">
        <f t="shared" si="29"/>
        <v>0</v>
      </c>
      <c r="BP60" s="35">
        <f t="shared" si="30"/>
        <v>0</v>
      </c>
      <c r="BQ60" s="35">
        <f t="shared" si="31"/>
        <v>0</v>
      </c>
      <c r="BR60" s="35">
        <f t="shared" si="32"/>
        <v>0</v>
      </c>
      <c r="BS60" s="35">
        <f t="shared" si="33"/>
        <v>0</v>
      </c>
      <c r="BT60" s="43">
        <f t="shared" si="34"/>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0">
        <f t="shared" si="11"/>
        <v>0</v>
      </c>
      <c r="AW61" s="1790">
        <f t="shared" si="12"/>
        <v>0</v>
      </c>
      <c r="AX61" s="1790">
        <f t="shared" si="35"/>
        <v>0</v>
      </c>
      <c r="AY61" s="42">
        <f t="shared" si="13"/>
        <v>0</v>
      </c>
      <c r="AZ61" s="35">
        <f t="shared" si="14"/>
        <v>0</v>
      </c>
      <c r="BA61" s="35">
        <f t="shared" si="15"/>
        <v>0</v>
      </c>
      <c r="BB61" s="35">
        <f t="shared" si="16"/>
        <v>0</v>
      </c>
      <c r="BC61" s="35">
        <f t="shared" si="17"/>
        <v>0</v>
      </c>
      <c r="BD61" s="35">
        <f t="shared" si="18"/>
        <v>0</v>
      </c>
      <c r="BE61" s="35">
        <f t="shared" si="19"/>
        <v>0</v>
      </c>
      <c r="BF61" s="35">
        <f t="shared" si="20"/>
        <v>0</v>
      </c>
      <c r="BG61" s="35">
        <f t="shared" si="21"/>
        <v>0</v>
      </c>
      <c r="BH61" s="35">
        <f t="shared" si="22"/>
        <v>0</v>
      </c>
      <c r="BI61" s="35">
        <f t="shared" si="23"/>
        <v>0</v>
      </c>
      <c r="BJ61" s="35">
        <f t="shared" si="24"/>
        <v>0</v>
      </c>
      <c r="BK61" s="35">
        <f t="shared" si="25"/>
        <v>0</v>
      </c>
      <c r="BL61" s="35">
        <f t="shared" si="26"/>
        <v>0</v>
      </c>
      <c r="BM61" s="35">
        <f t="shared" si="27"/>
        <v>0</v>
      </c>
      <c r="BN61" s="35">
        <f t="shared" si="28"/>
        <v>0</v>
      </c>
      <c r="BO61" s="35">
        <f t="shared" si="29"/>
        <v>0</v>
      </c>
      <c r="BP61" s="35">
        <f t="shared" si="30"/>
        <v>0</v>
      </c>
      <c r="BQ61" s="35">
        <f t="shared" si="31"/>
        <v>0</v>
      </c>
      <c r="BR61" s="35">
        <f t="shared" si="32"/>
        <v>0</v>
      </c>
      <c r="BS61" s="35">
        <f t="shared" si="33"/>
        <v>0</v>
      </c>
      <c r="BT61" s="43">
        <f t="shared" si="34"/>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0">
        <f t="shared" si="11"/>
        <v>0</v>
      </c>
      <c r="AW62" s="1790">
        <f t="shared" si="12"/>
        <v>0</v>
      </c>
      <c r="AX62" s="1790">
        <f t="shared" si="35"/>
        <v>0</v>
      </c>
      <c r="AY62" s="42">
        <f t="shared" si="13"/>
        <v>0</v>
      </c>
      <c r="AZ62" s="35">
        <f t="shared" si="14"/>
        <v>0</v>
      </c>
      <c r="BA62" s="35">
        <f t="shared" si="15"/>
        <v>0</v>
      </c>
      <c r="BB62" s="35">
        <f t="shared" si="16"/>
        <v>0</v>
      </c>
      <c r="BC62" s="35">
        <f t="shared" si="17"/>
        <v>0</v>
      </c>
      <c r="BD62" s="35">
        <f t="shared" si="18"/>
        <v>0</v>
      </c>
      <c r="BE62" s="35">
        <f t="shared" si="19"/>
        <v>0</v>
      </c>
      <c r="BF62" s="35">
        <f t="shared" si="20"/>
        <v>0</v>
      </c>
      <c r="BG62" s="35">
        <f t="shared" si="21"/>
        <v>0</v>
      </c>
      <c r="BH62" s="35">
        <f t="shared" si="22"/>
        <v>0</v>
      </c>
      <c r="BI62" s="35">
        <f t="shared" si="23"/>
        <v>0</v>
      </c>
      <c r="BJ62" s="35">
        <f t="shared" si="24"/>
        <v>0</v>
      </c>
      <c r="BK62" s="35">
        <f t="shared" si="25"/>
        <v>0</v>
      </c>
      <c r="BL62" s="35">
        <f t="shared" si="26"/>
        <v>0</v>
      </c>
      <c r="BM62" s="35">
        <f t="shared" si="27"/>
        <v>0</v>
      </c>
      <c r="BN62" s="35">
        <f t="shared" si="28"/>
        <v>0</v>
      </c>
      <c r="BO62" s="35">
        <f t="shared" si="29"/>
        <v>0</v>
      </c>
      <c r="BP62" s="35">
        <f t="shared" si="30"/>
        <v>0</v>
      </c>
      <c r="BQ62" s="35">
        <f t="shared" si="31"/>
        <v>0</v>
      </c>
      <c r="BR62" s="35">
        <f t="shared" si="32"/>
        <v>0</v>
      </c>
      <c r="BS62" s="35">
        <f t="shared" si="33"/>
        <v>0</v>
      </c>
      <c r="BT62" s="43">
        <f t="shared" si="34"/>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0">
        <f t="shared" si="11"/>
        <v>0</v>
      </c>
      <c r="AW63" s="1790">
        <f t="shared" si="12"/>
        <v>0</v>
      </c>
      <c r="AX63" s="1790">
        <f t="shared" si="35"/>
        <v>0</v>
      </c>
      <c r="AY63" s="42">
        <f t="shared" si="13"/>
        <v>0</v>
      </c>
      <c r="AZ63" s="35">
        <f t="shared" si="14"/>
        <v>0</v>
      </c>
      <c r="BA63" s="35">
        <f t="shared" si="15"/>
        <v>0</v>
      </c>
      <c r="BB63" s="35">
        <f t="shared" si="16"/>
        <v>0</v>
      </c>
      <c r="BC63" s="35">
        <f t="shared" si="17"/>
        <v>0</v>
      </c>
      <c r="BD63" s="35">
        <f t="shared" si="18"/>
        <v>0</v>
      </c>
      <c r="BE63" s="35">
        <f t="shared" si="19"/>
        <v>0</v>
      </c>
      <c r="BF63" s="35">
        <f t="shared" si="20"/>
        <v>0</v>
      </c>
      <c r="BG63" s="35">
        <f t="shared" si="21"/>
        <v>0</v>
      </c>
      <c r="BH63" s="35">
        <f t="shared" si="22"/>
        <v>0</v>
      </c>
      <c r="BI63" s="35">
        <f t="shared" si="23"/>
        <v>0</v>
      </c>
      <c r="BJ63" s="35">
        <f t="shared" si="24"/>
        <v>0</v>
      </c>
      <c r="BK63" s="35">
        <f t="shared" si="25"/>
        <v>0</v>
      </c>
      <c r="BL63" s="35">
        <f t="shared" si="26"/>
        <v>0</v>
      </c>
      <c r="BM63" s="35">
        <f t="shared" si="27"/>
        <v>0</v>
      </c>
      <c r="BN63" s="35">
        <f t="shared" si="28"/>
        <v>0</v>
      </c>
      <c r="BO63" s="35">
        <f t="shared" si="29"/>
        <v>0</v>
      </c>
      <c r="BP63" s="35">
        <f t="shared" si="30"/>
        <v>0</v>
      </c>
      <c r="BQ63" s="35">
        <f t="shared" si="31"/>
        <v>0</v>
      </c>
      <c r="BR63" s="35">
        <f t="shared" si="32"/>
        <v>0</v>
      </c>
      <c r="BS63" s="35">
        <f t="shared" si="33"/>
        <v>0</v>
      </c>
      <c r="BT63" s="43">
        <f t="shared" si="34"/>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0">
        <f t="shared" si="11"/>
        <v>0</v>
      </c>
      <c r="AW64" s="1790">
        <f t="shared" si="12"/>
        <v>0</v>
      </c>
      <c r="AX64" s="1790">
        <f t="shared" si="35"/>
        <v>0</v>
      </c>
      <c r="AY64" s="42">
        <f t="shared" si="13"/>
        <v>0</v>
      </c>
      <c r="AZ64" s="35">
        <f t="shared" si="14"/>
        <v>0</v>
      </c>
      <c r="BA64" s="35">
        <f t="shared" si="15"/>
        <v>0</v>
      </c>
      <c r="BB64" s="35">
        <f t="shared" si="16"/>
        <v>0</v>
      </c>
      <c r="BC64" s="35">
        <f t="shared" si="17"/>
        <v>0</v>
      </c>
      <c r="BD64" s="35">
        <f t="shared" si="18"/>
        <v>0</v>
      </c>
      <c r="BE64" s="35">
        <f t="shared" si="19"/>
        <v>0</v>
      </c>
      <c r="BF64" s="35">
        <f t="shared" si="20"/>
        <v>0</v>
      </c>
      <c r="BG64" s="35">
        <f t="shared" si="21"/>
        <v>0</v>
      </c>
      <c r="BH64" s="35">
        <f t="shared" si="22"/>
        <v>0</v>
      </c>
      <c r="BI64" s="35">
        <f t="shared" si="23"/>
        <v>0</v>
      </c>
      <c r="BJ64" s="35">
        <f t="shared" si="24"/>
        <v>0</v>
      </c>
      <c r="BK64" s="35">
        <f t="shared" si="25"/>
        <v>0</v>
      </c>
      <c r="BL64" s="35">
        <f t="shared" si="26"/>
        <v>0</v>
      </c>
      <c r="BM64" s="35">
        <f t="shared" si="27"/>
        <v>0</v>
      </c>
      <c r="BN64" s="35">
        <f t="shared" si="28"/>
        <v>0</v>
      </c>
      <c r="BO64" s="35">
        <f t="shared" si="29"/>
        <v>0</v>
      </c>
      <c r="BP64" s="35">
        <f t="shared" si="30"/>
        <v>0</v>
      </c>
      <c r="BQ64" s="35">
        <f t="shared" si="31"/>
        <v>0</v>
      </c>
      <c r="BR64" s="35">
        <f t="shared" si="32"/>
        <v>0</v>
      </c>
      <c r="BS64" s="35">
        <f t="shared" si="33"/>
        <v>0</v>
      </c>
      <c r="BT64" s="43">
        <f t="shared" si="34"/>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0">
        <f t="shared" si="11"/>
        <v>0</v>
      </c>
      <c r="AW65" s="1790">
        <f t="shared" si="12"/>
        <v>0</v>
      </c>
      <c r="AX65" s="1790">
        <f t="shared" si="35"/>
        <v>0</v>
      </c>
      <c r="AY65" s="42">
        <f t="shared" si="13"/>
        <v>0</v>
      </c>
      <c r="AZ65" s="35">
        <f t="shared" si="14"/>
        <v>0</v>
      </c>
      <c r="BA65" s="35">
        <f t="shared" si="15"/>
        <v>0</v>
      </c>
      <c r="BB65" s="35">
        <f t="shared" si="16"/>
        <v>0</v>
      </c>
      <c r="BC65" s="35">
        <f t="shared" si="17"/>
        <v>0</v>
      </c>
      <c r="BD65" s="35">
        <f t="shared" si="18"/>
        <v>0</v>
      </c>
      <c r="BE65" s="35">
        <f t="shared" si="19"/>
        <v>0</v>
      </c>
      <c r="BF65" s="35">
        <f t="shared" si="20"/>
        <v>0</v>
      </c>
      <c r="BG65" s="35">
        <f t="shared" si="21"/>
        <v>0</v>
      </c>
      <c r="BH65" s="35">
        <f t="shared" si="22"/>
        <v>0</v>
      </c>
      <c r="BI65" s="35">
        <f t="shared" si="23"/>
        <v>0</v>
      </c>
      <c r="BJ65" s="35">
        <f t="shared" si="24"/>
        <v>0</v>
      </c>
      <c r="BK65" s="35">
        <f t="shared" si="25"/>
        <v>0</v>
      </c>
      <c r="BL65" s="35">
        <f t="shared" si="26"/>
        <v>0</v>
      </c>
      <c r="BM65" s="35">
        <f t="shared" si="27"/>
        <v>0</v>
      </c>
      <c r="BN65" s="35">
        <f t="shared" si="28"/>
        <v>0</v>
      </c>
      <c r="BO65" s="35">
        <f t="shared" si="29"/>
        <v>0</v>
      </c>
      <c r="BP65" s="35">
        <f t="shared" si="30"/>
        <v>0</v>
      </c>
      <c r="BQ65" s="35">
        <f t="shared" si="31"/>
        <v>0</v>
      </c>
      <c r="BR65" s="35">
        <f t="shared" si="32"/>
        <v>0</v>
      </c>
      <c r="BS65" s="35">
        <f t="shared" si="33"/>
        <v>0</v>
      </c>
      <c r="BT65" s="43">
        <f t="shared" si="34"/>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0">
        <f t="shared" si="11"/>
        <v>0</v>
      </c>
      <c r="AW66" s="1790">
        <f t="shared" si="12"/>
        <v>0</v>
      </c>
      <c r="AX66" s="1790">
        <f t="shared" si="35"/>
        <v>0</v>
      </c>
      <c r="AY66" s="42">
        <f t="shared" si="13"/>
        <v>0</v>
      </c>
      <c r="AZ66" s="35">
        <f t="shared" si="14"/>
        <v>0</v>
      </c>
      <c r="BA66" s="35">
        <f t="shared" si="15"/>
        <v>0</v>
      </c>
      <c r="BB66" s="35">
        <f t="shared" si="16"/>
        <v>0</v>
      </c>
      <c r="BC66" s="35">
        <f t="shared" si="17"/>
        <v>0</v>
      </c>
      <c r="BD66" s="35">
        <f t="shared" si="18"/>
        <v>0</v>
      </c>
      <c r="BE66" s="35">
        <f t="shared" si="19"/>
        <v>0</v>
      </c>
      <c r="BF66" s="35">
        <f t="shared" si="20"/>
        <v>0</v>
      </c>
      <c r="BG66" s="35">
        <f t="shared" si="21"/>
        <v>0</v>
      </c>
      <c r="BH66" s="35">
        <f t="shared" si="22"/>
        <v>0</v>
      </c>
      <c r="BI66" s="35">
        <f t="shared" si="23"/>
        <v>0</v>
      </c>
      <c r="BJ66" s="35">
        <f t="shared" si="24"/>
        <v>0</v>
      </c>
      <c r="BK66" s="35">
        <f t="shared" si="25"/>
        <v>0</v>
      </c>
      <c r="BL66" s="35">
        <f t="shared" si="26"/>
        <v>0</v>
      </c>
      <c r="BM66" s="35">
        <f t="shared" si="27"/>
        <v>0</v>
      </c>
      <c r="BN66" s="35">
        <f t="shared" si="28"/>
        <v>0</v>
      </c>
      <c r="BO66" s="35">
        <f t="shared" si="29"/>
        <v>0</v>
      </c>
      <c r="BP66" s="35">
        <f t="shared" si="30"/>
        <v>0</v>
      </c>
      <c r="BQ66" s="35">
        <f t="shared" si="31"/>
        <v>0</v>
      </c>
      <c r="BR66" s="35">
        <f t="shared" si="32"/>
        <v>0</v>
      </c>
      <c r="BS66" s="35">
        <f t="shared" si="33"/>
        <v>0</v>
      </c>
      <c r="BT66" s="43">
        <f t="shared" si="34"/>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0">
        <f t="shared" si="11"/>
        <v>0</v>
      </c>
      <c r="AW67" s="1790">
        <f t="shared" si="12"/>
        <v>0</v>
      </c>
      <c r="AX67" s="1790">
        <f t="shared" si="35"/>
        <v>0</v>
      </c>
      <c r="AY67" s="42">
        <f t="shared" si="13"/>
        <v>0</v>
      </c>
      <c r="AZ67" s="35">
        <f t="shared" si="14"/>
        <v>0</v>
      </c>
      <c r="BA67" s="35">
        <f t="shared" si="15"/>
        <v>0</v>
      </c>
      <c r="BB67" s="35">
        <f t="shared" si="16"/>
        <v>0</v>
      </c>
      <c r="BC67" s="35">
        <f t="shared" si="17"/>
        <v>0</v>
      </c>
      <c r="BD67" s="35">
        <f t="shared" si="18"/>
        <v>0</v>
      </c>
      <c r="BE67" s="35">
        <f t="shared" si="19"/>
        <v>0</v>
      </c>
      <c r="BF67" s="35">
        <f t="shared" si="20"/>
        <v>0</v>
      </c>
      <c r="BG67" s="35">
        <f t="shared" si="21"/>
        <v>0</v>
      </c>
      <c r="BH67" s="35">
        <f t="shared" si="22"/>
        <v>0</v>
      </c>
      <c r="BI67" s="35">
        <f t="shared" si="23"/>
        <v>0</v>
      </c>
      <c r="BJ67" s="35">
        <f t="shared" si="24"/>
        <v>0</v>
      </c>
      <c r="BK67" s="35">
        <f t="shared" si="25"/>
        <v>0</v>
      </c>
      <c r="BL67" s="35">
        <f t="shared" si="26"/>
        <v>0</v>
      </c>
      <c r="BM67" s="35">
        <f t="shared" si="27"/>
        <v>0</v>
      </c>
      <c r="BN67" s="35">
        <f t="shared" si="28"/>
        <v>0</v>
      </c>
      <c r="BO67" s="35">
        <f t="shared" si="29"/>
        <v>0</v>
      </c>
      <c r="BP67" s="35">
        <f t="shared" si="30"/>
        <v>0</v>
      </c>
      <c r="BQ67" s="35">
        <f t="shared" si="31"/>
        <v>0</v>
      </c>
      <c r="BR67" s="35">
        <f t="shared" si="32"/>
        <v>0</v>
      </c>
      <c r="BS67" s="35">
        <f t="shared" si="33"/>
        <v>0</v>
      </c>
      <c r="BT67" s="43">
        <f t="shared" si="34"/>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0">
        <f t="shared" si="11"/>
        <v>0</v>
      </c>
      <c r="AW68" s="1790">
        <f t="shared" si="12"/>
        <v>0</v>
      </c>
      <c r="AX68" s="1790">
        <f t="shared" si="35"/>
        <v>0</v>
      </c>
      <c r="AY68" s="42">
        <f t="shared" si="13"/>
        <v>0</v>
      </c>
      <c r="AZ68" s="35">
        <f t="shared" si="14"/>
        <v>0</v>
      </c>
      <c r="BA68" s="35">
        <f t="shared" si="15"/>
        <v>0</v>
      </c>
      <c r="BB68" s="35">
        <f t="shared" si="16"/>
        <v>0</v>
      </c>
      <c r="BC68" s="35">
        <f t="shared" si="17"/>
        <v>0</v>
      </c>
      <c r="BD68" s="35">
        <f t="shared" si="18"/>
        <v>0</v>
      </c>
      <c r="BE68" s="35">
        <f t="shared" si="19"/>
        <v>0</v>
      </c>
      <c r="BF68" s="35">
        <f t="shared" si="20"/>
        <v>0</v>
      </c>
      <c r="BG68" s="35">
        <f t="shared" si="21"/>
        <v>0</v>
      </c>
      <c r="BH68" s="35">
        <f t="shared" si="22"/>
        <v>0</v>
      </c>
      <c r="BI68" s="35">
        <f t="shared" si="23"/>
        <v>0</v>
      </c>
      <c r="BJ68" s="35">
        <f t="shared" si="24"/>
        <v>0</v>
      </c>
      <c r="BK68" s="35">
        <f t="shared" si="25"/>
        <v>0</v>
      </c>
      <c r="BL68" s="35">
        <f t="shared" si="26"/>
        <v>0</v>
      </c>
      <c r="BM68" s="35">
        <f t="shared" si="27"/>
        <v>0</v>
      </c>
      <c r="BN68" s="35">
        <f t="shared" si="28"/>
        <v>0</v>
      </c>
      <c r="BO68" s="35">
        <f t="shared" si="29"/>
        <v>0</v>
      </c>
      <c r="BP68" s="35">
        <f t="shared" si="30"/>
        <v>0</v>
      </c>
      <c r="BQ68" s="35">
        <f t="shared" si="31"/>
        <v>0</v>
      </c>
      <c r="BR68" s="35">
        <f t="shared" si="32"/>
        <v>0</v>
      </c>
      <c r="BS68" s="35">
        <f t="shared" si="33"/>
        <v>0</v>
      </c>
      <c r="BT68" s="43">
        <f t="shared" si="34"/>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0">
        <f t="shared" si="11"/>
        <v>0</v>
      </c>
      <c r="AW69" s="1790">
        <f t="shared" si="12"/>
        <v>0</v>
      </c>
      <c r="AX69" s="1790">
        <f t="shared" si="35"/>
        <v>0</v>
      </c>
      <c r="AY69" s="42">
        <f t="shared" si="13"/>
        <v>0</v>
      </c>
      <c r="AZ69" s="35">
        <f t="shared" si="14"/>
        <v>0</v>
      </c>
      <c r="BA69" s="35">
        <f t="shared" si="15"/>
        <v>0</v>
      </c>
      <c r="BB69" s="35">
        <f t="shared" si="16"/>
        <v>0</v>
      </c>
      <c r="BC69" s="35">
        <f t="shared" si="17"/>
        <v>0</v>
      </c>
      <c r="BD69" s="35">
        <f t="shared" si="18"/>
        <v>0</v>
      </c>
      <c r="BE69" s="35">
        <f t="shared" si="19"/>
        <v>0</v>
      </c>
      <c r="BF69" s="35">
        <f t="shared" si="20"/>
        <v>0</v>
      </c>
      <c r="BG69" s="35">
        <f t="shared" si="21"/>
        <v>0</v>
      </c>
      <c r="BH69" s="35">
        <f t="shared" si="22"/>
        <v>0</v>
      </c>
      <c r="BI69" s="35">
        <f t="shared" si="23"/>
        <v>0</v>
      </c>
      <c r="BJ69" s="35">
        <f t="shared" si="24"/>
        <v>0</v>
      </c>
      <c r="BK69" s="35">
        <f t="shared" si="25"/>
        <v>0</v>
      </c>
      <c r="BL69" s="35">
        <f t="shared" si="26"/>
        <v>0</v>
      </c>
      <c r="BM69" s="35">
        <f t="shared" si="27"/>
        <v>0</v>
      </c>
      <c r="BN69" s="35">
        <f t="shared" si="28"/>
        <v>0</v>
      </c>
      <c r="BO69" s="35">
        <f t="shared" si="29"/>
        <v>0</v>
      </c>
      <c r="BP69" s="35">
        <f t="shared" si="30"/>
        <v>0</v>
      </c>
      <c r="BQ69" s="35">
        <f t="shared" si="31"/>
        <v>0</v>
      </c>
      <c r="BR69" s="35">
        <f t="shared" si="32"/>
        <v>0</v>
      </c>
      <c r="BS69" s="35">
        <f t="shared" si="33"/>
        <v>0</v>
      </c>
      <c r="BT69" s="43">
        <f t="shared" si="34"/>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0">
        <f t="shared" si="11"/>
        <v>0</v>
      </c>
      <c r="AW70" s="1790">
        <f t="shared" si="12"/>
        <v>0</v>
      </c>
      <c r="AX70" s="1790">
        <f t="shared" si="35"/>
        <v>0</v>
      </c>
      <c r="AY70" s="42">
        <f t="shared" si="13"/>
        <v>0</v>
      </c>
      <c r="AZ70" s="35">
        <f t="shared" si="14"/>
        <v>0</v>
      </c>
      <c r="BA70" s="35">
        <f t="shared" si="15"/>
        <v>0</v>
      </c>
      <c r="BB70" s="35">
        <f t="shared" si="16"/>
        <v>0</v>
      </c>
      <c r="BC70" s="35">
        <f t="shared" si="17"/>
        <v>0</v>
      </c>
      <c r="BD70" s="35">
        <f t="shared" si="18"/>
        <v>0</v>
      </c>
      <c r="BE70" s="35">
        <f t="shared" si="19"/>
        <v>0</v>
      </c>
      <c r="BF70" s="35">
        <f t="shared" si="20"/>
        <v>0</v>
      </c>
      <c r="BG70" s="35">
        <f t="shared" si="21"/>
        <v>0</v>
      </c>
      <c r="BH70" s="35">
        <f t="shared" si="22"/>
        <v>0</v>
      </c>
      <c r="BI70" s="35">
        <f t="shared" si="23"/>
        <v>0</v>
      </c>
      <c r="BJ70" s="35">
        <f t="shared" si="24"/>
        <v>0</v>
      </c>
      <c r="BK70" s="35">
        <f t="shared" si="25"/>
        <v>0</v>
      </c>
      <c r="BL70" s="35">
        <f t="shared" si="26"/>
        <v>0</v>
      </c>
      <c r="BM70" s="35">
        <f t="shared" si="27"/>
        <v>0</v>
      </c>
      <c r="BN70" s="35">
        <f t="shared" si="28"/>
        <v>0</v>
      </c>
      <c r="BO70" s="35">
        <f t="shared" si="29"/>
        <v>0</v>
      </c>
      <c r="BP70" s="35">
        <f t="shared" si="30"/>
        <v>0</v>
      </c>
      <c r="BQ70" s="35">
        <f t="shared" si="31"/>
        <v>0</v>
      </c>
      <c r="BR70" s="35">
        <f t="shared" si="32"/>
        <v>0</v>
      </c>
      <c r="BS70" s="35">
        <f t="shared" si="33"/>
        <v>0</v>
      </c>
      <c r="BT70" s="43">
        <f t="shared" si="34"/>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0">
        <f t="shared" si="11"/>
        <v>0</v>
      </c>
      <c r="AW71" s="1790">
        <f t="shared" si="12"/>
        <v>0</v>
      </c>
      <c r="AX71" s="1790">
        <f t="shared" si="35"/>
        <v>0</v>
      </c>
      <c r="AY71" s="42">
        <f t="shared" si="13"/>
        <v>0</v>
      </c>
      <c r="AZ71" s="35">
        <f t="shared" si="14"/>
        <v>0</v>
      </c>
      <c r="BA71" s="35">
        <f t="shared" si="15"/>
        <v>0</v>
      </c>
      <c r="BB71" s="35">
        <f t="shared" si="16"/>
        <v>0</v>
      </c>
      <c r="BC71" s="35">
        <f t="shared" si="17"/>
        <v>0</v>
      </c>
      <c r="BD71" s="35">
        <f t="shared" si="18"/>
        <v>0</v>
      </c>
      <c r="BE71" s="35">
        <f t="shared" si="19"/>
        <v>0</v>
      </c>
      <c r="BF71" s="35">
        <f t="shared" si="20"/>
        <v>0</v>
      </c>
      <c r="BG71" s="35">
        <f t="shared" si="21"/>
        <v>0</v>
      </c>
      <c r="BH71" s="35">
        <f t="shared" si="22"/>
        <v>0</v>
      </c>
      <c r="BI71" s="35">
        <f t="shared" si="23"/>
        <v>0</v>
      </c>
      <c r="BJ71" s="35">
        <f t="shared" si="24"/>
        <v>0</v>
      </c>
      <c r="BK71" s="35">
        <f t="shared" si="25"/>
        <v>0</v>
      </c>
      <c r="BL71" s="35">
        <f t="shared" si="26"/>
        <v>0</v>
      </c>
      <c r="BM71" s="35">
        <f t="shared" si="27"/>
        <v>0</v>
      </c>
      <c r="BN71" s="35">
        <f t="shared" si="28"/>
        <v>0</v>
      </c>
      <c r="BO71" s="35">
        <f t="shared" si="29"/>
        <v>0</v>
      </c>
      <c r="BP71" s="35">
        <f t="shared" si="30"/>
        <v>0</v>
      </c>
      <c r="BQ71" s="35">
        <f t="shared" si="31"/>
        <v>0</v>
      </c>
      <c r="BR71" s="35">
        <f t="shared" si="32"/>
        <v>0</v>
      </c>
      <c r="BS71" s="35">
        <f t="shared" si="33"/>
        <v>0</v>
      </c>
      <c r="BT71" s="43">
        <f t="shared" si="34"/>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0">
        <f t="shared" si="11"/>
        <v>0</v>
      </c>
      <c r="AW72" s="1790">
        <f t="shared" si="12"/>
        <v>0</v>
      </c>
      <c r="AX72" s="1790">
        <f t="shared" si="35"/>
        <v>0</v>
      </c>
      <c r="AY72" s="42">
        <f t="shared" si="13"/>
        <v>0</v>
      </c>
      <c r="AZ72" s="35">
        <f t="shared" si="14"/>
        <v>0</v>
      </c>
      <c r="BA72" s="35">
        <f t="shared" si="15"/>
        <v>0</v>
      </c>
      <c r="BB72" s="35">
        <f t="shared" si="16"/>
        <v>0</v>
      </c>
      <c r="BC72" s="35">
        <f t="shared" si="17"/>
        <v>0</v>
      </c>
      <c r="BD72" s="35">
        <f t="shared" si="18"/>
        <v>0</v>
      </c>
      <c r="BE72" s="35">
        <f t="shared" si="19"/>
        <v>0</v>
      </c>
      <c r="BF72" s="35">
        <f t="shared" si="20"/>
        <v>0</v>
      </c>
      <c r="BG72" s="35">
        <f t="shared" si="21"/>
        <v>0</v>
      </c>
      <c r="BH72" s="35">
        <f t="shared" si="22"/>
        <v>0</v>
      </c>
      <c r="BI72" s="35">
        <f t="shared" si="23"/>
        <v>0</v>
      </c>
      <c r="BJ72" s="35">
        <f t="shared" si="24"/>
        <v>0</v>
      </c>
      <c r="BK72" s="35">
        <f t="shared" si="25"/>
        <v>0</v>
      </c>
      <c r="BL72" s="35">
        <f t="shared" si="26"/>
        <v>0</v>
      </c>
      <c r="BM72" s="35">
        <f t="shared" si="27"/>
        <v>0</v>
      </c>
      <c r="BN72" s="35">
        <f t="shared" si="28"/>
        <v>0</v>
      </c>
      <c r="BO72" s="35">
        <f t="shared" si="29"/>
        <v>0</v>
      </c>
      <c r="BP72" s="35">
        <f t="shared" si="30"/>
        <v>0</v>
      </c>
      <c r="BQ72" s="35">
        <f t="shared" si="31"/>
        <v>0</v>
      </c>
      <c r="BR72" s="35">
        <f t="shared" si="32"/>
        <v>0</v>
      </c>
      <c r="BS72" s="35">
        <f t="shared" si="33"/>
        <v>0</v>
      </c>
      <c r="BT72" s="43">
        <f t="shared" si="34"/>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0">
        <f t="shared" si="11"/>
        <v>0</v>
      </c>
      <c r="AW73" s="1790">
        <f t="shared" si="12"/>
        <v>0</v>
      </c>
      <c r="AX73" s="1790">
        <f t="shared" si="35"/>
        <v>0</v>
      </c>
      <c r="AY73" s="42">
        <f t="shared" si="13"/>
        <v>0</v>
      </c>
      <c r="AZ73" s="35">
        <f t="shared" si="14"/>
        <v>0</v>
      </c>
      <c r="BA73" s="35">
        <f t="shared" si="15"/>
        <v>0</v>
      </c>
      <c r="BB73" s="35">
        <f t="shared" si="16"/>
        <v>0</v>
      </c>
      <c r="BC73" s="35">
        <f t="shared" si="17"/>
        <v>0</v>
      </c>
      <c r="BD73" s="35">
        <f t="shared" si="18"/>
        <v>0</v>
      </c>
      <c r="BE73" s="35">
        <f t="shared" si="19"/>
        <v>0</v>
      </c>
      <c r="BF73" s="35">
        <f t="shared" si="20"/>
        <v>0</v>
      </c>
      <c r="BG73" s="35">
        <f t="shared" si="21"/>
        <v>0</v>
      </c>
      <c r="BH73" s="35">
        <f t="shared" si="22"/>
        <v>0</v>
      </c>
      <c r="BI73" s="35">
        <f t="shared" si="23"/>
        <v>0</v>
      </c>
      <c r="BJ73" s="35">
        <f t="shared" si="24"/>
        <v>0</v>
      </c>
      <c r="BK73" s="35">
        <f t="shared" si="25"/>
        <v>0</v>
      </c>
      <c r="BL73" s="35">
        <f t="shared" si="26"/>
        <v>0</v>
      </c>
      <c r="BM73" s="35">
        <f t="shared" si="27"/>
        <v>0</v>
      </c>
      <c r="BN73" s="35">
        <f t="shared" si="28"/>
        <v>0</v>
      </c>
      <c r="BO73" s="35">
        <f t="shared" si="29"/>
        <v>0</v>
      </c>
      <c r="BP73" s="35">
        <f t="shared" si="30"/>
        <v>0</v>
      </c>
      <c r="BQ73" s="35">
        <f t="shared" si="31"/>
        <v>0</v>
      </c>
      <c r="BR73" s="35">
        <f t="shared" si="32"/>
        <v>0</v>
      </c>
      <c r="BS73" s="35">
        <f t="shared" si="33"/>
        <v>0</v>
      </c>
      <c r="BT73" s="43">
        <f t="shared" si="34"/>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0">
        <f t="shared" si="11"/>
        <v>0</v>
      </c>
      <c r="AW74" s="1790">
        <f t="shared" si="12"/>
        <v>0</v>
      </c>
      <c r="AX74" s="1790">
        <f t="shared" si="35"/>
        <v>0</v>
      </c>
      <c r="AY74" s="42">
        <f t="shared" si="13"/>
        <v>0</v>
      </c>
      <c r="AZ74" s="35">
        <f t="shared" si="14"/>
        <v>0</v>
      </c>
      <c r="BA74" s="35">
        <f t="shared" si="15"/>
        <v>0</v>
      </c>
      <c r="BB74" s="35">
        <f t="shared" si="16"/>
        <v>0</v>
      </c>
      <c r="BC74" s="35">
        <f t="shared" si="17"/>
        <v>0</v>
      </c>
      <c r="BD74" s="35">
        <f t="shared" si="18"/>
        <v>0</v>
      </c>
      <c r="BE74" s="35">
        <f t="shared" si="19"/>
        <v>0</v>
      </c>
      <c r="BF74" s="35">
        <f t="shared" si="20"/>
        <v>0</v>
      </c>
      <c r="BG74" s="35">
        <f t="shared" si="21"/>
        <v>0</v>
      </c>
      <c r="BH74" s="35">
        <f t="shared" si="22"/>
        <v>0</v>
      </c>
      <c r="BI74" s="35">
        <f t="shared" si="23"/>
        <v>0</v>
      </c>
      <c r="BJ74" s="35">
        <f t="shared" si="24"/>
        <v>0</v>
      </c>
      <c r="BK74" s="35">
        <f t="shared" si="25"/>
        <v>0</v>
      </c>
      <c r="BL74" s="35">
        <f t="shared" si="26"/>
        <v>0</v>
      </c>
      <c r="BM74" s="35">
        <f t="shared" si="27"/>
        <v>0</v>
      </c>
      <c r="BN74" s="35">
        <f t="shared" si="28"/>
        <v>0</v>
      </c>
      <c r="BO74" s="35">
        <f t="shared" si="29"/>
        <v>0</v>
      </c>
      <c r="BP74" s="35">
        <f t="shared" si="30"/>
        <v>0</v>
      </c>
      <c r="BQ74" s="35">
        <f t="shared" si="31"/>
        <v>0</v>
      </c>
      <c r="BR74" s="35">
        <f t="shared" si="32"/>
        <v>0</v>
      </c>
      <c r="BS74" s="35">
        <f t="shared" si="33"/>
        <v>0</v>
      </c>
      <c r="BT74" s="43">
        <f t="shared" si="34"/>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0">
        <f t="shared" si="11"/>
        <v>0</v>
      </c>
      <c r="AW75" s="1790">
        <f t="shared" si="12"/>
        <v>0</v>
      </c>
      <c r="AX75" s="1790">
        <f t="shared" si="35"/>
        <v>0</v>
      </c>
      <c r="AY75" s="42">
        <f t="shared" si="13"/>
        <v>0</v>
      </c>
      <c r="AZ75" s="35">
        <f t="shared" si="14"/>
        <v>0</v>
      </c>
      <c r="BA75" s="35">
        <f t="shared" si="15"/>
        <v>0</v>
      </c>
      <c r="BB75" s="35">
        <f t="shared" si="16"/>
        <v>0</v>
      </c>
      <c r="BC75" s="35">
        <f t="shared" si="17"/>
        <v>0</v>
      </c>
      <c r="BD75" s="35">
        <f t="shared" si="18"/>
        <v>0</v>
      </c>
      <c r="BE75" s="35">
        <f t="shared" si="19"/>
        <v>0</v>
      </c>
      <c r="BF75" s="35">
        <f t="shared" si="20"/>
        <v>0</v>
      </c>
      <c r="BG75" s="35">
        <f t="shared" si="21"/>
        <v>0</v>
      </c>
      <c r="BH75" s="35">
        <f t="shared" si="22"/>
        <v>0</v>
      </c>
      <c r="BI75" s="35">
        <f t="shared" si="23"/>
        <v>0</v>
      </c>
      <c r="BJ75" s="35">
        <f t="shared" si="24"/>
        <v>0</v>
      </c>
      <c r="BK75" s="35">
        <f t="shared" si="25"/>
        <v>0</v>
      </c>
      <c r="BL75" s="35">
        <f t="shared" si="26"/>
        <v>0</v>
      </c>
      <c r="BM75" s="35">
        <f t="shared" si="27"/>
        <v>0</v>
      </c>
      <c r="BN75" s="35">
        <f t="shared" si="28"/>
        <v>0</v>
      </c>
      <c r="BO75" s="35">
        <f t="shared" si="29"/>
        <v>0</v>
      </c>
      <c r="BP75" s="35">
        <f t="shared" si="30"/>
        <v>0</v>
      </c>
      <c r="BQ75" s="35">
        <f t="shared" si="31"/>
        <v>0</v>
      </c>
      <c r="BR75" s="35">
        <f t="shared" si="32"/>
        <v>0</v>
      </c>
      <c r="BS75" s="35">
        <f t="shared" si="33"/>
        <v>0</v>
      </c>
      <c r="BT75" s="43">
        <f t="shared" si="34"/>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0">
        <f t="shared" si="11"/>
        <v>0</v>
      </c>
      <c r="AW76" s="1790">
        <f t="shared" si="12"/>
        <v>0</v>
      </c>
      <c r="AX76" s="1790">
        <f t="shared" si="35"/>
        <v>0</v>
      </c>
      <c r="AY76" s="42">
        <f t="shared" si="13"/>
        <v>0</v>
      </c>
      <c r="AZ76" s="35">
        <f t="shared" si="14"/>
        <v>0</v>
      </c>
      <c r="BA76" s="35">
        <f t="shared" si="15"/>
        <v>0</v>
      </c>
      <c r="BB76" s="35">
        <f t="shared" si="16"/>
        <v>0</v>
      </c>
      <c r="BC76" s="35">
        <f t="shared" si="17"/>
        <v>0</v>
      </c>
      <c r="BD76" s="35">
        <f t="shared" si="18"/>
        <v>0</v>
      </c>
      <c r="BE76" s="35">
        <f t="shared" si="19"/>
        <v>0</v>
      </c>
      <c r="BF76" s="35">
        <f t="shared" si="20"/>
        <v>0</v>
      </c>
      <c r="BG76" s="35">
        <f t="shared" si="21"/>
        <v>0</v>
      </c>
      <c r="BH76" s="35">
        <f t="shared" si="22"/>
        <v>0</v>
      </c>
      <c r="BI76" s="35">
        <f t="shared" si="23"/>
        <v>0</v>
      </c>
      <c r="BJ76" s="35">
        <f t="shared" si="24"/>
        <v>0</v>
      </c>
      <c r="BK76" s="35">
        <f t="shared" si="25"/>
        <v>0</v>
      </c>
      <c r="BL76" s="35">
        <f t="shared" si="26"/>
        <v>0</v>
      </c>
      <c r="BM76" s="35">
        <f t="shared" si="27"/>
        <v>0</v>
      </c>
      <c r="BN76" s="35">
        <f t="shared" si="28"/>
        <v>0</v>
      </c>
      <c r="BO76" s="35">
        <f t="shared" si="29"/>
        <v>0</v>
      </c>
      <c r="BP76" s="35">
        <f t="shared" si="30"/>
        <v>0</v>
      </c>
      <c r="BQ76" s="35">
        <f t="shared" si="31"/>
        <v>0</v>
      </c>
      <c r="BR76" s="35">
        <f t="shared" si="32"/>
        <v>0</v>
      </c>
      <c r="BS76" s="35">
        <f t="shared" si="33"/>
        <v>0</v>
      </c>
      <c r="BT76" s="43">
        <f t="shared" si="34"/>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0">
        <f t="shared" si="11"/>
        <v>0</v>
      </c>
      <c r="AW77" s="1790">
        <f t="shared" si="12"/>
        <v>0</v>
      </c>
      <c r="AX77" s="1790">
        <f t="shared" si="35"/>
        <v>0</v>
      </c>
      <c r="AY77" s="42">
        <f t="shared" si="13"/>
        <v>0</v>
      </c>
      <c r="AZ77" s="35">
        <f t="shared" si="14"/>
        <v>0</v>
      </c>
      <c r="BA77" s="35">
        <f t="shared" si="15"/>
        <v>0</v>
      </c>
      <c r="BB77" s="35">
        <f t="shared" si="16"/>
        <v>0</v>
      </c>
      <c r="BC77" s="35">
        <f t="shared" si="17"/>
        <v>0</v>
      </c>
      <c r="BD77" s="35">
        <f t="shared" si="18"/>
        <v>0</v>
      </c>
      <c r="BE77" s="35">
        <f t="shared" si="19"/>
        <v>0</v>
      </c>
      <c r="BF77" s="35">
        <f t="shared" si="20"/>
        <v>0</v>
      </c>
      <c r="BG77" s="35">
        <f t="shared" si="21"/>
        <v>0</v>
      </c>
      <c r="BH77" s="35">
        <f t="shared" si="22"/>
        <v>0</v>
      </c>
      <c r="BI77" s="35">
        <f t="shared" si="23"/>
        <v>0</v>
      </c>
      <c r="BJ77" s="35">
        <f t="shared" si="24"/>
        <v>0</v>
      </c>
      <c r="BK77" s="35">
        <f t="shared" si="25"/>
        <v>0</v>
      </c>
      <c r="BL77" s="35">
        <f t="shared" si="26"/>
        <v>0</v>
      </c>
      <c r="BM77" s="35">
        <f t="shared" si="27"/>
        <v>0</v>
      </c>
      <c r="BN77" s="35">
        <f t="shared" si="28"/>
        <v>0</v>
      </c>
      <c r="BO77" s="35">
        <f t="shared" si="29"/>
        <v>0</v>
      </c>
      <c r="BP77" s="35">
        <f t="shared" si="30"/>
        <v>0</v>
      </c>
      <c r="BQ77" s="35">
        <f t="shared" si="31"/>
        <v>0</v>
      </c>
      <c r="BR77" s="35">
        <f t="shared" si="32"/>
        <v>0</v>
      </c>
      <c r="BS77" s="35">
        <f t="shared" si="33"/>
        <v>0</v>
      </c>
      <c r="BT77" s="43">
        <f t="shared" si="34"/>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0">
        <f t="shared" si="11"/>
        <v>0</v>
      </c>
      <c r="AW78" s="1790">
        <f t="shared" si="12"/>
        <v>0</v>
      </c>
      <c r="AX78" s="1790">
        <f t="shared" si="35"/>
        <v>0</v>
      </c>
      <c r="AY78" s="42">
        <f t="shared" si="13"/>
        <v>0</v>
      </c>
      <c r="AZ78" s="35">
        <f t="shared" si="14"/>
        <v>0</v>
      </c>
      <c r="BA78" s="35">
        <f t="shared" si="15"/>
        <v>0</v>
      </c>
      <c r="BB78" s="35">
        <f t="shared" si="16"/>
        <v>0</v>
      </c>
      <c r="BC78" s="35">
        <f t="shared" si="17"/>
        <v>0</v>
      </c>
      <c r="BD78" s="35">
        <f t="shared" si="18"/>
        <v>0</v>
      </c>
      <c r="BE78" s="35">
        <f t="shared" si="19"/>
        <v>0</v>
      </c>
      <c r="BF78" s="35">
        <f t="shared" si="20"/>
        <v>0</v>
      </c>
      <c r="BG78" s="35">
        <f t="shared" si="21"/>
        <v>0</v>
      </c>
      <c r="BH78" s="35">
        <f t="shared" si="22"/>
        <v>0</v>
      </c>
      <c r="BI78" s="35">
        <f t="shared" si="23"/>
        <v>0</v>
      </c>
      <c r="BJ78" s="35">
        <f t="shared" si="24"/>
        <v>0</v>
      </c>
      <c r="BK78" s="35">
        <f t="shared" si="25"/>
        <v>0</v>
      </c>
      <c r="BL78" s="35">
        <f t="shared" si="26"/>
        <v>0</v>
      </c>
      <c r="BM78" s="35">
        <f t="shared" si="27"/>
        <v>0</v>
      </c>
      <c r="BN78" s="35">
        <f t="shared" si="28"/>
        <v>0</v>
      </c>
      <c r="BO78" s="35">
        <f t="shared" si="29"/>
        <v>0</v>
      </c>
      <c r="BP78" s="35">
        <f t="shared" si="30"/>
        <v>0</v>
      </c>
      <c r="BQ78" s="35">
        <f t="shared" si="31"/>
        <v>0</v>
      </c>
      <c r="BR78" s="35">
        <f t="shared" si="32"/>
        <v>0</v>
      </c>
      <c r="BS78" s="35">
        <f t="shared" si="33"/>
        <v>0</v>
      </c>
      <c r="BT78" s="43">
        <f t="shared" si="34"/>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0">
        <f t="shared" si="11"/>
        <v>0</v>
      </c>
      <c r="AW79" s="1790">
        <f t="shared" si="12"/>
        <v>0</v>
      </c>
      <c r="AX79" s="1790">
        <f t="shared" si="35"/>
        <v>0</v>
      </c>
      <c r="AY79" s="42">
        <f t="shared" si="13"/>
        <v>0</v>
      </c>
      <c r="AZ79" s="35">
        <f t="shared" si="14"/>
        <v>0</v>
      </c>
      <c r="BA79" s="35">
        <f t="shared" si="15"/>
        <v>0</v>
      </c>
      <c r="BB79" s="35">
        <f t="shared" si="16"/>
        <v>0</v>
      </c>
      <c r="BC79" s="35">
        <f t="shared" si="17"/>
        <v>0</v>
      </c>
      <c r="BD79" s="35">
        <f t="shared" si="18"/>
        <v>0</v>
      </c>
      <c r="BE79" s="35">
        <f t="shared" si="19"/>
        <v>0</v>
      </c>
      <c r="BF79" s="35">
        <f t="shared" si="20"/>
        <v>0</v>
      </c>
      <c r="BG79" s="35">
        <f t="shared" si="21"/>
        <v>0</v>
      </c>
      <c r="BH79" s="35">
        <f t="shared" si="22"/>
        <v>0</v>
      </c>
      <c r="BI79" s="35">
        <f t="shared" si="23"/>
        <v>0</v>
      </c>
      <c r="BJ79" s="35">
        <f t="shared" si="24"/>
        <v>0</v>
      </c>
      <c r="BK79" s="35">
        <f t="shared" si="25"/>
        <v>0</v>
      </c>
      <c r="BL79" s="35">
        <f t="shared" si="26"/>
        <v>0</v>
      </c>
      <c r="BM79" s="35">
        <f t="shared" si="27"/>
        <v>0</v>
      </c>
      <c r="BN79" s="35">
        <f t="shared" si="28"/>
        <v>0</v>
      </c>
      <c r="BO79" s="35">
        <f t="shared" si="29"/>
        <v>0</v>
      </c>
      <c r="BP79" s="35">
        <f t="shared" si="30"/>
        <v>0</v>
      </c>
      <c r="BQ79" s="35">
        <f t="shared" si="31"/>
        <v>0</v>
      </c>
      <c r="BR79" s="35">
        <f t="shared" si="32"/>
        <v>0</v>
      </c>
      <c r="BS79" s="35">
        <f t="shared" si="33"/>
        <v>0</v>
      </c>
      <c r="BT79" s="43">
        <f t="shared" si="34"/>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0">
        <f t="shared" si="11"/>
        <v>0</v>
      </c>
      <c r="AW80" s="1790">
        <f t="shared" si="12"/>
        <v>0</v>
      </c>
      <c r="AX80" s="1790">
        <f t="shared" si="35"/>
        <v>0</v>
      </c>
      <c r="AY80" s="42">
        <f t="shared" si="13"/>
        <v>0</v>
      </c>
      <c r="AZ80" s="35">
        <f t="shared" si="14"/>
        <v>0</v>
      </c>
      <c r="BA80" s="35">
        <f t="shared" si="15"/>
        <v>0</v>
      </c>
      <c r="BB80" s="35">
        <f t="shared" si="16"/>
        <v>0</v>
      </c>
      <c r="BC80" s="35">
        <f t="shared" si="17"/>
        <v>0</v>
      </c>
      <c r="BD80" s="35">
        <f t="shared" si="18"/>
        <v>0</v>
      </c>
      <c r="BE80" s="35">
        <f t="shared" si="19"/>
        <v>0</v>
      </c>
      <c r="BF80" s="35">
        <f t="shared" si="20"/>
        <v>0</v>
      </c>
      <c r="BG80" s="35">
        <f t="shared" si="21"/>
        <v>0</v>
      </c>
      <c r="BH80" s="35">
        <f t="shared" si="22"/>
        <v>0</v>
      </c>
      <c r="BI80" s="35">
        <f t="shared" si="23"/>
        <v>0</v>
      </c>
      <c r="BJ80" s="35">
        <f t="shared" si="24"/>
        <v>0</v>
      </c>
      <c r="BK80" s="35">
        <f t="shared" si="25"/>
        <v>0</v>
      </c>
      <c r="BL80" s="35">
        <f t="shared" si="26"/>
        <v>0</v>
      </c>
      <c r="BM80" s="35">
        <f t="shared" si="27"/>
        <v>0</v>
      </c>
      <c r="BN80" s="35">
        <f t="shared" si="28"/>
        <v>0</v>
      </c>
      <c r="BO80" s="35">
        <f t="shared" si="29"/>
        <v>0</v>
      </c>
      <c r="BP80" s="35">
        <f t="shared" si="30"/>
        <v>0</v>
      </c>
      <c r="BQ80" s="35">
        <f t="shared" si="31"/>
        <v>0</v>
      </c>
      <c r="BR80" s="35">
        <f t="shared" si="32"/>
        <v>0</v>
      </c>
      <c r="BS80" s="35">
        <f t="shared" si="33"/>
        <v>0</v>
      </c>
      <c r="BT80" s="43">
        <f t="shared" si="34"/>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0">
        <f t="shared" si="11"/>
        <v>0</v>
      </c>
      <c r="AW81" s="1790">
        <f t="shared" si="12"/>
        <v>0</v>
      </c>
      <c r="AX81" s="1790">
        <f t="shared" si="35"/>
        <v>0</v>
      </c>
      <c r="AY81" s="42">
        <f t="shared" si="13"/>
        <v>0</v>
      </c>
      <c r="AZ81" s="35">
        <f t="shared" si="14"/>
        <v>0</v>
      </c>
      <c r="BA81" s="35">
        <f t="shared" si="15"/>
        <v>0</v>
      </c>
      <c r="BB81" s="35">
        <f t="shared" si="16"/>
        <v>0</v>
      </c>
      <c r="BC81" s="35">
        <f t="shared" si="17"/>
        <v>0</v>
      </c>
      <c r="BD81" s="35">
        <f t="shared" si="18"/>
        <v>0</v>
      </c>
      <c r="BE81" s="35">
        <f t="shared" si="19"/>
        <v>0</v>
      </c>
      <c r="BF81" s="35">
        <f t="shared" si="20"/>
        <v>0</v>
      </c>
      <c r="BG81" s="35">
        <f t="shared" si="21"/>
        <v>0</v>
      </c>
      <c r="BH81" s="35">
        <f t="shared" si="22"/>
        <v>0</v>
      </c>
      <c r="BI81" s="35">
        <f t="shared" si="23"/>
        <v>0</v>
      </c>
      <c r="BJ81" s="35">
        <f t="shared" si="24"/>
        <v>0</v>
      </c>
      <c r="BK81" s="35">
        <f t="shared" si="25"/>
        <v>0</v>
      </c>
      <c r="BL81" s="35">
        <f t="shared" si="26"/>
        <v>0</v>
      </c>
      <c r="BM81" s="35">
        <f t="shared" si="27"/>
        <v>0</v>
      </c>
      <c r="BN81" s="35">
        <f t="shared" si="28"/>
        <v>0</v>
      </c>
      <c r="BO81" s="35">
        <f t="shared" si="29"/>
        <v>0</v>
      </c>
      <c r="BP81" s="35">
        <f t="shared" si="30"/>
        <v>0</v>
      </c>
      <c r="BQ81" s="35">
        <f t="shared" si="31"/>
        <v>0</v>
      </c>
      <c r="BR81" s="35">
        <f t="shared" si="32"/>
        <v>0</v>
      </c>
      <c r="BS81" s="35">
        <f t="shared" si="33"/>
        <v>0</v>
      </c>
      <c r="BT81" s="43">
        <f t="shared" si="34"/>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0">
        <f t="shared" si="11"/>
        <v>0</v>
      </c>
      <c r="AW82" s="1790">
        <f t="shared" si="12"/>
        <v>0</v>
      </c>
      <c r="AX82" s="1790">
        <f t="shared" si="35"/>
        <v>0</v>
      </c>
      <c r="AY82" s="42">
        <f t="shared" si="13"/>
        <v>0</v>
      </c>
      <c r="AZ82" s="35">
        <f t="shared" si="14"/>
        <v>0</v>
      </c>
      <c r="BA82" s="35">
        <f t="shared" si="15"/>
        <v>0</v>
      </c>
      <c r="BB82" s="35">
        <f t="shared" si="16"/>
        <v>0</v>
      </c>
      <c r="BC82" s="35">
        <f t="shared" si="17"/>
        <v>0</v>
      </c>
      <c r="BD82" s="35">
        <f t="shared" si="18"/>
        <v>0</v>
      </c>
      <c r="BE82" s="35">
        <f t="shared" si="19"/>
        <v>0</v>
      </c>
      <c r="BF82" s="35">
        <f t="shared" si="20"/>
        <v>0</v>
      </c>
      <c r="BG82" s="35">
        <f t="shared" si="21"/>
        <v>0</v>
      </c>
      <c r="BH82" s="35">
        <f t="shared" si="22"/>
        <v>0</v>
      </c>
      <c r="BI82" s="35">
        <f t="shared" si="23"/>
        <v>0</v>
      </c>
      <c r="BJ82" s="35">
        <f t="shared" si="24"/>
        <v>0</v>
      </c>
      <c r="BK82" s="35">
        <f t="shared" si="25"/>
        <v>0</v>
      </c>
      <c r="BL82" s="35">
        <f t="shared" si="26"/>
        <v>0</v>
      </c>
      <c r="BM82" s="35">
        <f t="shared" si="27"/>
        <v>0</v>
      </c>
      <c r="BN82" s="35">
        <f t="shared" si="28"/>
        <v>0</v>
      </c>
      <c r="BO82" s="35">
        <f t="shared" si="29"/>
        <v>0</v>
      </c>
      <c r="BP82" s="35">
        <f t="shared" si="30"/>
        <v>0</v>
      </c>
      <c r="BQ82" s="35">
        <f t="shared" si="31"/>
        <v>0</v>
      </c>
      <c r="BR82" s="35">
        <f t="shared" si="32"/>
        <v>0</v>
      </c>
      <c r="BS82" s="35">
        <f t="shared" si="33"/>
        <v>0</v>
      </c>
      <c r="BT82" s="43">
        <f t="shared" si="34"/>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0">
        <f t="shared" si="11"/>
        <v>0</v>
      </c>
      <c r="AW83" s="1790">
        <f t="shared" si="12"/>
        <v>0</v>
      </c>
      <c r="AX83" s="1790">
        <f t="shared" si="35"/>
        <v>0</v>
      </c>
      <c r="AY83" s="42">
        <f t="shared" si="13"/>
        <v>0</v>
      </c>
      <c r="AZ83" s="35">
        <f t="shared" si="14"/>
        <v>0</v>
      </c>
      <c r="BA83" s="35">
        <f t="shared" si="15"/>
        <v>0</v>
      </c>
      <c r="BB83" s="35">
        <f t="shared" si="16"/>
        <v>0</v>
      </c>
      <c r="BC83" s="35">
        <f t="shared" si="17"/>
        <v>0</v>
      </c>
      <c r="BD83" s="35">
        <f t="shared" si="18"/>
        <v>0</v>
      </c>
      <c r="BE83" s="35">
        <f t="shared" si="19"/>
        <v>0</v>
      </c>
      <c r="BF83" s="35">
        <f t="shared" si="20"/>
        <v>0</v>
      </c>
      <c r="BG83" s="35">
        <f t="shared" si="21"/>
        <v>0</v>
      </c>
      <c r="BH83" s="35">
        <f t="shared" si="22"/>
        <v>0</v>
      </c>
      <c r="BI83" s="35">
        <f t="shared" si="23"/>
        <v>0</v>
      </c>
      <c r="BJ83" s="35">
        <f t="shared" si="24"/>
        <v>0</v>
      </c>
      <c r="BK83" s="35">
        <f t="shared" si="25"/>
        <v>0</v>
      </c>
      <c r="BL83" s="35">
        <f t="shared" si="26"/>
        <v>0</v>
      </c>
      <c r="BM83" s="35">
        <f t="shared" si="27"/>
        <v>0</v>
      </c>
      <c r="BN83" s="35">
        <f t="shared" si="28"/>
        <v>0</v>
      </c>
      <c r="BO83" s="35">
        <f t="shared" si="29"/>
        <v>0</v>
      </c>
      <c r="BP83" s="35">
        <f t="shared" si="30"/>
        <v>0</v>
      </c>
      <c r="BQ83" s="35">
        <f t="shared" si="31"/>
        <v>0</v>
      </c>
      <c r="BR83" s="35">
        <f t="shared" si="32"/>
        <v>0</v>
      </c>
      <c r="BS83" s="35">
        <f t="shared" si="33"/>
        <v>0</v>
      </c>
      <c r="BT83" s="43">
        <f t="shared" si="34"/>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0">
        <f t="shared" si="11"/>
        <v>0</v>
      </c>
      <c r="AW84" s="1790">
        <f t="shared" si="12"/>
        <v>0</v>
      </c>
      <c r="AX84" s="1790">
        <f t="shared" si="35"/>
        <v>0</v>
      </c>
      <c r="AY84" s="42">
        <f t="shared" si="13"/>
        <v>0</v>
      </c>
      <c r="AZ84" s="35">
        <f t="shared" si="14"/>
        <v>0</v>
      </c>
      <c r="BA84" s="35">
        <f t="shared" si="15"/>
        <v>0</v>
      </c>
      <c r="BB84" s="35">
        <f t="shared" si="16"/>
        <v>0</v>
      </c>
      <c r="BC84" s="35">
        <f t="shared" si="17"/>
        <v>0</v>
      </c>
      <c r="BD84" s="35">
        <f t="shared" si="18"/>
        <v>0</v>
      </c>
      <c r="BE84" s="35">
        <f t="shared" si="19"/>
        <v>0</v>
      </c>
      <c r="BF84" s="35">
        <f t="shared" si="20"/>
        <v>0</v>
      </c>
      <c r="BG84" s="35">
        <f t="shared" si="21"/>
        <v>0</v>
      </c>
      <c r="BH84" s="35">
        <f t="shared" si="22"/>
        <v>0</v>
      </c>
      <c r="BI84" s="35">
        <f t="shared" si="23"/>
        <v>0</v>
      </c>
      <c r="BJ84" s="35">
        <f t="shared" si="24"/>
        <v>0</v>
      </c>
      <c r="BK84" s="35">
        <f t="shared" si="25"/>
        <v>0</v>
      </c>
      <c r="BL84" s="35">
        <f t="shared" si="26"/>
        <v>0</v>
      </c>
      <c r="BM84" s="35">
        <f t="shared" si="27"/>
        <v>0</v>
      </c>
      <c r="BN84" s="35">
        <f t="shared" si="28"/>
        <v>0</v>
      </c>
      <c r="BO84" s="35">
        <f t="shared" si="29"/>
        <v>0</v>
      </c>
      <c r="BP84" s="35">
        <f t="shared" si="30"/>
        <v>0</v>
      </c>
      <c r="BQ84" s="35">
        <f t="shared" si="31"/>
        <v>0</v>
      </c>
      <c r="BR84" s="35">
        <f t="shared" si="32"/>
        <v>0</v>
      </c>
      <c r="BS84" s="35">
        <f t="shared" si="33"/>
        <v>0</v>
      </c>
      <c r="BT84" s="43">
        <f t="shared" si="34"/>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0">
        <f t="shared" si="11"/>
        <v>0</v>
      </c>
      <c r="AW85" s="1790">
        <f t="shared" si="12"/>
        <v>0</v>
      </c>
      <c r="AX85" s="1790">
        <f t="shared" si="35"/>
        <v>0</v>
      </c>
      <c r="AY85" s="42">
        <f t="shared" si="13"/>
        <v>0</v>
      </c>
      <c r="AZ85" s="35">
        <f t="shared" si="14"/>
        <v>0</v>
      </c>
      <c r="BA85" s="35">
        <f t="shared" si="15"/>
        <v>0</v>
      </c>
      <c r="BB85" s="35">
        <f t="shared" si="16"/>
        <v>0</v>
      </c>
      <c r="BC85" s="35">
        <f t="shared" si="17"/>
        <v>0</v>
      </c>
      <c r="BD85" s="35">
        <f t="shared" si="18"/>
        <v>0</v>
      </c>
      <c r="BE85" s="35">
        <f t="shared" si="19"/>
        <v>0</v>
      </c>
      <c r="BF85" s="35">
        <f t="shared" si="20"/>
        <v>0</v>
      </c>
      <c r="BG85" s="35">
        <f t="shared" si="21"/>
        <v>0</v>
      </c>
      <c r="BH85" s="35">
        <f t="shared" si="22"/>
        <v>0</v>
      </c>
      <c r="BI85" s="35">
        <f t="shared" si="23"/>
        <v>0</v>
      </c>
      <c r="BJ85" s="35">
        <f t="shared" si="24"/>
        <v>0</v>
      </c>
      <c r="BK85" s="35">
        <f t="shared" si="25"/>
        <v>0</v>
      </c>
      <c r="BL85" s="35">
        <f t="shared" si="26"/>
        <v>0</v>
      </c>
      <c r="BM85" s="35">
        <f t="shared" si="27"/>
        <v>0</v>
      </c>
      <c r="BN85" s="35">
        <f t="shared" si="28"/>
        <v>0</v>
      </c>
      <c r="BO85" s="35">
        <f t="shared" si="29"/>
        <v>0</v>
      </c>
      <c r="BP85" s="35">
        <f t="shared" si="30"/>
        <v>0</v>
      </c>
      <c r="BQ85" s="35">
        <f t="shared" si="31"/>
        <v>0</v>
      </c>
      <c r="BR85" s="35">
        <f t="shared" si="32"/>
        <v>0</v>
      </c>
      <c r="BS85" s="35">
        <f t="shared" si="33"/>
        <v>0</v>
      </c>
      <c r="BT85" s="43">
        <f t="shared" si="34"/>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0">
        <f t="shared" si="11"/>
        <v>0</v>
      </c>
      <c r="AW86" s="1790">
        <f t="shared" si="12"/>
        <v>0</v>
      </c>
      <c r="AX86" s="1790">
        <f t="shared" si="35"/>
        <v>0</v>
      </c>
      <c r="AY86" s="42">
        <f t="shared" si="13"/>
        <v>0</v>
      </c>
      <c r="AZ86" s="35">
        <f t="shared" si="14"/>
        <v>0</v>
      </c>
      <c r="BA86" s="35">
        <f t="shared" si="15"/>
        <v>0</v>
      </c>
      <c r="BB86" s="35">
        <f t="shared" si="16"/>
        <v>0</v>
      </c>
      <c r="BC86" s="35">
        <f t="shared" si="17"/>
        <v>0</v>
      </c>
      <c r="BD86" s="35">
        <f t="shared" si="18"/>
        <v>0</v>
      </c>
      <c r="BE86" s="35">
        <f t="shared" si="19"/>
        <v>0</v>
      </c>
      <c r="BF86" s="35">
        <f t="shared" si="20"/>
        <v>0</v>
      </c>
      <c r="BG86" s="35">
        <f t="shared" si="21"/>
        <v>0</v>
      </c>
      <c r="BH86" s="35">
        <f t="shared" si="22"/>
        <v>0</v>
      </c>
      <c r="BI86" s="35">
        <f t="shared" si="23"/>
        <v>0</v>
      </c>
      <c r="BJ86" s="35">
        <f t="shared" si="24"/>
        <v>0</v>
      </c>
      <c r="BK86" s="35">
        <f t="shared" si="25"/>
        <v>0</v>
      </c>
      <c r="BL86" s="35">
        <f t="shared" si="26"/>
        <v>0</v>
      </c>
      <c r="BM86" s="35">
        <f t="shared" si="27"/>
        <v>0</v>
      </c>
      <c r="BN86" s="35">
        <f t="shared" si="28"/>
        <v>0</v>
      </c>
      <c r="BO86" s="35">
        <f t="shared" si="29"/>
        <v>0</v>
      </c>
      <c r="BP86" s="35">
        <f t="shared" si="30"/>
        <v>0</v>
      </c>
      <c r="BQ86" s="35">
        <f t="shared" si="31"/>
        <v>0</v>
      </c>
      <c r="BR86" s="35">
        <f t="shared" si="32"/>
        <v>0</v>
      </c>
      <c r="BS86" s="35">
        <f t="shared" si="33"/>
        <v>0</v>
      </c>
      <c r="BT86" s="43">
        <f t="shared" si="34"/>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0">
        <f t="shared" si="11"/>
        <v>0</v>
      </c>
      <c r="AW87" s="1790">
        <f t="shared" si="12"/>
        <v>0</v>
      </c>
      <c r="AX87" s="1790">
        <f t="shared" si="35"/>
        <v>0</v>
      </c>
      <c r="AY87" s="42">
        <f t="shared" si="13"/>
        <v>0</v>
      </c>
      <c r="AZ87" s="35">
        <f t="shared" si="14"/>
        <v>0</v>
      </c>
      <c r="BA87" s="35">
        <f t="shared" si="15"/>
        <v>0</v>
      </c>
      <c r="BB87" s="35">
        <f t="shared" si="16"/>
        <v>0</v>
      </c>
      <c r="BC87" s="35">
        <f t="shared" si="17"/>
        <v>0</v>
      </c>
      <c r="BD87" s="35">
        <f t="shared" si="18"/>
        <v>0</v>
      </c>
      <c r="BE87" s="35">
        <f t="shared" si="19"/>
        <v>0</v>
      </c>
      <c r="BF87" s="35">
        <f t="shared" si="20"/>
        <v>0</v>
      </c>
      <c r="BG87" s="35">
        <f t="shared" si="21"/>
        <v>0</v>
      </c>
      <c r="BH87" s="35">
        <f t="shared" si="22"/>
        <v>0</v>
      </c>
      <c r="BI87" s="35">
        <f t="shared" si="23"/>
        <v>0</v>
      </c>
      <c r="BJ87" s="35">
        <f t="shared" si="24"/>
        <v>0</v>
      </c>
      <c r="BK87" s="35">
        <f t="shared" si="25"/>
        <v>0</v>
      </c>
      <c r="BL87" s="35">
        <f t="shared" si="26"/>
        <v>0</v>
      </c>
      <c r="BM87" s="35">
        <f t="shared" si="27"/>
        <v>0</v>
      </c>
      <c r="BN87" s="35">
        <f t="shared" si="28"/>
        <v>0</v>
      </c>
      <c r="BO87" s="35">
        <f t="shared" si="29"/>
        <v>0</v>
      </c>
      <c r="BP87" s="35">
        <f t="shared" si="30"/>
        <v>0</v>
      </c>
      <c r="BQ87" s="35">
        <f t="shared" si="31"/>
        <v>0</v>
      </c>
      <c r="BR87" s="35">
        <f t="shared" si="32"/>
        <v>0</v>
      </c>
      <c r="BS87" s="35">
        <f t="shared" si="33"/>
        <v>0</v>
      </c>
      <c r="BT87" s="43">
        <f t="shared" si="34"/>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0">
        <f t="shared" si="11"/>
        <v>0</v>
      </c>
      <c r="AW88" s="1790">
        <f t="shared" si="12"/>
        <v>0</v>
      </c>
      <c r="AX88" s="1790">
        <f t="shared" si="35"/>
        <v>0</v>
      </c>
      <c r="AY88" s="42">
        <f t="shared" si="13"/>
        <v>0</v>
      </c>
      <c r="AZ88" s="35">
        <f t="shared" si="14"/>
        <v>0</v>
      </c>
      <c r="BA88" s="35">
        <f t="shared" si="15"/>
        <v>0</v>
      </c>
      <c r="BB88" s="35">
        <f t="shared" si="16"/>
        <v>0</v>
      </c>
      <c r="BC88" s="35">
        <f t="shared" si="17"/>
        <v>0</v>
      </c>
      <c r="BD88" s="35">
        <f t="shared" si="18"/>
        <v>0</v>
      </c>
      <c r="BE88" s="35">
        <f t="shared" si="19"/>
        <v>0</v>
      </c>
      <c r="BF88" s="35">
        <f t="shared" si="20"/>
        <v>0</v>
      </c>
      <c r="BG88" s="35">
        <f t="shared" si="21"/>
        <v>0</v>
      </c>
      <c r="BH88" s="35">
        <f t="shared" si="22"/>
        <v>0</v>
      </c>
      <c r="BI88" s="35">
        <f t="shared" si="23"/>
        <v>0</v>
      </c>
      <c r="BJ88" s="35">
        <f t="shared" si="24"/>
        <v>0</v>
      </c>
      <c r="BK88" s="35">
        <f t="shared" si="25"/>
        <v>0</v>
      </c>
      <c r="BL88" s="35">
        <f t="shared" si="26"/>
        <v>0</v>
      </c>
      <c r="BM88" s="35">
        <f t="shared" si="27"/>
        <v>0</v>
      </c>
      <c r="BN88" s="35">
        <f t="shared" si="28"/>
        <v>0</v>
      </c>
      <c r="BO88" s="35">
        <f t="shared" si="29"/>
        <v>0</v>
      </c>
      <c r="BP88" s="35">
        <f t="shared" si="30"/>
        <v>0</v>
      </c>
      <c r="BQ88" s="35">
        <f t="shared" si="31"/>
        <v>0</v>
      </c>
      <c r="BR88" s="35">
        <f t="shared" si="32"/>
        <v>0</v>
      </c>
      <c r="BS88" s="35">
        <f t="shared" si="33"/>
        <v>0</v>
      </c>
      <c r="BT88" s="43">
        <f t="shared" si="34"/>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0">
        <f t="shared" si="11"/>
        <v>0</v>
      </c>
      <c r="AW89" s="1790">
        <f t="shared" si="12"/>
        <v>0</v>
      </c>
      <c r="AX89" s="1790">
        <f t="shared" si="35"/>
        <v>0</v>
      </c>
      <c r="AY89" s="42">
        <f t="shared" si="13"/>
        <v>0</v>
      </c>
      <c r="AZ89" s="35">
        <f t="shared" si="14"/>
        <v>0</v>
      </c>
      <c r="BA89" s="35">
        <f t="shared" si="15"/>
        <v>0</v>
      </c>
      <c r="BB89" s="35">
        <f t="shared" si="16"/>
        <v>0</v>
      </c>
      <c r="BC89" s="35">
        <f t="shared" si="17"/>
        <v>0</v>
      </c>
      <c r="BD89" s="35">
        <f t="shared" si="18"/>
        <v>0</v>
      </c>
      <c r="BE89" s="35">
        <f t="shared" si="19"/>
        <v>0</v>
      </c>
      <c r="BF89" s="35">
        <f t="shared" si="20"/>
        <v>0</v>
      </c>
      <c r="BG89" s="35">
        <f t="shared" si="21"/>
        <v>0</v>
      </c>
      <c r="BH89" s="35">
        <f t="shared" si="22"/>
        <v>0</v>
      </c>
      <c r="BI89" s="35">
        <f t="shared" si="23"/>
        <v>0</v>
      </c>
      <c r="BJ89" s="35">
        <f t="shared" si="24"/>
        <v>0</v>
      </c>
      <c r="BK89" s="35">
        <f t="shared" si="25"/>
        <v>0</v>
      </c>
      <c r="BL89" s="35">
        <f t="shared" si="26"/>
        <v>0</v>
      </c>
      <c r="BM89" s="35">
        <f t="shared" si="27"/>
        <v>0</v>
      </c>
      <c r="BN89" s="35">
        <f t="shared" si="28"/>
        <v>0</v>
      </c>
      <c r="BO89" s="35">
        <f t="shared" si="29"/>
        <v>0</v>
      </c>
      <c r="BP89" s="35">
        <f t="shared" si="30"/>
        <v>0</v>
      </c>
      <c r="BQ89" s="35">
        <f t="shared" si="31"/>
        <v>0</v>
      </c>
      <c r="BR89" s="35">
        <f t="shared" si="32"/>
        <v>0</v>
      </c>
      <c r="BS89" s="35">
        <f t="shared" si="33"/>
        <v>0</v>
      </c>
      <c r="BT89" s="43">
        <f t="shared" si="34"/>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0">
        <f t="shared" si="11"/>
        <v>0</v>
      </c>
      <c r="AW90" s="1790">
        <f t="shared" si="12"/>
        <v>0</v>
      </c>
      <c r="AX90" s="1790">
        <f t="shared" si="35"/>
        <v>0</v>
      </c>
      <c r="AY90" s="42">
        <f t="shared" si="13"/>
        <v>0</v>
      </c>
      <c r="AZ90" s="35">
        <f t="shared" si="14"/>
        <v>0</v>
      </c>
      <c r="BA90" s="35">
        <f t="shared" si="15"/>
        <v>0</v>
      </c>
      <c r="BB90" s="35">
        <f t="shared" si="16"/>
        <v>0</v>
      </c>
      <c r="BC90" s="35">
        <f t="shared" si="17"/>
        <v>0</v>
      </c>
      <c r="BD90" s="35">
        <f t="shared" si="18"/>
        <v>0</v>
      </c>
      <c r="BE90" s="35">
        <f t="shared" si="19"/>
        <v>0</v>
      </c>
      <c r="BF90" s="35">
        <f t="shared" si="20"/>
        <v>0</v>
      </c>
      <c r="BG90" s="35">
        <f t="shared" si="21"/>
        <v>0</v>
      </c>
      <c r="BH90" s="35">
        <f t="shared" si="22"/>
        <v>0</v>
      </c>
      <c r="BI90" s="35">
        <f t="shared" si="23"/>
        <v>0</v>
      </c>
      <c r="BJ90" s="35">
        <f t="shared" si="24"/>
        <v>0</v>
      </c>
      <c r="BK90" s="35">
        <f t="shared" si="25"/>
        <v>0</v>
      </c>
      <c r="BL90" s="35">
        <f t="shared" si="26"/>
        <v>0</v>
      </c>
      <c r="BM90" s="35">
        <f t="shared" si="27"/>
        <v>0</v>
      </c>
      <c r="BN90" s="35">
        <f t="shared" si="28"/>
        <v>0</v>
      </c>
      <c r="BO90" s="35">
        <f t="shared" si="29"/>
        <v>0</v>
      </c>
      <c r="BP90" s="35">
        <f t="shared" si="30"/>
        <v>0</v>
      </c>
      <c r="BQ90" s="35">
        <f t="shared" si="31"/>
        <v>0</v>
      </c>
      <c r="BR90" s="35">
        <f t="shared" si="32"/>
        <v>0</v>
      </c>
      <c r="BS90" s="35">
        <f t="shared" si="33"/>
        <v>0</v>
      </c>
      <c r="BT90" s="43">
        <f t="shared" si="34"/>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0">
        <f t="shared" si="11"/>
        <v>0</v>
      </c>
      <c r="AW91" s="1790">
        <f t="shared" si="12"/>
        <v>0</v>
      </c>
      <c r="AX91" s="1790">
        <f t="shared" si="35"/>
        <v>0</v>
      </c>
      <c r="AY91" s="42">
        <f t="shared" si="13"/>
        <v>0</v>
      </c>
      <c r="AZ91" s="35">
        <f t="shared" si="14"/>
        <v>0</v>
      </c>
      <c r="BA91" s="35">
        <f t="shared" si="15"/>
        <v>0</v>
      </c>
      <c r="BB91" s="35">
        <f t="shared" si="16"/>
        <v>0</v>
      </c>
      <c r="BC91" s="35">
        <f t="shared" si="17"/>
        <v>0</v>
      </c>
      <c r="BD91" s="35">
        <f t="shared" si="18"/>
        <v>0</v>
      </c>
      <c r="BE91" s="35">
        <f t="shared" si="19"/>
        <v>0</v>
      </c>
      <c r="BF91" s="35">
        <f t="shared" si="20"/>
        <v>0</v>
      </c>
      <c r="BG91" s="35">
        <f t="shared" si="21"/>
        <v>0</v>
      </c>
      <c r="BH91" s="35">
        <f t="shared" si="22"/>
        <v>0</v>
      </c>
      <c r="BI91" s="35">
        <f t="shared" si="23"/>
        <v>0</v>
      </c>
      <c r="BJ91" s="35">
        <f t="shared" si="24"/>
        <v>0</v>
      </c>
      <c r="BK91" s="35">
        <f t="shared" si="25"/>
        <v>0</v>
      </c>
      <c r="BL91" s="35">
        <f t="shared" si="26"/>
        <v>0</v>
      </c>
      <c r="BM91" s="35">
        <f t="shared" si="27"/>
        <v>0</v>
      </c>
      <c r="BN91" s="35">
        <f t="shared" si="28"/>
        <v>0</v>
      </c>
      <c r="BO91" s="35">
        <f t="shared" si="29"/>
        <v>0</v>
      </c>
      <c r="BP91" s="35">
        <f t="shared" si="30"/>
        <v>0</v>
      </c>
      <c r="BQ91" s="35">
        <f t="shared" si="31"/>
        <v>0</v>
      </c>
      <c r="BR91" s="35">
        <f t="shared" si="32"/>
        <v>0</v>
      </c>
      <c r="BS91" s="35">
        <f t="shared" si="33"/>
        <v>0</v>
      </c>
      <c r="BT91" s="43">
        <f t="shared" si="34"/>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0">
        <f t="shared" si="11"/>
        <v>0</v>
      </c>
      <c r="AW92" s="1790">
        <f t="shared" si="12"/>
        <v>0</v>
      </c>
      <c r="AX92" s="1790">
        <f t="shared" si="35"/>
        <v>0</v>
      </c>
      <c r="AY92" s="42">
        <f t="shared" si="13"/>
        <v>0</v>
      </c>
      <c r="AZ92" s="35">
        <f t="shared" si="14"/>
        <v>0</v>
      </c>
      <c r="BA92" s="35">
        <f t="shared" si="15"/>
        <v>0</v>
      </c>
      <c r="BB92" s="35">
        <f t="shared" si="16"/>
        <v>0</v>
      </c>
      <c r="BC92" s="35">
        <f t="shared" si="17"/>
        <v>0</v>
      </c>
      <c r="BD92" s="35">
        <f t="shared" si="18"/>
        <v>0</v>
      </c>
      <c r="BE92" s="35">
        <f t="shared" si="19"/>
        <v>0</v>
      </c>
      <c r="BF92" s="35">
        <f t="shared" si="20"/>
        <v>0</v>
      </c>
      <c r="BG92" s="35">
        <f t="shared" si="21"/>
        <v>0</v>
      </c>
      <c r="BH92" s="35">
        <f t="shared" si="22"/>
        <v>0</v>
      </c>
      <c r="BI92" s="35">
        <f t="shared" si="23"/>
        <v>0</v>
      </c>
      <c r="BJ92" s="35">
        <f t="shared" si="24"/>
        <v>0</v>
      </c>
      <c r="BK92" s="35">
        <f t="shared" si="25"/>
        <v>0</v>
      </c>
      <c r="BL92" s="35">
        <f t="shared" si="26"/>
        <v>0</v>
      </c>
      <c r="BM92" s="35">
        <f t="shared" si="27"/>
        <v>0</v>
      </c>
      <c r="BN92" s="35">
        <f t="shared" si="28"/>
        <v>0</v>
      </c>
      <c r="BO92" s="35">
        <f t="shared" si="29"/>
        <v>0</v>
      </c>
      <c r="BP92" s="35">
        <f t="shared" si="30"/>
        <v>0</v>
      </c>
      <c r="BQ92" s="35">
        <f t="shared" si="31"/>
        <v>0</v>
      </c>
      <c r="BR92" s="35">
        <f t="shared" si="32"/>
        <v>0</v>
      </c>
      <c r="BS92" s="35">
        <f t="shared" si="33"/>
        <v>0</v>
      </c>
      <c r="BT92" s="43">
        <f t="shared" si="34"/>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0">
        <f t="shared" si="11"/>
        <v>0</v>
      </c>
      <c r="AW93" s="1790">
        <f t="shared" si="12"/>
        <v>0</v>
      </c>
      <c r="AX93" s="1790">
        <f t="shared" si="35"/>
        <v>0</v>
      </c>
      <c r="AY93" s="42">
        <f t="shared" si="13"/>
        <v>0</v>
      </c>
      <c r="AZ93" s="35">
        <f t="shared" si="14"/>
        <v>0</v>
      </c>
      <c r="BA93" s="35">
        <f t="shared" si="15"/>
        <v>0</v>
      </c>
      <c r="BB93" s="35">
        <f t="shared" si="16"/>
        <v>0</v>
      </c>
      <c r="BC93" s="35">
        <f t="shared" si="17"/>
        <v>0</v>
      </c>
      <c r="BD93" s="35">
        <f t="shared" si="18"/>
        <v>0</v>
      </c>
      <c r="BE93" s="35">
        <f t="shared" si="19"/>
        <v>0</v>
      </c>
      <c r="BF93" s="35">
        <f t="shared" si="20"/>
        <v>0</v>
      </c>
      <c r="BG93" s="35">
        <f t="shared" si="21"/>
        <v>0</v>
      </c>
      <c r="BH93" s="35">
        <f t="shared" si="22"/>
        <v>0</v>
      </c>
      <c r="BI93" s="35">
        <f t="shared" si="23"/>
        <v>0</v>
      </c>
      <c r="BJ93" s="35">
        <f t="shared" si="24"/>
        <v>0</v>
      </c>
      <c r="BK93" s="35">
        <f t="shared" si="25"/>
        <v>0</v>
      </c>
      <c r="BL93" s="35">
        <f t="shared" si="26"/>
        <v>0</v>
      </c>
      <c r="BM93" s="35">
        <f t="shared" si="27"/>
        <v>0</v>
      </c>
      <c r="BN93" s="35">
        <f t="shared" si="28"/>
        <v>0</v>
      </c>
      <c r="BO93" s="35">
        <f t="shared" si="29"/>
        <v>0</v>
      </c>
      <c r="BP93" s="35">
        <f t="shared" si="30"/>
        <v>0</v>
      </c>
      <c r="BQ93" s="35">
        <f t="shared" si="31"/>
        <v>0</v>
      </c>
      <c r="BR93" s="35">
        <f t="shared" si="32"/>
        <v>0</v>
      </c>
      <c r="BS93" s="35">
        <f t="shared" si="33"/>
        <v>0</v>
      </c>
      <c r="BT93" s="43">
        <f t="shared" si="34"/>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0">
        <f t="shared" si="11"/>
        <v>0</v>
      </c>
      <c r="AW94" s="1790">
        <f t="shared" si="12"/>
        <v>0</v>
      </c>
      <c r="AX94" s="1790">
        <f t="shared" si="35"/>
        <v>0</v>
      </c>
      <c r="AY94" s="42">
        <f t="shared" si="13"/>
        <v>0</v>
      </c>
      <c r="AZ94" s="35">
        <f t="shared" si="14"/>
        <v>0</v>
      </c>
      <c r="BA94" s="35">
        <f t="shared" si="15"/>
        <v>0</v>
      </c>
      <c r="BB94" s="35">
        <f t="shared" si="16"/>
        <v>0</v>
      </c>
      <c r="BC94" s="35">
        <f t="shared" si="17"/>
        <v>0</v>
      </c>
      <c r="BD94" s="35">
        <f t="shared" si="18"/>
        <v>0</v>
      </c>
      <c r="BE94" s="35">
        <f t="shared" si="19"/>
        <v>0</v>
      </c>
      <c r="BF94" s="35">
        <f t="shared" si="20"/>
        <v>0</v>
      </c>
      <c r="BG94" s="35">
        <f t="shared" si="21"/>
        <v>0</v>
      </c>
      <c r="BH94" s="35">
        <f t="shared" si="22"/>
        <v>0</v>
      </c>
      <c r="BI94" s="35">
        <f t="shared" si="23"/>
        <v>0</v>
      </c>
      <c r="BJ94" s="35">
        <f t="shared" si="24"/>
        <v>0</v>
      </c>
      <c r="BK94" s="35">
        <f t="shared" si="25"/>
        <v>0</v>
      </c>
      <c r="BL94" s="35">
        <f t="shared" si="26"/>
        <v>0</v>
      </c>
      <c r="BM94" s="35">
        <f t="shared" si="27"/>
        <v>0</v>
      </c>
      <c r="BN94" s="35">
        <f t="shared" si="28"/>
        <v>0</v>
      </c>
      <c r="BO94" s="35">
        <f t="shared" si="29"/>
        <v>0</v>
      </c>
      <c r="BP94" s="35">
        <f t="shared" si="30"/>
        <v>0</v>
      </c>
      <c r="BQ94" s="35">
        <f t="shared" si="31"/>
        <v>0</v>
      </c>
      <c r="BR94" s="35">
        <f t="shared" si="32"/>
        <v>0</v>
      </c>
      <c r="BS94" s="35">
        <f t="shared" si="33"/>
        <v>0</v>
      </c>
      <c r="BT94" s="43">
        <f t="shared" si="34"/>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0">
        <f t="shared" si="11"/>
        <v>0</v>
      </c>
      <c r="AW95" s="1790">
        <f t="shared" si="12"/>
        <v>0</v>
      </c>
      <c r="AX95" s="1790">
        <f t="shared" si="35"/>
        <v>0</v>
      </c>
      <c r="AY95" s="42">
        <f t="shared" si="13"/>
        <v>0</v>
      </c>
      <c r="AZ95" s="35">
        <f t="shared" si="14"/>
        <v>0</v>
      </c>
      <c r="BA95" s="35">
        <f t="shared" si="15"/>
        <v>0</v>
      </c>
      <c r="BB95" s="35">
        <f t="shared" si="16"/>
        <v>0</v>
      </c>
      <c r="BC95" s="35">
        <f t="shared" si="17"/>
        <v>0</v>
      </c>
      <c r="BD95" s="35">
        <f t="shared" si="18"/>
        <v>0</v>
      </c>
      <c r="BE95" s="35">
        <f t="shared" si="19"/>
        <v>0</v>
      </c>
      <c r="BF95" s="35">
        <f t="shared" si="20"/>
        <v>0</v>
      </c>
      <c r="BG95" s="35">
        <f t="shared" si="21"/>
        <v>0</v>
      </c>
      <c r="BH95" s="35">
        <f t="shared" si="22"/>
        <v>0</v>
      </c>
      <c r="BI95" s="35">
        <f t="shared" si="23"/>
        <v>0</v>
      </c>
      <c r="BJ95" s="35">
        <f t="shared" si="24"/>
        <v>0</v>
      </c>
      <c r="BK95" s="35">
        <f t="shared" si="25"/>
        <v>0</v>
      </c>
      <c r="BL95" s="35">
        <f t="shared" si="26"/>
        <v>0</v>
      </c>
      <c r="BM95" s="35">
        <f t="shared" si="27"/>
        <v>0</v>
      </c>
      <c r="BN95" s="35">
        <f t="shared" si="28"/>
        <v>0</v>
      </c>
      <c r="BO95" s="35">
        <f t="shared" si="29"/>
        <v>0</v>
      </c>
      <c r="BP95" s="35">
        <f t="shared" si="30"/>
        <v>0</v>
      </c>
      <c r="BQ95" s="35">
        <f t="shared" si="31"/>
        <v>0</v>
      </c>
      <c r="BR95" s="35">
        <f t="shared" si="32"/>
        <v>0</v>
      </c>
      <c r="BS95" s="35">
        <f t="shared" si="33"/>
        <v>0</v>
      </c>
      <c r="BT95" s="43">
        <f t="shared" si="34"/>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0">
        <f t="shared" si="11"/>
        <v>0</v>
      </c>
      <c r="AW96" s="1790">
        <f t="shared" si="12"/>
        <v>0</v>
      </c>
      <c r="AX96" s="1790">
        <f t="shared" si="35"/>
        <v>0</v>
      </c>
      <c r="AY96" s="42">
        <f t="shared" si="13"/>
        <v>0</v>
      </c>
      <c r="AZ96" s="35">
        <f t="shared" si="14"/>
        <v>0</v>
      </c>
      <c r="BA96" s="35">
        <f t="shared" si="15"/>
        <v>0</v>
      </c>
      <c r="BB96" s="35">
        <f t="shared" si="16"/>
        <v>0</v>
      </c>
      <c r="BC96" s="35">
        <f t="shared" si="17"/>
        <v>0</v>
      </c>
      <c r="BD96" s="35">
        <f t="shared" si="18"/>
        <v>0</v>
      </c>
      <c r="BE96" s="35">
        <f t="shared" si="19"/>
        <v>0</v>
      </c>
      <c r="BF96" s="35">
        <f t="shared" si="20"/>
        <v>0</v>
      </c>
      <c r="BG96" s="35">
        <f t="shared" si="21"/>
        <v>0</v>
      </c>
      <c r="BH96" s="35">
        <f t="shared" si="22"/>
        <v>0</v>
      </c>
      <c r="BI96" s="35">
        <f t="shared" si="23"/>
        <v>0</v>
      </c>
      <c r="BJ96" s="35">
        <f t="shared" si="24"/>
        <v>0</v>
      </c>
      <c r="BK96" s="35">
        <f t="shared" si="25"/>
        <v>0</v>
      </c>
      <c r="BL96" s="35">
        <f t="shared" si="26"/>
        <v>0</v>
      </c>
      <c r="BM96" s="35">
        <f t="shared" si="27"/>
        <v>0</v>
      </c>
      <c r="BN96" s="35">
        <f t="shared" si="28"/>
        <v>0</v>
      </c>
      <c r="BO96" s="35">
        <f t="shared" si="29"/>
        <v>0</v>
      </c>
      <c r="BP96" s="35">
        <f t="shared" si="30"/>
        <v>0</v>
      </c>
      <c r="BQ96" s="35">
        <f t="shared" si="31"/>
        <v>0</v>
      </c>
      <c r="BR96" s="35">
        <f t="shared" si="32"/>
        <v>0</v>
      </c>
      <c r="BS96" s="35">
        <f t="shared" si="33"/>
        <v>0</v>
      </c>
      <c r="BT96" s="43">
        <f t="shared" si="34"/>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0">
        <f t="shared" si="11"/>
        <v>0</v>
      </c>
      <c r="AW97" s="1790">
        <f t="shared" si="12"/>
        <v>0</v>
      </c>
      <c r="AX97" s="1790">
        <f t="shared" si="35"/>
        <v>0</v>
      </c>
      <c r="AY97" s="42">
        <f t="shared" si="13"/>
        <v>0</v>
      </c>
      <c r="AZ97" s="35">
        <f t="shared" si="14"/>
        <v>0</v>
      </c>
      <c r="BA97" s="35">
        <f t="shared" si="15"/>
        <v>0</v>
      </c>
      <c r="BB97" s="35">
        <f t="shared" si="16"/>
        <v>0</v>
      </c>
      <c r="BC97" s="35">
        <f t="shared" si="17"/>
        <v>0</v>
      </c>
      <c r="BD97" s="35">
        <f t="shared" si="18"/>
        <v>0</v>
      </c>
      <c r="BE97" s="35">
        <f t="shared" si="19"/>
        <v>0</v>
      </c>
      <c r="BF97" s="35">
        <f t="shared" si="20"/>
        <v>0</v>
      </c>
      <c r="BG97" s="35">
        <f t="shared" si="21"/>
        <v>0</v>
      </c>
      <c r="BH97" s="35">
        <f t="shared" si="22"/>
        <v>0</v>
      </c>
      <c r="BI97" s="35">
        <f t="shared" si="23"/>
        <v>0</v>
      </c>
      <c r="BJ97" s="35">
        <f t="shared" si="24"/>
        <v>0</v>
      </c>
      <c r="BK97" s="35">
        <f t="shared" si="25"/>
        <v>0</v>
      </c>
      <c r="BL97" s="35">
        <f t="shared" si="26"/>
        <v>0</v>
      </c>
      <c r="BM97" s="35">
        <f t="shared" si="27"/>
        <v>0</v>
      </c>
      <c r="BN97" s="35">
        <f t="shared" si="28"/>
        <v>0</v>
      </c>
      <c r="BO97" s="35">
        <f t="shared" si="29"/>
        <v>0</v>
      </c>
      <c r="BP97" s="35">
        <f t="shared" si="30"/>
        <v>0</v>
      </c>
      <c r="BQ97" s="35">
        <f t="shared" si="31"/>
        <v>0</v>
      </c>
      <c r="BR97" s="35">
        <f t="shared" si="32"/>
        <v>0</v>
      </c>
      <c r="BS97" s="35">
        <f t="shared" si="33"/>
        <v>0</v>
      </c>
      <c r="BT97" s="43">
        <f t="shared" si="34"/>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0">
        <f t="shared" si="11"/>
        <v>0</v>
      </c>
      <c r="AW98" s="1790">
        <f t="shared" si="12"/>
        <v>0</v>
      </c>
      <c r="AX98" s="1790">
        <f t="shared" si="35"/>
        <v>0</v>
      </c>
      <c r="AY98" s="42">
        <f t="shared" si="13"/>
        <v>0</v>
      </c>
      <c r="AZ98" s="35">
        <f t="shared" si="14"/>
        <v>0</v>
      </c>
      <c r="BA98" s="35">
        <f t="shared" si="15"/>
        <v>0</v>
      </c>
      <c r="BB98" s="35">
        <f t="shared" si="16"/>
        <v>0</v>
      </c>
      <c r="BC98" s="35">
        <f t="shared" si="17"/>
        <v>0</v>
      </c>
      <c r="BD98" s="35">
        <f t="shared" si="18"/>
        <v>0</v>
      </c>
      <c r="BE98" s="35">
        <f t="shared" si="19"/>
        <v>0</v>
      </c>
      <c r="BF98" s="35">
        <f t="shared" si="20"/>
        <v>0</v>
      </c>
      <c r="BG98" s="35">
        <f t="shared" si="21"/>
        <v>0</v>
      </c>
      <c r="BH98" s="35">
        <f t="shared" si="22"/>
        <v>0</v>
      </c>
      <c r="BI98" s="35">
        <f t="shared" si="23"/>
        <v>0</v>
      </c>
      <c r="BJ98" s="35">
        <f t="shared" si="24"/>
        <v>0</v>
      </c>
      <c r="BK98" s="35">
        <f t="shared" si="25"/>
        <v>0</v>
      </c>
      <c r="BL98" s="35">
        <f t="shared" si="26"/>
        <v>0</v>
      </c>
      <c r="BM98" s="35">
        <f t="shared" si="27"/>
        <v>0</v>
      </c>
      <c r="BN98" s="35">
        <f t="shared" si="28"/>
        <v>0</v>
      </c>
      <c r="BO98" s="35">
        <f t="shared" si="29"/>
        <v>0</v>
      </c>
      <c r="BP98" s="35">
        <f t="shared" si="30"/>
        <v>0</v>
      </c>
      <c r="BQ98" s="35">
        <f t="shared" si="31"/>
        <v>0</v>
      </c>
      <c r="BR98" s="35">
        <f t="shared" si="32"/>
        <v>0</v>
      </c>
      <c r="BS98" s="35">
        <f t="shared" si="33"/>
        <v>0</v>
      </c>
      <c r="BT98" s="43">
        <f t="shared" si="34"/>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0">
        <f t="shared" si="11"/>
        <v>0</v>
      </c>
      <c r="AW99" s="1790">
        <f t="shared" si="12"/>
        <v>0</v>
      </c>
      <c r="AX99" s="1790">
        <f t="shared" si="35"/>
        <v>0</v>
      </c>
      <c r="AY99" s="42">
        <f t="shared" si="13"/>
        <v>0</v>
      </c>
      <c r="AZ99" s="35">
        <f t="shared" si="14"/>
        <v>0</v>
      </c>
      <c r="BA99" s="35">
        <f t="shared" si="15"/>
        <v>0</v>
      </c>
      <c r="BB99" s="35">
        <f t="shared" si="16"/>
        <v>0</v>
      </c>
      <c r="BC99" s="35">
        <f t="shared" si="17"/>
        <v>0</v>
      </c>
      <c r="BD99" s="35">
        <f t="shared" si="18"/>
        <v>0</v>
      </c>
      <c r="BE99" s="35">
        <f t="shared" si="19"/>
        <v>0</v>
      </c>
      <c r="BF99" s="35">
        <f t="shared" si="20"/>
        <v>0</v>
      </c>
      <c r="BG99" s="35">
        <f t="shared" si="21"/>
        <v>0</v>
      </c>
      <c r="BH99" s="35">
        <f t="shared" si="22"/>
        <v>0</v>
      </c>
      <c r="BI99" s="35">
        <f t="shared" si="23"/>
        <v>0</v>
      </c>
      <c r="BJ99" s="35">
        <f t="shared" si="24"/>
        <v>0</v>
      </c>
      <c r="BK99" s="35">
        <f t="shared" si="25"/>
        <v>0</v>
      </c>
      <c r="BL99" s="35">
        <f t="shared" si="26"/>
        <v>0</v>
      </c>
      <c r="BM99" s="35">
        <f t="shared" si="27"/>
        <v>0</v>
      </c>
      <c r="BN99" s="35">
        <f t="shared" si="28"/>
        <v>0</v>
      </c>
      <c r="BO99" s="35">
        <f t="shared" si="29"/>
        <v>0</v>
      </c>
      <c r="BP99" s="35">
        <f t="shared" si="30"/>
        <v>0</v>
      </c>
      <c r="BQ99" s="35">
        <f t="shared" si="31"/>
        <v>0</v>
      </c>
      <c r="BR99" s="35">
        <f t="shared" si="32"/>
        <v>0</v>
      </c>
      <c r="BS99" s="35">
        <f t="shared" si="33"/>
        <v>0</v>
      </c>
      <c r="BT99" s="43">
        <f t="shared" si="34"/>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0">
        <f t="shared" si="11"/>
        <v>0</v>
      </c>
      <c r="AW100" s="1790">
        <f t="shared" si="12"/>
        <v>0</v>
      </c>
      <c r="AX100" s="1790">
        <f t="shared" si="35"/>
        <v>0</v>
      </c>
      <c r="AY100" s="42">
        <f t="shared" si="13"/>
        <v>0</v>
      </c>
      <c r="AZ100" s="35">
        <f t="shared" si="14"/>
        <v>0</v>
      </c>
      <c r="BA100" s="35">
        <f t="shared" si="15"/>
        <v>0</v>
      </c>
      <c r="BB100" s="35">
        <f t="shared" si="16"/>
        <v>0</v>
      </c>
      <c r="BC100" s="35">
        <f t="shared" si="17"/>
        <v>0</v>
      </c>
      <c r="BD100" s="35">
        <f t="shared" si="18"/>
        <v>0</v>
      </c>
      <c r="BE100" s="35">
        <f t="shared" si="19"/>
        <v>0</v>
      </c>
      <c r="BF100" s="35">
        <f t="shared" si="20"/>
        <v>0</v>
      </c>
      <c r="BG100" s="35">
        <f t="shared" si="21"/>
        <v>0</v>
      </c>
      <c r="BH100" s="35">
        <f t="shared" si="22"/>
        <v>0</v>
      </c>
      <c r="BI100" s="35">
        <f t="shared" si="23"/>
        <v>0</v>
      </c>
      <c r="BJ100" s="35">
        <f t="shared" si="24"/>
        <v>0</v>
      </c>
      <c r="BK100" s="35">
        <f t="shared" si="25"/>
        <v>0</v>
      </c>
      <c r="BL100" s="35">
        <f t="shared" si="26"/>
        <v>0</v>
      </c>
      <c r="BM100" s="35">
        <f t="shared" si="27"/>
        <v>0</v>
      </c>
      <c r="BN100" s="35">
        <f t="shared" si="28"/>
        <v>0</v>
      </c>
      <c r="BO100" s="35">
        <f t="shared" si="29"/>
        <v>0</v>
      </c>
      <c r="BP100" s="35">
        <f t="shared" si="30"/>
        <v>0</v>
      </c>
      <c r="BQ100" s="35">
        <f t="shared" si="31"/>
        <v>0</v>
      </c>
      <c r="BR100" s="35">
        <f t="shared" si="32"/>
        <v>0</v>
      </c>
      <c r="BS100" s="35">
        <f t="shared" si="33"/>
        <v>0</v>
      </c>
      <c r="BT100" s="43">
        <f t="shared" si="34"/>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0">
        <f t="shared" si="11"/>
        <v>0</v>
      </c>
      <c r="AW101" s="1790">
        <f t="shared" si="12"/>
        <v>0</v>
      </c>
      <c r="AX101" s="1790">
        <f t="shared" si="35"/>
        <v>0</v>
      </c>
      <c r="AY101" s="42">
        <f t="shared" si="13"/>
        <v>0</v>
      </c>
      <c r="AZ101" s="35">
        <f t="shared" si="14"/>
        <v>0</v>
      </c>
      <c r="BA101" s="35">
        <f t="shared" si="15"/>
        <v>0</v>
      </c>
      <c r="BB101" s="35">
        <f t="shared" si="16"/>
        <v>0</v>
      </c>
      <c r="BC101" s="35">
        <f t="shared" si="17"/>
        <v>0</v>
      </c>
      <c r="BD101" s="35">
        <f t="shared" si="18"/>
        <v>0</v>
      </c>
      <c r="BE101" s="35">
        <f t="shared" si="19"/>
        <v>0</v>
      </c>
      <c r="BF101" s="35">
        <f t="shared" si="20"/>
        <v>0</v>
      </c>
      <c r="BG101" s="35">
        <f t="shared" si="21"/>
        <v>0</v>
      </c>
      <c r="BH101" s="35">
        <f t="shared" si="22"/>
        <v>0</v>
      </c>
      <c r="BI101" s="35">
        <f t="shared" si="23"/>
        <v>0</v>
      </c>
      <c r="BJ101" s="35">
        <f t="shared" si="24"/>
        <v>0</v>
      </c>
      <c r="BK101" s="35">
        <f t="shared" si="25"/>
        <v>0</v>
      </c>
      <c r="BL101" s="35">
        <f t="shared" si="26"/>
        <v>0</v>
      </c>
      <c r="BM101" s="35">
        <f t="shared" si="27"/>
        <v>0</v>
      </c>
      <c r="BN101" s="35">
        <f t="shared" si="28"/>
        <v>0</v>
      </c>
      <c r="BO101" s="35">
        <f t="shared" si="29"/>
        <v>0</v>
      </c>
      <c r="BP101" s="35">
        <f t="shared" si="30"/>
        <v>0</v>
      </c>
      <c r="BQ101" s="35">
        <f t="shared" si="31"/>
        <v>0</v>
      </c>
      <c r="BR101" s="35">
        <f t="shared" si="32"/>
        <v>0</v>
      </c>
      <c r="BS101" s="35">
        <f t="shared" si="33"/>
        <v>0</v>
      </c>
      <c r="BT101" s="43">
        <f t="shared" si="34"/>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0">
        <f t="shared" si="11"/>
        <v>0</v>
      </c>
      <c r="AW102" s="1790">
        <f t="shared" si="12"/>
        <v>0</v>
      </c>
      <c r="AX102" s="1790">
        <f t="shared" si="35"/>
        <v>0</v>
      </c>
      <c r="AY102" s="42">
        <f t="shared" si="13"/>
        <v>0</v>
      </c>
      <c r="AZ102" s="35">
        <f t="shared" si="14"/>
        <v>0</v>
      </c>
      <c r="BA102" s="35">
        <f t="shared" si="15"/>
        <v>0</v>
      </c>
      <c r="BB102" s="35">
        <f t="shared" si="16"/>
        <v>0</v>
      </c>
      <c r="BC102" s="35">
        <f t="shared" si="17"/>
        <v>0</v>
      </c>
      <c r="BD102" s="35">
        <f t="shared" si="18"/>
        <v>0</v>
      </c>
      <c r="BE102" s="35">
        <f t="shared" si="19"/>
        <v>0</v>
      </c>
      <c r="BF102" s="35">
        <f t="shared" si="20"/>
        <v>0</v>
      </c>
      <c r="BG102" s="35">
        <f t="shared" si="21"/>
        <v>0</v>
      </c>
      <c r="BH102" s="35">
        <f t="shared" si="22"/>
        <v>0</v>
      </c>
      <c r="BI102" s="35">
        <f t="shared" si="23"/>
        <v>0</v>
      </c>
      <c r="BJ102" s="35">
        <f t="shared" si="24"/>
        <v>0</v>
      </c>
      <c r="BK102" s="35">
        <f t="shared" si="25"/>
        <v>0</v>
      </c>
      <c r="BL102" s="35">
        <f t="shared" si="26"/>
        <v>0</v>
      </c>
      <c r="BM102" s="35">
        <f t="shared" si="27"/>
        <v>0</v>
      </c>
      <c r="BN102" s="35">
        <f t="shared" si="28"/>
        <v>0</v>
      </c>
      <c r="BO102" s="35">
        <f t="shared" si="29"/>
        <v>0</v>
      </c>
      <c r="BP102" s="35">
        <f t="shared" si="30"/>
        <v>0</v>
      </c>
      <c r="BQ102" s="35">
        <f t="shared" si="31"/>
        <v>0</v>
      </c>
      <c r="BR102" s="35">
        <f t="shared" si="32"/>
        <v>0</v>
      </c>
      <c r="BS102" s="35">
        <f t="shared" si="33"/>
        <v>0</v>
      </c>
      <c r="BT102" s="43">
        <f t="shared" si="34"/>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0">
        <f t="shared" si="11"/>
        <v>0</v>
      </c>
      <c r="AW103" s="1790">
        <f t="shared" si="12"/>
        <v>0</v>
      </c>
      <c r="AX103" s="1790">
        <f t="shared" si="35"/>
        <v>0</v>
      </c>
      <c r="AY103" s="42">
        <f t="shared" si="13"/>
        <v>0</v>
      </c>
      <c r="AZ103" s="35">
        <f t="shared" si="14"/>
        <v>0</v>
      </c>
      <c r="BA103" s="35">
        <f t="shared" si="15"/>
        <v>0</v>
      </c>
      <c r="BB103" s="35">
        <f t="shared" si="16"/>
        <v>0</v>
      </c>
      <c r="BC103" s="35">
        <f t="shared" si="17"/>
        <v>0</v>
      </c>
      <c r="BD103" s="35">
        <f t="shared" si="18"/>
        <v>0</v>
      </c>
      <c r="BE103" s="35">
        <f t="shared" si="19"/>
        <v>0</v>
      </c>
      <c r="BF103" s="35">
        <f t="shared" si="20"/>
        <v>0</v>
      </c>
      <c r="BG103" s="35">
        <f t="shared" si="21"/>
        <v>0</v>
      </c>
      <c r="BH103" s="35">
        <f t="shared" si="22"/>
        <v>0</v>
      </c>
      <c r="BI103" s="35">
        <f t="shared" si="23"/>
        <v>0</v>
      </c>
      <c r="BJ103" s="35">
        <f t="shared" si="24"/>
        <v>0</v>
      </c>
      <c r="BK103" s="35">
        <f t="shared" si="25"/>
        <v>0</v>
      </c>
      <c r="BL103" s="35">
        <f t="shared" si="26"/>
        <v>0</v>
      </c>
      <c r="BM103" s="35">
        <f t="shared" si="27"/>
        <v>0</v>
      </c>
      <c r="BN103" s="35">
        <f t="shared" si="28"/>
        <v>0</v>
      </c>
      <c r="BO103" s="35">
        <f t="shared" si="29"/>
        <v>0</v>
      </c>
      <c r="BP103" s="35">
        <f t="shared" si="30"/>
        <v>0</v>
      </c>
      <c r="BQ103" s="35">
        <f t="shared" si="31"/>
        <v>0</v>
      </c>
      <c r="BR103" s="35">
        <f t="shared" si="32"/>
        <v>0</v>
      </c>
      <c r="BS103" s="35">
        <f t="shared" si="33"/>
        <v>0</v>
      </c>
      <c r="BT103" s="43">
        <f t="shared" si="34"/>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0">
        <f t="shared" si="11"/>
        <v>0</v>
      </c>
      <c r="AW104" s="1790">
        <f t="shared" si="12"/>
        <v>0</v>
      </c>
      <c r="AX104" s="1790">
        <f t="shared" si="35"/>
        <v>0</v>
      </c>
      <c r="AY104" s="42">
        <f t="shared" si="13"/>
        <v>0</v>
      </c>
      <c r="AZ104" s="35">
        <f t="shared" si="14"/>
        <v>0</v>
      </c>
      <c r="BA104" s="35">
        <f t="shared" si="15"/>
        <v>0</v>
      </c>
      <c r="BB104" s="35">
        <f t="shared" si="16"/>
        <v>0</v>
      </c>
      <c r="BC104" s="35">
        <f t="shared" si="17"/>
        <v>0</v>
      </c>
      <c r="BD104" s="35">
        <f t="shared" si="18"/>
        <v>0</v>
      </c>
      <c r="BE104" s="35">
        <f t="shared" si="19"/>
        <v>0</v>
      </c>
      <c r="BF104" s="35">
        <f t="shared" si="20"/>
        <v>0</v>
      </c>
      <c r="BG104" s="35">
        <f t="shared" si="21"/>
        <v>0</v>
      </c>
      <c r="BH104" s="35">
        <f t="shared" si="22"/>
        <v>0</v>
      </c>
      <c r="BI104" s="35">
        <f t="shared" si="23"/>
        <v>0</v>
      </c>
      <c r="BJ104" s="35">
        <f t="shared" si="24"/>
        <v>0</v>
      </c>
      <c r="BK104" s="35">
        <f t="shared" si="25"/>
        <v>0</v>
      </c>
      <c r="BL104" s="35">
        <f t="shared" si="26"/>
        <v>0</v>
      </c>
      <c r="BM104" s="35">
        <f t="shared" si="27"/>
        <v>0</v>
      </c>
      <c r="BN104" s="35">
        <f t="shared" si="28"/>
        <v>0</v>
      </c>
      <c r="BO104" s="35">
        <f t="shared" si="29"/>
        <v>0</v>
      </c>
      <c r="BP104" s="35">
        <f t="shared" si="30"/>
        <v>0</v>
      </c>
      <c r="BQ104" s="35">
        <f t="shared" si="31"/>
        <v>0</v>
      </c>
      <c r="BR104" s="35">
        <f t="shared" si="32"/>
        <v>0</v>
      </c>
      <c r="BS104" s="35">
        <f t="shared" si="33"/>
        <v>0</v>
      </c>
      <c r="BT104" s="43">
        <f t="shared" si="34"/>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0">
        <f t="shared" si="11"/>
        <v>0</v>
      </c>
      <c r="AW105" s="1790">
        <f t="shared" si="12"/>
        <v>0</v>
      </c>
      <c r="AX105" s="1790">
        <f t="shared" si="35"/>
        <v>0</v>
      </c>
      <c r="AY105" s="42">
        <f t="shared" si="13"/>
        <v>0</v>
      </c>
      <c r="AZ105" s="35">
        <f t="shared" si="14"/>
        <v>0</v>
      </c>
      <c r="BA105" s="35">
        <f t="shared" si="15"/>
        <v>0</v>
      </c>
      <c r="BB105" s="35">
        <f t="shared" si="16"/>
        <v>0</v>
      </c>
      <c r="BC105" s="35">
        <f t="shared" si="17"/>
        <v>0</v>
      </c>
      <c r="BD105" s="35">
        <f t="shared" si="18"/>
        <v>0</v>
      </c>
      <c r="BE105" s="35">
        <f t="shared" si="19"/>
        <v>0</v>
      </c>
      <c r="BF105" s="35">
        <f t="shared" si="20"/>
        <v>0</v>
      </c>
      <c r="BG105" s="35">
        <f t="shared" si="21"/>
        <v>0</v>
      </c>
      <c r="BH105" s="35">
        <f t="shared" si="22"/>
        <v>0</v>
      </c>
      <c r="BI105" s="35">
        <f t="shared" si="23"/>
        <v>0</v>
      </c>
      <c r="BJ105" s="35">
        <f t="shared" si="24"/>
        <v>0</v>
      </c>
      <c r="BK105" s="35">
        <f t="shared" si="25"/>
        <v>0</v>
      </c>
      <c r="BL105" s="35">
        <f t="shared" si="26"/>
        <v>0</v>
      </c>
      <c r="BM105" s="35">
        <f t="shared" si="27"/>
        <v>0</v>
      </c>
      <c r="BN105" s="35">
        <f t="shared" si="28"/>
        <v>0</v>
      </c>
      <c r="BO105" s="35">
        <f t="shared" si="29"/>
        <v>0</v>
      </c>
      <c r="BP105" s="35">
        <f t="shared" si="30"/>
        <v>0</v>
      </c>
      <c r="BQ105" s="35">
        <f t="shared" si="31"/>
        <v>0</v>
      </c>
      <c r="BR105" s="35">
        <f t="shared" si="32"/>
        <v>0</v>
      </c>
      <c r="BS105" s="35">
        <f t="shared" si="33"/>
        <v>0</v>
      </c>
      <c r="BT105" s="43">
        <f t="shared" si="34"/>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0">
        <f t="shared" si="11"/>
        <v>0</v>
      </c>
      <c r="AW106" s="1790">
        <f t="shared" si="12"/>
        <v>0</v>
      </c>
      <c r="AX106" s="1790">
        <f t="shared" si="35"/>
        <v>0</v>
      </c>
      <c r="AY106" s="42">
        <f t="shared" si="13"/>
        <v>0</v>
      </c>
      <c r="AZ106" s="35">
        <f t="shared" si="14"/>
        <v>0</v>
      </c>
      <c r="BA106" s="35">
        <f t="shared" si="15"/>
        <v>0</v>
      </c>
      <c r="BB106" s="35">
        <f t="shared" si="16"/>
        <v>0</v>
      </c>
      <c r="BC106" s="35">
        <f t="shared" si="17"/>
        <v>0</v>
      </c>
      <c r="BD106" s="35">
        <f t="shared" si="18"/>
        <v>0</v>
      </c>
      <c r="BE106" s="35">
        <f t="shared" si="19"/>
        <v>0</v>
      </c>
      <c r="BF106" s="35">
        <f t="shared" si="20"/>
        <v>0</v>
      </c>
      <c r="BG106" s="35">
        <f t="shared" si="21"/>
        <v>0</v>
      </c>
      <c r="BH106" s="35">
        <f t="shared" si="22"/>
        <v>0</v>
      </c>
      <c r="BI106" s="35">
        <f t="shared" si="23"/>
        <v>0</v>
      </c>
      <c r="BJ106" s="35">
        <f t="shared" si="24"/>
        <v>0</v>
      </c>
      <c r="BK106" s="35">
        <f t="shared" si="25"/>
        <v>0</v>
      </c>
      <c r="BL106" s="35">
        <f t="shared" si="26"/>
        <v>0</v>
      </c>
      <c r="BM106" s="35">
        <f t="shared" si="27"/>
        <v>0</v>
      </c>
      <c r="BN106" s="35">
        <f t="shared" si="28"/>
        <v>0</v>
      </c>
      <c r="BO106" s="35">
        <f t="shared" si="29"/>
        <v>0</v>
      </c>
      <c r="BP106" s="35">
        <f t="shared" si="30"/>
        <v>0</v>
      </c>
      <c r="BQ106" s="35">
        <f t="shared" si="31"/>
        <v>0</v>
      </c>
      <c r="BR106" s="35">
        <f t="shared" si="32"/>
        <v>0</v>
      </c>
      <c r="BS106" s="35">
        <f t="shared" si="33"/>
        <v>0</v>
      </c>
      <c r="BT106" s="43">
        <f t="shared" si="34"/>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0">
        <f t="shared" si="11"/>
        <v>0</v>
      </c>
      <c r="AW107" s="1790">
        <f t="shared" si="12"/>
        <v>0</v>
      </c>
      <c r="AX107" s="1790">
        <f t="shared" si="35"/>
        <v>0</v>
      </c>
      <c r="AY107" s="42">
        <f t="shared" si="13"/>
        <v>0</v>
      </c>
      <c r="AZ107" s="35">
        <f t="shared" si="14"/>
        <v>0</v>
      </c>
      <c r="BA107" s="35">
        <f t="shared" si="15"/>
        <v>0</v>
      </c>
      <c r="BB107" s="35">
        <f t="shared" si="16"/>
        <v>0</v>
      </c>
      <c r="BC107" s="35">
        <f t="shared" si="17"/>
        <v>0</v>
      </c>
      <c r="BD107" s="35">
        <f t="shared" si="18"/>
        <v>0</v>
      </c>
      <c r="BE107" s="35">
        <f t="shared" si="19"/>
        <v>0</v>
      </c>
      <c r="BF107" s="35">
        <f t="shared" si="20"/>
        <v>0</v>
      </c>
      <c r="BG107" s="35">
        <f t="shared" si="21"/>
        <v>0</v>
      </c>
      <c r="BH107" s="35">
        <f t="shared" si="22"/>
        <v>0</v>
      </c>
      <c r="BI107" s="35">
        <f t="shared" si="23"/>
        <v>0</v>
      </c>
      <c r="BJ107" s="35">
        <f t="shared" si="24"/>
        <v>0</v>
      </c>
      <c r="BK107" s="35">
        <f t="shared" si="25"/>
        <v>0</v>
      </c>
      <c r="BL107" s="35">
        <f t="shared" si="26"/>
        <v>0</v>
      </c>
      <c r="BM107" s="35">
        <f t="shared" si="27"/>
        <v>0</v>
      </c>
      <c r="BN107" s="35">
        <f t="shared" si="28"/>
        <v>0</v>
      </c>
      <c r="BO107" s="35">
        <f t="shared" si="29"/>
        <v>0</v>
      </c>
      <c r="BP107" s="35">
        <f t="shared" si="30"/>
        <v>0</v>
      </c>
      <c r="BQ107" s="35">
        <f t="shared" si="31"/>
        <v>0</v>
      </c>
      <c r="BR107" s="35">
        <f t="shared" si="32"/>
        <v>0</v>
      </c>
      <c r="BS107" s="35">
        <f t="shared" si="33"/>
        <v>0</v>
      </c>
      <c r="BT107" s="43">
        <f t="shared" si="34"/>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0">
        <f t="shared" si="11"/>
        <v>0</v>
      </c>
      <c r="AW108" s="1790">
        <f t="shared" si="12"/>
        <v>0</v>
      </c>
      <c r="AX108" s="1790">
        <f t="shared" si="35"/>
        <v>0</v>
      </c>
      <c r="AY108" s="42">
        <f t="shared" si="13"/>
        <v>0</v>
      </c>
      <c r="AZ108" s="35">
        <f t="shared" si="14"/>
        <v>0</v>
      </c>
      <c r="BA108" s="35">
        <f t="shared" si="15"/>
        <v>0</v>
      </c>
      <c r="BB108" s="35">
        <f t="shared" si="16"/>
        <v>0</v>
      </c>
      <c r="BC108" s="35">
        <f t="shared" si="17"/>
        <v>0</v>
      </c>
      <c r="BD108" s="35">
        <f t="shared" si="18"/>
        <v>0</v>
      </c>
      <c r="BE108" s="35">
        <f t="shared" si="19"/>
        <v>0</v>
      </c>
      <c r="BF108" s="35">
        <f t="shared" si="20"/>
        <v>0</v>
      </c>
      <c r="BG108" s="35">
        <f t="shared" si="21"/>
        <v>0</v>
      </c>
      <c r="BH108" s="35">
        <f t="shared" si="22"/>
        <v>0</v>
      </c>
      <c r="BI108" s="35">
        <f t="shared" si="23"/>
        <v>0</v>
      </c>
      <c r="BJ108" s="35">
        <f t="shared" si="24"/>
        <v>0</v>
      </c>
      <c r="BK108" s="35">
        <f t="shared" si="25"/>
        <v>0</v>
      </c>
      <c r="BL108" s="35">
        <f t="shared" si="26"/>
        <v>0</v>
      </c>
      <c r="BM108" s="35">
        <f t="shared" si="27"/>
        <v>0</v>
      </c>
      <c r="BN108" s="35">
        <f t="shared" si="28"/>
        <v>0</v>
      </c>
      <c r="BO108" s="35">
        <f t="shared" si="29"/>
        <v>0</v>
      </c>
      <c r="BP108" s="35">
        <f t="shared" si="30"/>
        <v>0</v>
      </c>
      <c r="BQ108" s="35">
        <f t="shared" si="31"/>
        <v>0</v>
      </c>
      <c r="BR108" s="35">
        <f t="shared" si="32"/>
        <v>0</v>
      </c>
      <c r="BS108" s="35">
        <f t="shared" si="33"/>
        <v>0</v>
      </c>
      <c r="BT108" s="43">
        <f t="shared" si="34"/>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0">
        <f t="shared" si="11"/>
        <v>0</v>
      </c>
      <c r="AW109" s="1790">
        <f t="shared" si="12"/>
        <v>0</v>
      </c>
      <c r="AX109" s="1790">
        <f t="shared" si="35"/>
        <v>0</v>
      </c>
      <c r="AY109" s="42">
        <f t="shared" si="13"/>
        <v>0</v>
      </c>
      <c r="AZ109" s="35">
        <f t="shared" si="14"/>
        <v>0</v>
      </c>
      <c r="BA109" s="35">
        <f t="shared" si="15"/>
        <v>0</v>
      </c>
      <c r="BB109" s="35">
        <f t="shared" si="16"/>
        <v>0</v>
      </c>
      <c r="BC109" s="35">
        <f t="shared" si="17"/>
        <v>0</v>
      </c>
      <c r="BD109" s="35">
        <f t="shared" si="18"/>
        <v>0</v>
      </c>
      <c r="BE109" s="35">
        <f t="shared" si="19"/>
        <v>0</v>
      </c>
      <c r="BF109" s="35">
        <f t="shared" si="20"/>
        <v>0</v>
      </c>
      <c r="BG109" s="35">
        <f t="shared" si="21"/>
        <v>0</v>
      </c>
      <c r="BH109" s="35">
        <f t="shared" si="22"/>
        <v>0</v>
      </c>
      <c r="BI109" s="35">
        <f t="shared" si="23"/>
        <v>0</v>
      </c>
      <c r="BJ109" s="35">
        <f t="shared" si="24"/>
        <v>0</v>
      </c>
      <c r="BK109" s="35">
        <f t="shared" si="25"/>
        <v>0</v>
      </c>
      <c r="BL109" s="35">
        <f t="shared" si="26"/>
        <v>0</v>
      </c>
      <c r="BM109" s="35">
        <f t="shared" si="27"/>
        <v>0</v>
      </c>
      <c r="BN109" s="35">
        <f t="shared" si="28"/>
        <v>0</v>
      </c>
      <c r="BO109" s="35">
        <f t="shared" si="29"/>
        <v>0</v>
      </c>
      <c r="BP109" s="35">
        <f t="shared" si="30"/>
        <v>0</v>
      </c>
      <c r="BQ109" s="35">
        <f t="shared" si="31"/>
        <v>0</v>
      </c>
      <c r="BR109" s="35">
        <f t="shared" si="32"/>
        <v>0</v>
      </c>
      <c r="BS109" s="35">
        <f t="shared" si="33"/>
        <v>0</v>
      </c>
      <c r="BT109" s="43">
        <f t="shared" si="34"/>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90">
        <f t="shared" si="11"/>
        <v>0</v>
      </c>
      <c r="AW110" s="1790">
        <f t="shared" si="12"/>
        <v>0</v>
      </c>
      <c r="AX110" s="1790">
        <f t="shared" si="35"/>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90">
        <f t="shared" si="11"/>
        <v>0</v>
      </c>
      <c r="AW111" s="1790">
        <f t="shared" si="12"/>
        <v>0</v>
      </c>
      <c r="AX111" s="1790">
        <f t="shared" si="35"/>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90">
        <f t="shared" si="11"/>
        <v>0</v>
      </c>
      <c r="AW112" s="1790">
        <f t="shared" si="12"/>
        <v>0</v>
      </c>
      <c r="AX112" s="1790">
        <f t="shared" si="35"/>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2" t="s">
        <v>0</v>
      </c>
      <c r="B1" s="3142" t="s">
        <v>4</v>
      </c>
      <c r="C1" s="3142" t="s">
        <v>5</v>
      </c>
      <c r="D1" s="3143" t="s">
        <v>53</v>
      </c>
      <c r="E1" s="3143" t="s">
        <v>54</v>
      </c>
      <c r="F1" s="3143"/>
      <c r="G1" s="3143"/>
      <c r="H1" s="3143"/>
      <c r="I1" s="3143"/>
      <c r="J1" s="3143"/>
      <c r="K1" s="3143"/>
      <c r="L1" s="3143"/>
      <c r="M1" s="3143"/>
    </row>
    <row r="2" spans="1:13" ht="27" customHeight="1">
      <c r="A2" s="3142"/>
      <c r="B2" s="3142"/>
      <c r="C2" s="3142"/>
      <c r="D2" s="3143"/>
      <c r="E2" s="3143" t="s">
        <v>37</v>
      </c>
      <c r="F2" s="3143" t="s">
        <v>38</v>
      </c>
      <c r="G2" s="3143"/>
      <c r="H2" s="3143"/>
      <c r="I2" s="3143"/>
      <c r="J2" s="3143" t="s">
        <v>39</v>
      </c>
      <c r="K2" s="3143"/>
      <c r="L2" s="3143"/>
      <c r="M2" s="3143"/>
    </row>
    <row r="3" spans="1:13" ht="28.5">
      <c r="A3" s="3142"/>
      <c r="B3" s="3142"/>
      <c r="C3" s="3142"/>
      <c r="D3" s="3143"/>
      <c r="E3" s="31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3" t="s">
        <v>55</v>
      </c>
      <c r="B9" s="3143"/>
      <c r="C9" s="31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4" sqref="G34"/>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1933</v>
      </c>
      <c r="B1" s="1388"/>
      <c r="C1" s="1388"/>
      <c r="D1" s="1388"/>
      <c r="E1" s="1388"/>
      <c r="F1" s="1388"/>
      <c r="G1" s="1388"/>
      <c r="H1" s="1388"/>
      <c r="I1" s="1388"/>
      <c r="J1" s="1388"/>
      <c r="K1" s="1388"/>
      <c r="L1" s="1388"/>
      <c r="M1" s="1388"/>
      <c r="N1" s="1388"/>
      <c r="O1" s="1388"/>
      <c r="P1" s="1388"/>
    </row>
    <row r="2" spans="1:16" ht="15">
      <c r="A2" s="3153" t="s">
        <v>1934</v>
      </c>
      <c r="B2" s="3153"/>
      <c r="C2" s="3153"/>
      <c r="D2" s="965" t="s">
        <v>1910</v>
      </c>
      <c r="E2" s="2216" t="s">
        <v>1911</v>
      </c>
      <c r="F2" s="1388"/>
      <c r="G2" s="2217"/>
      <c r="H2" s="2218"/>
      <c r="I2" s="2219" t="s">
        <v>1935</v>
      </c>
      <c r="J2" s="1388"/>
      <c r="K2" s="1388"/>
      <c r="L2" s="1388"/>
      <c r="M2" s="1388"/>
      <c r="N2" s="1423"/>
      <c r="O2" s="1388"/>
      <c r="P2" s="1388"/>
    </row>
    <row r="3" spans="1:16" ht="15.75" thickBot="1">
      <c r="A3" s="3154" t="s">
        <v>1908</v>
      </c>
      <c r="B3" s="3154"/>
      <c r="C3" s="3154"/>
      <c r="D3" s="46">
        <f>'数据-基础表'!AY6</f>
        <v>57352.9</v>
      </c>
      <c r="E3" s="46">
        <f>'数据-基础表'!AZ5</f>
        <v>72085.949999999983</v>
      </c>
      <c r="F3" s="1388"/>
      <c r="G3" s="1395"/>
      <c r="H3" s="1243" t="s">
        <v>1909</v>
      </c>
      <c r="I3" s="55">
        <f>ROUND('数据-基础表'!B3/'数据-基础表'!A3,2)</f>
        <v>1.26</v>
      </c>
      <c r="J3" s="1388"/>
      <c r="K3" s="1388"/>
      <c r="L3" s="1388"/>
      <c r="M3" s="1388"/>
      <c r="N3" s="1423"/>
      <c r="O3" s="1388"/>
      <c r="P3" s="1388"/>
    </row>
    <row r="4" spans="1:16" ht="15">
      <c r="A4" s="3155"/>
      <c r="B4" s="3156"/>
      <c r="C4" s="3157"/>
      <c r="D4" s="2220" t="s">
        <v>1910</v>
      </c>
      <c r="E4" s="2221" t="s">
        <v>1911</v>
      </c>
      <c r="F4" s="1388"/>
      <c r="G4" s="2222" t="s">
        <v>1936</v>
      </c>
      <c r="H4" s="1243" t="s">
        <v>1916</v>
      </c>
      <c r="I4" s="55">
        <f>ROUND(SUMIF('数据-基础表'!I9:AS9,"地上",'数据-基础表'!I5:AS5)/'数据-基础表'!A3,2)</f>
        <v>0.93</v>
      </c>
      <c r="J4" s="1388"/>
      <c r="K4" s="1388"/>
      <c r="L4" s="1388"/>
      <c r="M4" s="1388"/>
      <c r="N4" s="1423"/>
      <c r="O4" s="1388"/>
      <c r="P4" s="1388"/>
    </row>
    <row r="5" spans="1:16">
      <c r="A5" s="47" t="s">
        <v>1912</v>
      </c>
      <c r="B5" s="3158" t="s">
        <v>1913</v>
      </c>
      <c r="C5" s="3158"/>
      <c r="D5" s="48">
        <f>ROUND($D$3*E5/$E$3,2)</f>
        <v>36888.61</v>
      </c>
      <c r="E5" s="49">
        <f>SUMIF('数据-基础表'!$11:$11,"住宅",'数据-基础表'!$5:$5)</f>
        <v>46364.71</v>
      </c>
      <c r="F5" s="1388"/>
      <c r="G5" s="1395"/>
      <c r="H5" s="1243" t="s">
        <v>1909</v>
      </c>
      <c r="I5" s="55">
        <f>ROUND(E31/D31,2)</f>
        <v>1.26</v>
      </c>
      <c r="J5" s="1388"/>
      <c r="K5" s="1388"/>
      <c r="L5" s="1388"/>
      <c r="M5" s="1388"/>
      <c r="N5" s="1388"/>
      <c r="O5" s="1388"/>
      <c r="P5" s="1388"/>
    </row>
    <row r="6" spans="1:16" ht="15" thickBot="1">
      <c r="A6" s="2223"/>
      <c r="B6" s="3158" t="s">
        <v>1914</v>
      </c>
      <c r="C6" s="3158"/>
      <c r="D6" s="48">
        <f>ROUND($D$3*E6/$E$3,2)</f>
        <v>20464.29</v>
      </c>
      <c r="E6" s="49">
        <f>E3-E5</f>
        <v>25721.239999999983</v>
      </c>
      <c r="F6" s="1388"/>
      <c r="G6" s="2224" t="s">
        <v>1915</v>
      </c>
      <c r="H6" s="1395" t="s">
        <v>1916</v>
      </c>
      <c r="I6" s="937">
        <f>ROUND(F31/D31,2)</f>
        <v>0.82</v>
      </c>
      <c r="J6" s="1388"/>
      <c r="K6" s="1388"/>
      <c r="L6" s="1388"/>
      <c r="M6" s="1388"/>
      <c r="N6" s="1388"/>
      <c r="O6" s="1388"/>
      <c r="P6" s="1388"/>
    </row>
    <row r="7" spans="1:16" ht="15">
      <c r="A7" s="3150"/>
      <c r="B7" s="3151"/>
      <c r="C7" s="3152"/>
      <c r="D7" s="2220" t="s">
        <v>1910</v>
      </c>
      <c r="E7" s="2225" t="s">
        <v>1917</v>
      </c>
      <c r="F7" s="1388"/>
      <c r="G7" s="2217" t="s">
        <v>1918</v>
      </c>
      <c r="H7" s="64"/>
      <c r="I7" s="418"/>
      <c r="J7" s="1388"/>
      <c r="K7" s="1388"/>
      <c r="L7" s="1388"/>
      <c r="M7" s="1388"/>
      <c r="N7" s="1388"/>
      <c r="O7" s="1388"/>
      <c r="P7" s="1388"/>
    </row>
    <row r="8" spans="1:16">
      <c r="A8" s="47" t="s">
        <v>1919</v>
      </c>
      <c r="B8" s="50" t="s">
        <v>1920</v>
      </c>
      <c r="C8" s="48" t="s">
        <v>1921</v>
      </c>
      <c r="D8" s="48">
        <f t="shared" ref="D8:D15" si="0">ROUND($D$3*E8/$E$3,2)</f>
        <v>36888.61</v>
      </c>
      <c r="E8" s="51">
        <f>SUMIF('数据-基础表'!BB10:BK10,"地上",'数据-基础表'!BB5:BK5)</f>
        <v>46364.71</v>
      </c>
      <c r="F8" s="1388"/>
      <c r="G8" s="2226"/>
      <c r="H8" s="2226"/>
      <c r="I8" s="1388"/>
      <c r="J8" s="1388"/>
      <c r="K8" s="1388"/>
      <c r="L8" s="1388"/>
      <c r="M8" s="1388"/>
      <c r="N8" s="1388"/>
      <c r="O8" s="1388"/>
      <c r="P8" s="1388"/>
    </row>
    <row r="9" spans="1:16">
      <c r="A9" s="2227"/>
      <c r="B9" s="2228"/>
      <c r="C9" s="48" t="s">
        <v>1922</v>
      </c>
      <c r="D9" s="48">
        <f t="shared" si="0"/>
        <v>0</v>
      </c>
      <c r="E9" s="52">
        <v>0</v>
      </c>
      <c r="F9" s="1388"/>
      <c r="G9" s="2226"/>
      <c r="H9" s="2226"/>
      <c r="I9" s="1388"/>
      <c r="J9" s="1388"/>
      <c r="K9" s="1388"/>
      <c r="L9" s="1388"/>
      <c r="M9" s="1388"/>
      <c r="N9" s="1388"/>
      <c r="O9" s="1388"/>
      <c r="P9" s="1388"/>
    </row>
    <row r="10" spans="1:16">
      <c r="A10" s="2227"/>
      <c r="B10" s="2228"/>
      <c r="C10" s="48" t="s">
        <v>1931</v>
      </c>
      <c r="D10" s="48">
        <f t="shared" si="0"/>
        <v>0</v>
      </c>
      <c r="E10" s="51">
        <f>SUMPRODUCT(('数据-基础表'!BB10:BK10="地下")*('数据-基础表'!BB11:BK11="商业")*('数据-基础表'!BB5:BK5))</f>
        <v>0</v>
      </c>
      <c r="F10" s="1388"/>
      <c r="G10" s="2226"/>
      <c r="H10" s="2226"/>
      <c r="I10" s="1388"/>
      <c r="J10" s="1388"/>
      <c r="K10" s="1388"/>
      <c r="L10" s="1388"/>
      <c r="M10" s="1388"/>
      <c r="N10" s="1388"/>
      <c r="O10" s="1388"/>
      <c r="P10" s="1388"/>
    </row>
    <row r="11" spans="1:16">
      <c r="A11" s="2227"/>
      <c r="B11" s="2228"/>
      <c r="C11" s="48" t="s">
        <v>1923</v>
      </c>
      <c r="D11" s="48">
        <f t="shared" si="0"/>
        <v>481.17</v>
      </c>
      <c r="E11" s="51">
        <f>SUMPRODUCT(('数据-基础表'!BB10:BK10="地下")*('数据-基础表'!BB11:BK11="办公")*('数据-基础表'!BB5:BK5))+'数据-基础表'!BP5</f>
        <v>604.78</v>
      </c>
      <c r="F11" s="1388"/>
      <c r="G11" s="2226"/>
      <c r="H11" s="2226"/>
      <c r="I11" s="1388"/>
      <c r="J11" s="1388"/>
      <c r="K11" s="1388"/>
      <c r="L11" s="1388"/>
      <c r="M11" s="1388"/>
      <c r="N11" s="1388"/>
      <c r="O11" s="1388"/>
      <c r="P11" s="1388"/>
    </row>
    <row r="12" spans="1:16">
      <c r="A12" s="2227"/>
      <c r="B12" s="2228"/>
      <c r="C12" s="48" t="s">
        <v>1924</v>
      </c>
      <c r="D12" s="48">
        <f t="shared" si="0"/>
        <v>3770.15</v>
      </c>
      <c r="E12" s="51">
        <f>SUMPRODUCT(('数据-基础表'!BB10:BK10="地下")*('数据-基础表'!BB11:BK11="仓储")*('数据-基础表'!BB5:BK5))</f>
        <v>4738.6399999999994</v>
      </c>
      <c r="F12" s="1388"/>
      <c r="G12" s="2226"/>
      <c r="H12" s="2226"/>
      <c r="I12" s="1388"/>
      <c r="J12" s="1388"/>
      <c r="K12" s="1388"/>
      <c r="L12" s="1388"/>
      <c r="M12" s="1388"/>
      <c r="N12" s="1388"/>
      <c r="O12" s="1388"/>
      <c r="P12" s="1388"/>
    </row>
    <row r="13" spans="1:16">
      <c r="A13" s="2227"/>
      <c r="B13" s="2228"/>
      <c r="C13" s="48" t="s">
        <v>1925</v>
      </c>
      <c r="D13" s="48">
        <f t="shared" si="0"/>
        <v>7401.16</v>
      </c>
      <c r="E13" s="51">
        <f>SUMPRODUCT(('数据-基础表'!BB10:BK10="地下")*('数据-基础表'!BB11:BK11="车库")*('数据-基础表'!BB5:BK5))</f>
        <v>9302.4</v>
      </c>
      <c r="F13" s="1388"/>
      <c r="G13" s="2226"/>
      <c r="H13" s="2226"/>
      <c r="I13" s="1388"/>
      <c r="J13" s="1388"/>
      <c r="K13" s="1388"/>
      <c r="L13" s="1388"/>
      <c r="M13" s="1388"/>
      <c r="N13" s="1388"/>
      <c r="O13" s="1388"/>
      <c r="P13" s="1388"/>
    </row>
    <row r="14" spans="1:16">
      <c r="A14" s="2227"/>
      <c r="B14" s="2228"/>
      <c r="C14" s="48" t="s">
        <v>1937</v>
      </c>
      <c r="D14" s="48">
        <f t="shared" si="0"/>
        <v>0</v>
      </c>
      <c r="E14" s="51">
        <f>SUMPRODUCT(('数据-基础表'!BB10:BK10="地下")*('数据-基础表'!BB11:BK11="车库—商业")*('数据-基础表'!BB5:BK5))</f>
        <v>0</v>
      </c>
      <c r="F14" s="1388"/>
      <c r="G14" s="2226"/>
      <c r="H14" s="2226"/>
      <c r="I14" s="1388"/>
      <c r="J14" s="1388"/>
      <c r="K14" s="1388"/>
      <c r="L14" s="1388"/>
      <c r="M14" s="1388"/>
      <c r="N14" s="1388"/>
      <c r="O14" s="1388"/>
      <c r="P14" s="1388"/>
    </row>
    <row r="15" spans="1:16" ht="15" thickBot="1">
      <c r="A15" s="2227"/>
      <c r="B15" s="2228"/>
      <c r="C15" s="48" t="s">
        <v>1932</v>
      </c>
      <c r="D15" s="48">
        <f t="shared" si="0"/>
        <v>0</v>
      </c>
      <c r="E15" s="51">
        <f>SUMPRODUCT(('数据-基础表'!BB10:BK10="地下")*('数据-基础表'!BB11:BK11="车库—办公")*('数据-基础表'!BB5:BK5))</f>
        <v>0</v>
      </c>
      <c r="F15" s="1388"/>
      <c r="G15" s="2226"/>
      <c r="H15" s="2226"/>
      <c r="I15" s="1388"/>
      <c r="J15" s="1388"/>
      <c r="K15" s="1388"/>
      <c r="L15" s="1388"/>
      <c r="M15" s="1388"/>
      <c r="N15" s="1388"/>
      <c r="O15" s="1388"/>
      <c r="P15" s="1388"/>
    </row>
    <row r="16" spans="1:16" ht="15.75" thickBot="1">
      <c r="A16" s="2223"/>
      <c r="B16" s="2228"/>
      <c r="C16" s="50" t="s">
        <v>1926</v>
      </c>
      <c r="D16" s="50">
        <f>SUM(D8:D15)</f>
        <v>48541.09</v>
      </c>
      <c r="E16" s="53">
        <f>SUM(E8:E15)</f>
        <v>61010.53</v>
      </c>
      <c r="F16" s="1388"/>
      <c r="G16" s="2226"/>
      <c r="H16" s="2229" t="s">
        <v>1938</v>
      </c>
      <c r="I16" s="2230"/>
      <c r="J16" s="1388"/>
      <c r="K16" s="3147" t="s">
        <v>1938</v>
      </c>
      <c r="L16" s="3148"/>
      <c r="M16" s="3148"/>
      <c r="N16" s="3148"/>
      <c r="O16" s="3148"/>
      <c r="P16" s="3149"/>
    </row>
    <row r="17" spans="1:19" ht="15">
      <c r="A17" s="2231" t="s">
        <v>1939</v>
      </c>
      <c r="B17" s="2232" t="s">
        <v>1940</v>
      </c>
      <c r="C17" s="2233" t="s">
        <v>1941</v>
      </c>
      <c r="D17" s="2234" t="s">
        <v>1929</v>
      </c>
      <c r="E17" s="2235" t="s">
        <v>1930</v>
      </c>
      <c r="F17" s="2236"/>
      <c r="G17" s="2237"/>
      <c r="H17" s="2238" t="s">
        <v>1942</v>
      </c>
      <c r="I17" s="2239" t="s">
        <v>1927</v>
      </c>
      <c r="J17" s="1388"/>
      <c r="K17" s="3144" t="s">
        <v>1943</v>
      </c>
      <c r="L17" s="3145"/>
      <c r="M17" s="3146"/>
      <c r="N17" s="3144" t="s">
        <v>1944</v>
      </c>
      <c r="O17" s="3145"/>
      <c r="P17" s="3146"/>
      <c r="R17" s="2217" t="s">
        <v>1945</v>
      </c>
      <c r="S17" s="64"/>
    </row>
    <row r="18" spans="1:19" ht="15">
      <c r="A18" s="2227"/>
      <c r="B18" s="2240"/>
      <c r="C18" s="2241"/>
      <c r="D18" s="2242"/>
      <c r="E18" s="2243" t="s">
        <v>1946</v>
      </c>
      <c r="F18" s="2244" t="s">
        <v>1947</v>
      </c>
      <c r="G18" s="2245" t="s">
        <v>1948</v>
      </c>
      <c r="H18" s="1258" t="s">
        <v>1949</v>
      </c>
      <c r="I18" s="2246" t="s">
        <v>1950</v>
      </c>
      <c r="J18" s="1388"/>
      <c r="K18" s="1258" t="s">
        <v>1951</v>
      </c>
      <c r="L18" s="2247" t="s">
        <v>1952</v>
      </c>
      <c r="M18" s="1044" t="s">
        <v>1953</v>
      </c>
      <c r="N18" s="1258" t="s">
        <v>1951</v>
      </c>
      <c r="O18" s="2247" t="s">
        <v>1952</v>
      </c>
      <c r="P18" s="1044" t="s">
        <v>1953</v>
      </c>
      <c r="R18" s="1243" t="s">
        <v>1954</v>
      </c>
      <c r="S18" s="1243" t="s">
        <v>1955</v>
      </c>
    </row>
    <row r="19" spans="1:19">
      <c r="A19" s="2248"/>
      <c r="B19" s="50" t="s">
        <v>1928</v>
      </c>
      <c r="C19" s="3040" t="s">
        <v>3523</v>
      </c>
      <c r="D19" s="48">
        <f>ROUND($D$3*E19/$E$3,2)</f>
        <v>36888.61</v>
      </c>
      <c r="E19" s="56">
        <f t="shared" ref="E19:E26" si="1">SUM(F19:G19)</f>
        <v>46364.71</v>
      </c>
      <c r="F19" s="57">
        <f>'数据-基础表'!K16</f>
        <v>46364.71</v>
      </c>
      <c r="G19" s="58"/>
      <c r="H19" s="719">
        <f>ROUND($D$3*I19/$E$3,2)</f>
        <v>6763.54</v>
      </c>
      <c r="I19" s="51">
        <f t="shared" ref="I19:I26" si="2">IF($I$17="自定义",P19,M19)</f>
        <v>8500.99</v>
      </c>
      <c r="J19" s="1388"/>
      <c r="K19" s="1387">
        <f t="shared" ref="K19:K26" si="3">ROUND(E$28*E19/E$27,2)</f>
        <v>8500.99</v>
      </c>
      <c r="L19" s="1243">
        <f t="shared" ref="L19:L26" si="4">ROUND(IF(COUNTIF(C19,"*住宅*")&gt;0,E$29*E19/E$32,0),2)</f>
        <v>0</v>
      </c>
      <c r="M19" s="1399">
        <f>K19+L19</f>
        <v>8500.99</v>
      </c>
      <c r="N19" s="2249"/>
      <c r="O19" s="2250"/>
      <c r="P19" s="1399">
        <f>N19+O19</f>
        <v>0</v>
      </c>
      <c r="R19" s="1243">
        <f t="shared" ref="R19:S26" si="5">D19+H19</f>
        <v>43652.15</v>
      </c>
      <c r="S19" s="1244">
        <f t="shared" si="5"/>
        <v>54865.7</v>
      </c>
    </row>
    <row r="20" spans="1:19">
      <c r="A20" s="2251"/>
      <c r="B20" s="50" t="s">
        <v>1956</v>
      </c>
      <c r="C20" s="3040" t="s">
        <v>3524</v>
      </c>
      <c r="D20" s="48">
        <f t="shared" ref="D20:D26" si="6">ROUND($D$3*E20/$E$3,2)</f>
        <v>3770.15</v>
      </c>
      <c r="E20" s="56">
        <f t="shared" si="1"/>
        <v>4738.6399999999994</v>
      </c>
      <c r="F20" s="57"/>
      <c r="G20" s="58">
        <f>'数据-基础表'!Q16</f>
        <v>4738.6399999999994</v>
      </c>
      <c r="H20" s="719">
        <f t="shared" ref="H20:H26" si="7">ROUND($D$3*I20/$E$3,2)</f>
        <v>691.26</v>
      </c>
      <c r="I20" s="51">
        <f t="shared" si="2"/>
        <v>868.83</v>
      </c>
      <c r="J20" s="1388"/>
      <c r="K20" s="1387">
        <f t="shared" si="3"/>
        <v>868.83</v>
      </c>
      <c r="L20" s="1243">
        <f t="shared" si="4"/>
        <v>0</v>
      </c>
      <c r="M20" s="1399">
        <f t="shared" ref="M20:M26" si="8">K20+L20</f>
        <v>868.83</v>
      </c>
      <c r="N20" s="2249"/>
      <c r="O20" s="2250"/>
      <c r="P20" s="1399">
        <f t="shared" ref="P20:P26" si="9">N20+O20</f>
        <v>0</v>
      </c>
      <c r="R20" s="1243">
        <f t="shared" si="5"/>
        <v>4461.41</v>
      </c>
      <c r="S20" s="1244">
        <f t="shared" si="5"/>
        <v>5607.4699999999993</v>
      </c>
    </row>
    <row r="21" spans="1:19">
      <c r="A21" s="2251"/>
      <c r="B21" s="50" t="s">
        <v>1956</v>
      </c>
      <c r="C21" s="3040" t="s">
        <v>3525</v>
      </c>
      <c r="D21" s="48">
        <f t="shared" si="6"/>
        <v>7401.16</v>
      </c>
      <c r="E21" s="56">
        <f t="shared" si="1"/>
        <v>9302.4</v>
      </c>
      <c r="F21" s="57"/>
      <c r="G21" s="58">
        <f>'数据-基础表'!S16</f>
        <v>9302.4</v>
      </c>
      <c r="H21" s="719">
        <f t="shared" si="7"/>
        <v>1357.01</v>
      </c>
      <c r="I21" s="51">
        <f t="shared" si="2"/>
        <v>1705.6</v>
      </c>
      <c r="J21" s="1388"/>
      <c r="K21" s="1387">
        <f t="shared" si="3"/>
        <v>1705.6</v>
      </c>
      <c r="L21" s="1243">
        <f t="shared" si="4"/>
        <v>0</v>
      </c>
      <c r="M21" s="1399">
        <f t="shared" si="8"/>
        <v>1705.6</v>
      </c>
      <c r="N21" s="2249"/>
      <c r="O21" s="2250"/>
      <c r="P21" s="1399">
        <f t="shared" si="9"/>
        <v>0</v>
      </c>
      <c r="R21" s="1243">
        <f t="shared" si="5"/>
        <v>8758.17</v>
      </c>
      <c r="S21" s="1244">
        <f t="shared" si="5"/>
        <v>11008</v>
      </c>
    </row>
    <row r="22" spans="1:19">
      <c r="A22" s="2251"/>
      <c r="B22" s="50" t="s">
        <v>1956</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49"/>
      <c r="O22" s="2250"/>
      <c r="P22" s="1399">
        <f t="shared" si="9"/>
        <v>0</v>
      </c>
      <c r="R22" s="1243">
        <f t="shared" si="5"/>
        <v>0</v>
      </c>
      <c r="S22" s="1244">
        <f t="shared" si="5"/>
        <v>0</v>
      </c>
    </row>
    <row r="23" spans="1:19">
      <c r="A23" s="2251"/>
      <c r="B23" s="50" t="s">
        <v>1956</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49"/>
      <c r="O23" s="2250"/>
      <c r="P23" s="1399">
        <f t="shared" si="9"/>
        <v>0</v>
      </c>
      <c r="R23" s="1243">
        <f t="shared" si="5"/>
        <v>0</v>
      </c>
      <c r="S23" s="1244">
        <f t="shared" si="5"/>
        <v>0</v>
      </c>
    </row>
    <row r="24" spans="1:19">
      <c r="A24" s="2251"/>
      <c r="B24" s="50" t="s">
        <v>1956</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49"/>
      <c r="O24" s="2250"/>
      <c r="P24" s="1399">
        <f t="shared" si="9"/>
        <v>0</v>
      </c>
      <c r="R24" s="1243">
        <f t="shared" si="5"/>
        <v>0</v>
      </c>
      <c r="S24" s="1244">
        <f t="shared" si="5"/>
        <v>0</v>
      </c>
    </row>
    <row r="25" spans="1:19">
      <c r="A25" s="2251"/>
      <c r="B25" s="50" t="s">
        <v>1956</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49"/>
      <c r="O25" s="2250"/>
      <c r="P25" s="1399">
        <f t="shared" si="9"/>
        <v>0</v>
      </c>
      <c r="R25" s="1243">
        <f t="shared" si="5"/>
        <v>0</v>
      </c>
      <c r="S25" s="1244">
        <f t="shared" si="5"/>
        <v>0</v>
      </c>
    </row>
    <row r="26" spans="1:19">
      <c r="A26" s="2251"/>
      <c r="B26" s="50" t="s">
        <v>1956</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2"/>
      <c r="O26" s="2253"/>
      <c r="P26" s="67">
        <f t="shared" si="9"/>
        <v>0</v>
      </c>
      <c r="R26" s="1243">
        <f t="shared" si="5"/>
        <v>0</v>
      </c>
      <c r="S26" s="1244">
        <f t="shared" si="5"/>
        <v>0</v>
      </c>
    </row>
    <row r="27" spans="1:19" ht="43.5" thickBot="1">
      <c r="A27" s="2251"/>
      <c r="B27" s="48"/>
      <c r="C27" s="2254" t="s">
        <v>1957</v>
      </c>
      <c r="D27" s="1389">
        <f>SUM(D19:D26)</f>
        <v>48059.92</v>
      </c>
      <c r="E27" s="1390">
        <f>IF(SUM(E19:E26)='数据-基础表'!BA5,SUM(E19:E26),IF(F27="地上面积有误","面积有误","地下面积有误"))</f>
        <v>60405.75</v>
      </c>
      <c r="F27" s="1389">
        <f>IF(SUM(F19:F26)=E8,SUM(F19:F26),"地上面积有误")</f>
        <v>46364.71</v>
      </c>
      <c r="G27" s="1391">
        <f>SUM(G19:G26)</f>
        <v>14041.039999999999</v>
      </c>
      <c r="H27" s="1392">
        <f>SUM(H19:H26)</f>
        <v>8811.81</v>
      </c>
      <c r="I27" s="1393">
        <f>SUM(I19:I26)</f>
        <v>11075.42</v>
      </c>
      <c r="J27" s="1388"/>
      <c r="K27" s="1396">
        <f>SUM(K19:K26)</f>
        <v>11075.42</v>
      </c>
      <c r="L27" s="1397">
        <f>SUM(L19:L26)</f>
        <v>0</v>
      </c>
      <c r="M27" s="1400">
        <f>SUM(M19:M26)</f>
        <v>11075.42</v>
      </c>
      <c r="N27" s="1396">
        <f t="shared" ref="N27:O27" si="10">SUM(N19:N26)</f>
        <v>0</v>
      </c>
      <c r="O27" s="1397">
        <f t="shared" si="10"/>
        <v>0</v>
      </c>
      <c r="P27" s="1398">
        <f>SUM(P19:P26)</f>
        <v>0</v>
      </c>
      <c r="R27" s="1245" t="str">
        <f>IF(SUM(R19:R26)=$D$3,SUM(R19:R26),SUM(R19:R26)&amp;"误差"&amp;ROUND(SUM(R19:R26)-$D$3,2))</f>
        <v>56871.73误差-481.17</v>
      </c>
      <c r="S27" s="1243" t="str">
        <f>IF(SUM(S19:S26)=$E$3,SUM(S19:S26),SUM(S19:S26)&amp;"误差"&amp;ROUND(SUM(S19:S26)-E3,2))</f>
        <v>71481.17误差-604.78</v>
      </c>
    </row>
    <row r="28" spans="1:19">
      <c r="A28" s="2251"/>
      <c r="B28" s="50" t="s">
        <v>1958</v>
      </c>
      <c r="C28" s="1255" t="s">
        <v>1959</v>
      </c>
      <c r="D28" s="48">
        <f>ROUND($D$3*E28/$E$3,2)</f>
        <v>8811.81</v>
      </c>
      <c r="E28" s="56">
        <f>SUM(F28:G28)</f>
        <v>11075.419999999987</v>
      </c>
      <c r="F28" s="64">
        <f>'数据-基础表'!BQ5+'数据-基础表'!BS5</f>
        <v>715.41</v>
      </c>
      <c r="G28" s="65">
        <f>'数据-基础表'!BR5+'数据-基础表'!BT5</f>
        <v>10360.009999999987</v>
      </c>
      <c r="H28" s="1388"/>
      <c r="I28" s="1388"/>
      <c r="J28" s="1388"/>
      <c r="K28" s="1388"/>
      <c r="L28" s="1388"/>
      <c r="M28" s="1388"/>
      <c r="N28" s="1388"/>
      <c r="O28" s="1388"/>
      <c r="P28" s="1388"/>
    </row>
    <row r="29" spans="1:19">
      <c r="A29" s="2251"/>
      <c r="B29" s="50" t="s">
        <v>1958</v>
      </c>
      <c r="C29" s="2255" t="s">
        <v>1960</v>
      </c>
      <c r="D29" s="48">
        <f>ROUND($D$3*E29/$E$3,2)</f>
        <v>481.17</v>
      </c>
      <c r="E29" s="56">
        <f>SUM(F29:G29)</f>
        <v>604.78</v>
      </c>
      <c r="F29" s="66">
        <f>'数据-基础表'!BM5+'数据-基础表'!BO5</f>
        <v>0</v>
      </c>
      <c r="G29" s="67">
        <f>'数据-基础表'!BN5+'数据-基础表'!BP5</f>
        <v>604.78</v>
      </c>
      <c r="H29" s="1388"/>
      <c r="I29" s="1388"/>
      <c r="J29" s="1388"/>
      <c r="K29" s="1388"/>
      <c r="L29" s="1388"/>
      <c r="M29" s="1388"/>
      <c r="N29" s="1388"/>
      <c r="O29" s="1388"/>
      <c r="P29" s="1388"/>
    </row>
    <row r="30" spans="1:19" ht="15">
      <c r="A30" s="2251"/>
      <c r="B30" s="50"/>
      <c r="C30" s="2256" t="s">
        <v>1957</v>
      </c>
      <c r="D30" s="1389">
        <f>SUM(D28:D29)</f>
        <v>9292.98</v>
      </c>
      <c r="E30" s="1389">
        <f>SUM(E28:E29)</f>
        <v>11680.199999999988</v>
      </c>
      <c r="F30" s="1389">
        <f>SUM(F28:F29)</f>
        <v>715.41</v>
      </c>
      <c r="G30" s="1391">
        <f>SUM(G28:G29)</f>
        <v>10964.789999999988</v>
      </c>
      <c r="H30" s="1388"/>
      <c r="I30" s="1388"/>
      <c r="J30" s="1388"/>
      <c r="K30" s="1388"/>
      <c r="L30" s="1388"/>
      <c r="M30" s="1388"/>
      <c r="N30" s="1388"/>
      <c r="O30" s="1388"/>
      <c r="P30" s="1388"/>
    </row>
    <row r="31" spans="1:19" ht="15.75" thickBot="1">
      <c r="A31" s="2257"/>
      <c r="B31" s="2258"/>
      <c r="C31" s="1005" t="s">
        <v>1961</v>
      </c>
      <c r="D31" s="725">
        <f>D27+D30</f>
        <v>57352.899999999994</v>
      </c>
      <c r="E31" s="725">
        <f>E27+E30</f>
        <v>72085.949999999983</v>
      </c>
      <c r="F31" s="726">
        <f>F27+F30</f>
        <v>47080.12</v>
      </c>
      <c r="G31" s="727">
        <f>G27+G30</f>
        <v>25005.829999999987</v>
      </c>
      <c r="H31" s="1388"/>
      <c r="I31" s="1388"/>
      <c r="J31" s="1388"/>
      <c r="K31" s="1388"/>
      <c r="L31" s="1388"/>
      <c r="M31" s="1388"/>
      <c r="N31" s="1388"/>
      <c r="O31" s="1388"/>
      <c r="P31" s="1388"/>
    </row>
    <row r="32" spans="1:19">
      <c r="A32" s="2222"/>
      <c r="B32" s="2222" t="s">
        <v>1962</v>
      </c>
      <c r="C32" s="2222"/>
      <c r="D32" s="2222"/>
      <c r="E32" s="1270">
        <f>SUMIF(C19:C26,"*住宅*",E19:E26)</f>
        <v>0</v>
      </c>
      <c r="F32" s="2222"/>
      <c r="G32" s="2222"/>
      <c r="H32" s="1388"/>
      <c r="I32" s="1388"/>
      <c r="J32" s="1388"/>
      <c r="K32" s="1388"/>
      <c r="L32" s="1388"/>
      <c r="M32" s="1388"/>
      <c r="N32" s="1388"/>
      <c r="O32" s="1388"/>
      <c r="P32" s="1388"/>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N6" sqref="N6:N14"/>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1" width="12.375" style="2178" customWidth="1"/>
    <col min="12" max="12" width="18.625" style="2178" bestFit="1"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4" width="7.25" style="2263"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1963</v>
      </c>
      <c r="B1" s="728"/>
      <c r="C1" s="1576"/>
      <c r="D1" s="2261"/>
      <c r="E1" s="1576"/>
      <c r="F1" s="1576"/>
      <c r="G1" s="1576"/>
      <c r="H1" s="1576"/>
      <c r="I1" s="1576"/>
      <c r="J1" s="1576"/>
      <c r="K1" s="166"/>
      <c r="L1" s="16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4" t="s">
        <v>1964</v>
      </c>
      <c r="B2" s="1262">
        <f>项目基本情况!D3</f>
        <v>43207</v>
      </c>
      <c r="C2" s="2265"/>
      <c r="D2" s="2266"/>
      <c r="E2" s="2265"/>
      <c r="F2" s="2265"/>
      <c r="G2" s="2265"/>
      <c r="H2" s="2265"/>
      <c r="I2" s="2265"/>
      <c r="J2" s="2265"/>
      <c r="K2" s="1423"/>
      <c r="L2" s="1423"/>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6" customFormat="1" ht="15" thickBot="1">
      <c r="A3" s="2024"/>
      <c r="B3" s="2268"/>
      <c r="C3" s="2265"/>
      <c r="D3" s="2266"/>
      <c r="E3" s="2265"/>
      <c r="F3" s="2265"/>
      <c r="G3" s="2265"/>
      <c r="H3" s="2265"/>
      <c r="I3" s="2265"/>
      <c r="J3" s="2265"/>
      <c r="K3" s="1423"/>
      <c r="L3" s="1423"/>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6" customFormat="1" ht="15" thickBot="1">
      <c r="A4" s="68" t="s">
        <v>1965</v>
      </c>
      <c r="B4" s="2269"/>
      <c r="C4" s="2270"/>
      <c r="D4" s="2271"/>
      <c r="E4" s="2270" t="s">
        <v>1966</v>
      </c>
      <c r="F4" s="2270"/>
      <c r="G4" s="2270"/>
      <c r="H4" s="2270"/>
      <c r="I4" s="2270"/>
      <c r="J4" s="2272"/>
      <c r="K4" s="2273"/>
      <c r="L4" s="2274"/>
      <c r="M4" s="2270"/>
      <c r="N4" s="2270" t="s">
        <v>1967</v>
      </c>
      <c r="O4" s="2270"/>
      <c r="P4" s="2270"/>
      <c r="Q4" s="2270"/>
      <c r="R4" s="2270"/>
      <c r="S4" s="2272"/>
      <c r="T4" s="2275" t="str">
        <f>'数据-汇总表'!I17</f>
        <v>按面积比例</v>
      </c>
      <c r="U4" s="2269" t="s">
        <v>1968</v>
      </c>
      <c r="V4" s="2270"/>
      <c r="W4" s="2270"/>
      <c r="X4" s="2270"/>
      <c r="Y4" s="2272"/>
      <c r="Z4" s="2233" t="s">
        <v>1969</v>
      </c>
      <c r="AA4" s="2233"/>
      <c r="AB4" s="2233"/>
      <c r="AC4" s="2233"/>
      <c r="AD4" s="2233"/>
      <c r="AE4" s="2231" t="s">
        <v>1970</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7" customFormat="1" ht="42">
      <c r="A5" s="2277" t="s">
        <v>1971</v>
      </c>
      <c r="B5" s="2278" t="s">
        <v>1972</v>
      </c>
      <c r="C5" s="2279" t="s">
        <v>1973</v>
      </c>
      <c r="D5" s="2280" t="s">
        <v>1974</v>
      </c>
      <c r="E5" s="1264" t="s">
        <v>1975</v>
      </c>
      <c r="F5" s="2281" t="s">
        <v>1976</v>
      </c>
      <c r="G5" s="1264" t="s">
        <v>1977</v>
      </c>
      <c r="H5" s="1264" t="s">
        <v>1978</v>
      </c>
      <c r="I5" s="1264" t="s">
        <v>1979</v>
      </c>
      <c r="J5" s="2282" t="s">
        <v>1980</v>
      </c>
      <c r="K5" s="2283" t="s">
        <v>1981</v>
      </c>
      <c r="L5" s="2284" t="s">
        <v>1982</v>
      </c>
      <c r="M5" s="2285" t="s">
        <v>1983</v>
      </c>
      <c r="N5" s="2286" t="s">
        <v>3526</v>
      </c>
      <c r="O5" s="2284" t="s">
        <v>1984</v>
      </c>
      <c r="P5" s="2287" t="s">
        <v>1985</v>
      </c>
      <c r="Q5" s="69" t="s">
        <v>1986</v>
      </c>
      <c r="R5" s="2288" t="s">
        <v>1987</v>
      </c>
      <c r="S5" s="2289" t="s">
        <v>1988</v>
      </c>
      <c r="T5" s="2290" t="s">
        <v>1989</v>
      </c>
      <c r="U5" s="1263" t="s">
        <v>1990</v>
      </c>
      <c r="V5" s="1264" t="s">
        <v>1991</v>
      </c>
      <c r="W5" s="1264" t="s">
        <v>1992</v>
      </c>
      <c r="X5" s="71"/>
      <c r="Y5" s="70" t="s">
        <v>1993</v>
      </c>
      <c r="Z5" s="2291" t="s">
        <v>1990</v>
      </c>
      <c r="AA5" s="1264" t="s">
        <v>1991</v>
      </c>
      <c r="AB5" s="1264" t="s">
        <v>1992</v>
      </c>
      <c r="AC5" s="71"/>
      <c r="AD5" s="71" t="s">
        <v>1993</v>
      </c>
      <c r="AE5" s="1263" t="s">
        <v>1994</v>
      </c>
      <c r="AF5" s="1264" t="s">
        <v>1995</v>
      </c>
      <c r="AG5" s="70" t="s">
        <v>1996</v>
      </c>
      <c r="AH5" s="1263" t="s">
        <v>1997</v>
      </c>
      <c r="AI5" s="2291" t="s">
        <v>1998</v>
      </c>
      <c r="AJ5" s="2291" t="s">
        <v>1999</v>
      </c>
      <c r="AK5" s="1264" t="s">
        <v>2000</v>
      </c>
      <c r="AL5" s="1264" t="s">
        <v>2001</v>
      </c>
      <c r="AM5" s="70" t="s">
        <v>2002</v>
      </c>
      <c r="AN5" s="2292" t="s">
        <v>2003</v>
      </c>
      <c r="AO5" s="2065" t="s">
        <v>2004</v>
      </c>
      <c r="AP5" s="1245" t="s">
        <v>2005</v>
      </c>
      <c r="AQ5" s="2293" t="s">
        <v>2006</v>
      </c>
      <c r="AR5" s="2293" t="s">
        <v>2007</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6" customFormat="1" ht="14.25">
      <c r="A6" s="2294" t="str">
        <f>'数据-汇总表'!C19</f>
        <v>洋房</v>
      </c>
      <c r="B6" s="2295" t="str">
        <f>IF(A6=0,"","经营性")</f>
        <v>经营性</v>
      </c>
      <c r="C6" s="2296" t="s">
        <v>3162</v>
      </c>
      <c r="D6" s="1049">
        <f>SUMIF(项目基本情况!D$12:I$12,C6,项目基本情况!D$14:I$14)</f>
        <v>70</v>
      </c>
      <c r="E6" s="1046">
        <f>IF(B6="","",SUMIF(项目基本情况!D$12:I$12,C6,项目基本情况!D$13:I$13))</f>
        <v>65462</v>
      </c>
      <c r="F6" s="72">
        <f>SUMIF(项目基本情况!D$12:I$12,C6,项目基本情况!D$15:I$15)</f>
        <v>60.97</v>
      </c>
      <c r="G6" s="73">
        <f>IF(ISERROR(ROUND(POWER(1+H6,D6-F6)*(POWER(1+H6,F6)-1)/(POWER(1+H6,D6)-1),3)),0,ROUND(POWER(1+H6,D6-F6)*(POWER(1+H6,F6)-1)/(POWER(1+H6,D6)-1),3))</f>
        <v>0.97699999999999998</v>
      </c>
      <c r="H6" s="3053">
        <v>4.4999999999999998E-2</v>
      </c>
      <c r="I6" s="3053">
        <v>0.05</v>
      </c>
      <c r="J6" s="74">
        <v>0.08</v>
      </c>
      <c r="K6" s="1247">
        <f>SUMIF('数据-汇总表'!C$19:C$33,A6,'数据-汇总表'!E$19:E$33)</f>
        <v>46364.71</v>
      </c>
      <c r="L6" s="798">
        <v>2600</v>
      </c>
      <c r="M6" s="75">
        <f t="shared" ref="M6:M14" si="0">ROUND(K6*L6/10000,0)</f>
        <v>12055</v>
      </c>
      <c r="N6" s="3011">
        <v>0.05</v>
      </c>
      <c r="O6" s="75">
        <f>IF($N$5="成新度","——",ROUND(M6*N6,0))</f>
        <v>603</v>
      </c>
      <c r="P6" s="76">
        <f>IF($N$5="成新度","——",M6-O6)</f>
        <v>11452</v>
      </c>
      <c r="Q6" s="799">
        <v>0.25</v>
      </c>
      <c r="R6" s="77">
        <f ca="1">SUMIF('数据-汇总表'!C$19:C$33,A6,'数据-汇总表'!R$19:R$27)</f>
        <v>43652.15</v>
      </c>
      <c r="S6" s="54">
        <f>IF('数据-汇总表'!$I$17="按面积比例",SUMIF('数据-汇总表'!C$19:C$33,A6,'数据-汇总表'!K$19:K$33),SUMIF('数据-汇总表'!C$19:C$33,A6,'数据-汇总表'!N$19:N$33))</f>
        <v>8500.99</v>
      </c>
      <c r="T6" s="1439">
        <f>ROUND($L$14*S6/10000,0)</f>
        <v>1275</v>
      </c>
      <c r="U6" s="78"/>
      <c r="V6" s="79"/>
      <c r="W6" s="79"/>
      <c r="X6" s="1257"/>
      <c r="Y6" s="80"/>
      <c r="Z6" s="81"/>
      <c r="AA6" s="74"/>
      <c r="AB6" s="74"/>
      <c r="AC6" s="1257"/>
      <c r="AD6" s="82"/>
      <c r="AE6" s="1258">
        <f ca="1">IF(AN6="",0,SUMIF(INDIRECT("'"&amp;AN6&amp;"'"&amp;"!E:E"),$AE$5,INDIRECT("'"&amp;AN6&amp;"'"&amp;"!F:F")))</f>
        <v>0</v>
      </c>
      <c r="AF6" s="1799"/>
      <c r="AG6" s="145">
        <f>IF(AF6="",0,AE6-AF6)</f>
        <v>0</v>
      </c>
      <c r="AH6" s="83"/>
      <c r="AI6" s="85"/>
      <c r="AJ6" s="86"/>
      <c r="AK6" s="87"/>
      <c r="AL6" s="88"/>
      <c r="AM6" s="89"/>
      <c r="AN6" s="2297"/>
      <c r="AO6" s="55" t="e">
        <f ca="1">SUMIF(INDIRECT("'"&amp;AN6&amp;"'"&amp;"!A:A"),"总价",INDIRECT("'"&amp;AN6&amp;"'"&amp;"!B:B"))</f>
        <v>#REF!</v>
      </c>
      <c r="AP6" s="2298">
        <f>IF(C6="住宅",K6*L6,0)</f>
        <v>120548246</v>
      </c>
      <c r="AQ6" s="55">
        <f>ROUND($L$14*$N$14*S6/10000,0)</f>
        <v>64</v>
      </c>
      <c r="AR6" s="55">
        <f>ROUND($L$14*(1-$N$14)*S6/10000,0)</f>
        <v>1211</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6" customFormat="1" ht="14.25">
      <c r="A7" s="2294" t="str">
        <f>'数据-汇总表'!C20</f>
        <v>仓储</v>
      </c>
      <c r="B7" s="2295" t="str">
        <f t="shared" ref="B7:B13" si="1">IF(A7=0,"","经营性")</f>
        <v>经营性</v>
      </c>
      <c r="C7" s="2296" t="s">
        <v>3170</v>
      </c>
      <c r="D7" s="1049">
        <f>SUMIF(项目基本情况!D$12:I$12,C7,项目基本情况!D$14:I$14)</f>
        <v>50</v>
      </c>
      <c r="E7" s="1046">
        <f>IF(B7="","",SUMIF(项目基本情况!D$12:I$12,C7,项目基本情况!D$13:I$13))</f>
        <v>58157</v>
      </c>
      <c r="F7" s="72">
        <f>SUMIF(项目基本情况!D$12:I$12,C7,项目基本情况!D$15:I$15)</f>
        <v>40.950000000000003</v>
      </c>
      <c r="G7" s="73">
        <f t="shared" ref="G7:G11" si="2">IF(ISERROR(ROUND(POWER(1+H7,D7-F7)*(POWER(1+H7,F7)-1)/(POWER(1+H7,D7)-1),3)),0,ROUND(POWER(1+H7,D7-F7)*(POWER(1+H7,F7)-1)/(POWER(1+H7,D7)-1),3))</f>
        <v>0.93</v>
      </c>
      <c r="H7" s="3053">
        <v>0.04</v>
      </c>
      <c r="I7" s="3053">
        <v>4.4999999999999998E-2</v>
      </c>
      <c r="J7" s="74">
        <v>0.08</v>
      </c>
      <c r="K7" s="1247">
        <f>SUMIF('数据-汇总表'!C$19:C$33,A7,'数据-汇总表'!E$19:E$33)</f>
        <v>4738.6399999999994</v>
      </c>
      <c r="L7" s="798">
        <v>2200</v>
      </c>
      <c r="M7" s="75">
        <f t="shared" si="0"/>
        <v>1043</v>
      </c>
      <c r="N7" s="3011">
        <f>N6</f>
        <v>0.05</v>
      </c>
      <c r="O7" s="75">
        <f t="shared" ref="O7:O14" si="3">IF($N$5="成新度","——",ROUND(M7*N7,0))</f>
        <v>52</v>
      </c>
      <c r="P7" s="76">
        <f t="shared" ref="P7:P14" si="4">IF($N$5="成新度","——",M7-O7)</f>
        <v>991</v>
      </c>
      <c r="Q7" s="799">
        <v>0.1</v>
      </c>
      <c r="R7" s="77">
        <f ca="1">SUMIF('数据-汇总表'!C$19:C$33,A7,'数据-汇总表'!R$19:R$27)</f>
        <v>4461.41</v>
      </c>
      <c r="S7" s="54">
        <f>IF('数据-汇总表'!$I$17="按面积比例",SUMIF('数据-汇总表'!C$19:C$33,A7,'数据-汇总表'!K$19:K$33),SUMIF('数据-汇总表'!C$19:C$33,A7,'数据-汇总表'!N$19:N$33))</f>
        <v>868.83</v>
      </c>
      <c r="T7" s="1439">
        <f t="shared" ref="T7:T13" si="5">ROUND($L$14*S7/10000,0)</f>
        <v>130</v>
      </c>
      <c r="U7" s="78">
        <v>1</v>
      </c>
      <c r="V7" s="79">
        <v>1.4999999999999999E-2</v>
      </c>
      <c r="W7" s="79">
        <v>0.1</v>
      </c>
      <c r="X7" s="1257"/>
      <c r="Y7" s="80">
        <v>1</v>
      </c>
      <c r="Z7" s="81"/>
      <c r="AA7" s="74"/>
      <c r="AB7" s="74"/>
      <c r="AC7" s="1257"/>
      <c r="AD7" s="82"/>
      <c r="AE7" s="1258">
        <f t="shared" ref="AE7:AE13" ca="1" si="6">IF(AN7="",0,SUMIF(INDIRECT("'"&amp;AN7&amp;"'"&amp;"!E:E"),$AE$5,INDIRECT("'"&amp;AN7&amp;"'"&amp;"!F:F")))</f>
        <v>38.950000000000003</v>
      </c>
      <c r="AF7" s="1799"/>
      <c r="AG7" s="145">
        <f t="shared" ref="AG7:AG13" si="7">IF(AF7="",0,AE7-AF7)</f>
        <v>0</v>
      </c>
      <c r="AH7" s="83"/>
      <c r="AI7" s="85">
        <v>365</v>
      </c>
      <c r="AJ7" s="86"/>
      <c r="AK7" s="87">
        <v>1.4999999999999999E-2</v>
      </c>
      <c r="AL7" s="88">
        <v>1.5E-3</v>
      </c>
      <c r="AM7" s="89">
        <v>0.01</v>
      </c>
      <c r="AN7" s="2297" t="s">
        <v>3532</v>
      </c>
      <c r="AO7" s="55">
        <f t="shared" ref="AO7:AO13" ca="1" si="8">SUMIF(INDIRECT("'"&amp;AN7&amp;"'"&amp;"!A:A"),"总价",INDIRECT("'"&amp;AN7&amp;"'"&amp;"!B:B"))</f>
        <v>2126</v>
      </c>
      <c r="AP7" s="2298">
        <f t="shared" ref="AP7:AP13" si="9">IF(C7="住宅",K7*L7,0)</f>
        <v>0</v>
      </c>
      <c r="AQ7" s="55">
        <f t="shared" ref="AQ7:AQ13" si="10">ROUND($L$14*$N$14*S7/10000,0)</f>
        <v>7</v>
      </c>
      <c r="AR7" s="55">
        <f t="shared" ref="AR7:AR13" si="11">ROUND($L$14*(1-$N$14)*S7/10000,0)</f>
        <v>124</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6" customFormat="1" ht="14.25">
      <c r="A8" s="2294" t="str">
        <f>'数据-汇总表'!C21</f>
        <v>车库</v>
      </c>
      <c r="B8" s="2295" t="str">
        <f t="shared" si="1"/>
        <v>经营性</v>
      </c>
      <c r="C8" s="2296" t="s">
        <v>3172</v>
      </c>
      <c r="D8" s="1049">
        <f>SUMIF(项目基本情况!D$12:I$12,C8,项目基本情况!D$14:I$14)</f>
        <v>50</v>
      </c>
      <c r="E8" s="1046">
        <f>IF(B8="","",SUMIF(项目基本情况!D$12:I$12,C8,项目基本情况!D$13:I$13))</f>
        <v>58157</v>
      </c>
      <c r="F8" s="72">
        <f>SUMIF(项目基本情况!D$12:I$12,C8,项目基本情况!D$15:I$15)</f>
        <v>40.950000000000003</v>
      </c>
      <c r="G8" s="73">
        <f t="shared" si="2"/>
        <v>0.93</v>
      </c>
      <c r="H8" s="3053">
        <v>0.04</v>
      </c>
      <c r="I8" s="3053">
        <v>4.4999999999999998E-2</v>
      </c>
      <c r="J8" s="74">
        <v>0.08</v>
      </c>
      <c r="K8" s="1247">
        <f>SUMIF('数据-汇总表'!C$19:C$33,A8,'数据-汇总表'!E$19:E$33)</f>
        <v>9302.4</v>
      </c>
      <c r="L8" s="798">
        <v>2200</v>
      </c>
      <c r="M8" s="75">
        <f>ROUND(K8*L8/10000,0)</f>
        <v>2047</v>
      </c>
      <c r="N8" s="797">
        <f>N7</f>
        <v>0.05</v>
      </c>
      <c r="O8" s="75">
        <f t="shared" si="3"/>
        <v>102</v>
      </c>
      <c r="P8" s="76">
        <f t="shared" si="4"/>
        <v>1945</v>
      </c>
      <c r="Q8" s="799">
        <v>0.05</v>
      </c>
      <c r="R8" s="77">
        <f ca="1">SUMIF('数据-汇总表'!C$19:C$33,A8,'数据-汇总表'!R$19:R$27)</f>
        <v>8758.17</v>
      </c>
      <c r="S8" s="54">
        <f>IF('数据-汇总表'!$I$17="按面积比例",SUMIF('数据-汇总表'!C$19:C$33,A8,'数据-汇总表'!K$19:K$33),SUMIF('数据-汇总表'!C$19:C$33,A8,'数据-汇总表'!N$19:N$33))</f>
        <v>1705.6</v>
      </c>
      <c r="T8" s="1439">
        <f t="shared" si="5"/>
        <v>256</v>
      </c>
      <c r="U8" s="800">
        <v>0.8</v>
      </c>
      <c r="V8" s="801">
        <v>1.4999999999999999E-2</v>
      </c>
      <c r="W8" s="801">
        <v>0.1</v>
      </c>
      <c r="X8" s="1257"/>
      <c r="Y8" s="802">
        <v>1</v>
      </c>
      <c r="Z8" s="81"/>
      <c r="AA8" s="74"/>
      <c r="AB8" s="74"/>
      <c r="AC8" s="1257"/>
      <c r="AD8" s="82"/>
      <c r="AE8" s="1258">
        <f t="shared" ca="1" si="6"/>
        <v>38.950000000000003</v>
      </c>
      <c r="AF8" s="1799"/>
      <c r="AG8" s="145">
        <f t="shared" si="7"/>
        <v>0</v>
      </c>
      <c r="AH8" s="803"/>
      <c r="AI8" s="85">
        <v>365</v>
      </c>
      <c r="AJ8" s="86"/>
      <c r="AK8" s="804">
        <v>1.4999999999999999E-2</v>
      </c>
      <c r="AL8" s="805">
        <v>1.5E-3</v>
      </c>
      <c r="AM8" s="806">
        <v>0.01</v>
      </c>
      <c r="AN8" s="2297" t="s">
        <v>3530</v>
      </c>
      <c r="AO8" s="55">
        <f t="shared" ca="1" si="8"/>
        <v>3076</v>
      </c>
      <c r="AP8" s="2298">
        <f t="shared" si="9"/>
        <v>0</v>
      </c>
      <c r="AQ8" s="55">
        <f t="shared" si="10"/>
        <v>13</v>
      </c>
      <c r="AR8" s="55">
        <f t="shared" si="11"/>
        <v>243</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6" customFormat="1" ht="14.25">
      <c r="A9" s="2294">
        <f>'数据-汇总表'!C22</f>
        <v>0</v>
      </c>
      <c r="B9" s="2295" t="str">
        <f t="shared" si="1"/>
        <v/>
      </c>
      <c r="C9" s="229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8"/>
      <c r="M9" s="75">
        <f t="shared" si="0"/>
        <v>0</v>
      </c>
      <c r="N9" s="797"/>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799"/>
      <c r="AG9" s="145">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6" customFormat="1" ht="14.25">
      <c r="A10" s="2294">
        <f>'数据-汇总表'!C23</f>
        <v>0</v>
      </c>
      <c r="B10" s="2295" t="str">
        <f t="shared" si="1"/>
        <v/>
      </c>
      <c r="C10" s="229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8"/>
      <c r="M10" s="75">
        <f t="shared" si="0"/>
        <v>0</v>
      </c>
      <c r="N10" s="797"/>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5">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6" customFormat="1" ht="14.25">
      <c r="A11" s="2294">
        <f>'数据-汇总表'!C24</f>
        <v>0</v>
      </c>
      <c r="B11" s="2295" t="str">
        <f t="shared" si="1"/>
        <v/>
      </c>
      <c r="C11" s="229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799"/>
      <c r="AG11" s="145">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6" customFormat="1" ht="14.25">
      <c r="A12" s="2294">
        <f>'数据-汇总表'!C25</f>
        <v>0</v>
      </c>
      <c r="B12" s="2295" t="str">
        <f t="shared" si="1"/>
        <v/>
      </c>
      <c r="C12" s="229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799"/>
      <c r="AG12" s="145">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6" customFormat="1" ht="14.25">
      <c r="A13" s="2294">
        <f>'数据-汇总表'!C26</f>
        <v>0</v>
      </c>
      <c r="B13" s="2295" t="str">
        <f t="shared" si="1"/>
        <v/>
      </c>
      <c r="C13" s="229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5">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6" customFormat="1" ht="14.25">
      <c r="A14" s="2299" t="s">
        <v>2008</v>
      </c>
      <c r="B14" s="2295" t="s">
        <v>2009</v>
      </c>
      <c r="C14" s="2300" t="s">
        <v>2008</v>
      </c>
      <c r="D14" s="1049"/>
      <c r="E14" s="1046"/>
      <c r="F14" s="72"/>
      <c r="G14" s="73"/>
      <c r="H14" s="1246"/>
      <c r="I14" s="1246"/>
      <c r="J14" s="1246"/>
      <c r="K14" s="1247">
        <f>SUMIF('数据-汇总表'!C$19:C$33,A14,'数据-汇总表'!E$19:E$33)</f>
        <v>11075.419999999987</v>
      </c>
      <c r="L14" s="91">
        <v>1500</v>
      </c>
      <c r="M14" s="75">
        <f t="shared" si="0"/>
        <v>1661</v>
      </c>
      <c r="N14" s="92">
        <f>N8</f>
        <v>0.05</v>
      </c>
      <c r="O14" s="75">
        <f t="shared" si="3"/>
        <v>83</v>
      </c>
      <c r="P14" s="76">
        <f t="shared" si="4"/>
        <v>1578</v>
      </c>
      <c r="Q14" s="1250"/>
      <c r="R14" s="77"/>
      <c r="S14" s="54"/>
      <c r="T14" s="1439"/>
      <c r="U14" s="719"/>
      <c r="V14" s="1252"/>
      <c r="W14" s="1252"/>
      <c r="X14" s="1253"/>
      <c r="Y14" s="1254"/>
      <c r="Z14" s="1255"/>
      <c r="AA14" s="1256"/>
      <c r="AB14" s="1256"/>
      <c r="AC14" s="1257"/>
      <c r="AD14" s="1253"/>
      <c r="AE14" s="1258"/>
      <c r="AF14" s="55"/>
      <c r="AG14" s="145"/>
      <c r="AH14" s="1258"/>
      <c r="AI14" s="1810"/>
      <c r="AJ14" s="769"/>
      <c r="AK14" s="1259"/>
      <c r="AL14" s="1260"/>
      <c r="AM14" s="1261"/>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6" customFormat="1" ht="27">
      <c r="A15" s="2299" t="s">
        <v>2010</v>
      </c>
      <c r="B15" s="2295" t="s">
        <v>2009</v>
      </c>
      <c r="C15" s="2300" t="s">
        <v>2011</v>
      </c>
      <c r="D15" s="1049"/>
      <c r="E15" s="1046"/>
      <c r="F15" s="72"/>
      <c r="G15" s="73"/>
      <c r="H15" s="1246"/>
      <c r="I15" s="1246"/>
      <c r="J15" s="1246"/>
      <c r="K15" s="1247">
        <f>SUMIF('数据-汇总表'!C$19:C$33,A15,'数据-汇总表'!E$19:E$33)</f>
        <v>604.78</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5"/>
      <c r="AH15" s="1258"/>
      <c r="AI15" s="1810"/>
      <c r="AJ15" s="769"/>
      <c r="AK15" s="1259"/>
      <c r="AL15" s="1260"/>
      <c r="AM15" s="1261"/>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6" customFormat="1" ht="15.75" thickBot="1">
      <c r="A16" s="2301" t="s">
        <v>2012</v>
      </c>
      <c r="B16" s="97"/>
      <c r="C16" s="1003"/>
      <c r="D16" s="2302"/>
      <c r="E16" s="97"/>
      <c r="F16" s="97"/>
      <c r="G16" s="98">
        <f>ROUND(SUMPRODUCT(G6:G13,K6:K13)/SUMPRODUCT((G6:G13&gt;0)*(K6:K13)),3)</f>
        <v>0.96599999999999997</v>
      </c>
      <c r="H16" s="99">
        <f>ROUND(SUMPRODUCT(H6:H13,K6:K13)/SUMPRODUCT((H6:H13&gt;0)*(K6:K13)),3)</f>
        <v>4.3999999999999997E-2</v>
      </c>
      <c r="I16" s="100"/>
      <c r="J16" s="100"/>
      <c r="K16" s="101">
        <f>SUM(K6:K15)</f>
        <v>72085.949999999983</v>
      </c>
      <c r="L16" s="102">
        <f>ROUND(M16*10000/SUM(K6:K14),0)</f>
        <v>2351</v>
      </c>
      <c r="M16" s="102">
        <f>SUM(M6:M14)</f>
        <v>16806</v>
      </c>
      <c r="N16" s="103">
        <f>ROUND(SUMPRODUCT(M6:M14,N6:N14)/M16,3)</f>
        <v>0.05</v>
      </c>
      <c r="O16" s="102">
        <f>SUM(O6:O14)</f>
        <v>840</v>
      </c>
      <c r="P16" s="102">
        <f>SUM(P6:P14)</f>
        <v>15966</v>
      </c>
      <c r="Q16" s="104">
        <f>ROUND(SUMPRODUCT(Q6:Q13,K6:K13)/SUMPRODUCT((Q6:Q13&gt;0)*(K6:K13)),2)</f>
        <v>0.21</v>
      </c>
      <c r="R16" s="1251">
        <f ca="1">SUM(R6:R13)</f>
        <v>56871.729999999996</v>
      </c>
      <c r="S16" s="105">
        <f>SUM(S6:S13)</f>
        <v>11075.42</v>
      </c>
      <c r="T16" s="106">
        <f>IF(SUMIF(T6:T13,"&lt;9E307")=M14,SUMIF(T6:T13,"&lt;9E307"),"有误，请检查")</f>
        <v>1661</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8"/>
      <c r="C17" s="1576"/>
      <c r="D17" s="2261"/>
      <c r="E17" s="2261"/>
      <c r="F17" s="1576"/>
      <c r="G17" s="1576"/>
      <c r="H17" s="1576"/>
      <c r="I17" s="1576"/>
      <c r="J17" s="1576"/>
      <c r="K17" s="166"/>
      <c r="L17" s="166"/>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2013</v>
      </c>
      <c r="B18" s="2268"/>
      <c r="C18" s="2265"/>
      <c r="D18" s="2266"/>
      <c r="E18" s="2265"/>
      <c r="F18" s="2265"/>
      <c r="G18" s="2265"/>
      <c r="H18" s="2265"/>
      <c r="I18" s="2265"/>
      <c r="J18" s="2265"/>
      <c r="K18" s="166"/>
      <c r="L18" s="16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4" t="s">
        <v>2014</v>
      </c>
      <c r="B19" s="112">
        <v>0</v>
      </c>
      <c r="C19" s="2265" t="s">
        <v>2015</v>
      </c>
      <c r="D19" s="2266"/>
      <c r="E19" s="2265"/>
      <c r="F19" s="2265"/>
      <c r="G19" s="2265"/>
      <c r="H19" s="2265"/>
      <c r="I19" s="2265"/>
      <c r="J19" s="2956"/>
      <c r="K19" s="2960"/>
      <c r="L19" s="2959"/>
      <c r="M19" s="2958"/>
      <c r="N19" s="2958"/>
      <c r="O19" s="1576"/>
      <c r="P19" s="2958"/>
      <c r="Q19" s="3007"/>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5" t="s">
        <v>2016</v>
      </c>
      <c r="B20" s="3052">
        <v>2</v>
      </c>
      <c r="C20" s="2265" t="s">
        <v>2017</v>
      </c>
      <c r="D20" s="2266"/>
      <c r="E20" s="2265"/>
      <c r="F20" s="2265"/>
      <c r="G20" s="2265"/>
      <c r="H20" s="2265"/>
      <c r="I20" s="2265"/>
      <c r="J20" s="2266"/>
      <c r="K20" s="166"/>
      <c r="L20" s="166"/>
      <c r="M20" s="1576"/>
      <c r="N20" s="1576"/>
      <c r="O20" s="1576"/>
      <c r="P20" s="2958"/>
      <c r="Q20" s="300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6" t="s">
        <v>2018</v>
      </c>
      <c r="B21" s="3052">
        <v>0.5</v>
      </c>
      <c r="C21" s="2265"/>
      <c r="D21" s="2266"/>
      <c r="E21" s="2265"/>
      <c r="F21" s="2265"/>
      <c r="G21" s="2265"/>
      <c r="H21" s="2265"/>
      <c r="I21" s="2956"/>
      <c r="J21" s="2266"/>
      <c r="K21" s="166"/>
      <c r="L21" s="2959" t="s">
        <v>3240</v>
      </c>
      <c r="M21" s="1576">
        <f>50+50+200+234.1696+1179.2151</f>
        <v>1713.3846999999998</v>
      </c>
      <c r="N21" s="1576"/>
      <c r="O21" s="1576"/>
      <c r="P21" s="1576"/>
      <c r="Q21" s="3007"/>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5" t="s">
        <v>2019</v>
      </c>
      <c r="B22" s="113">
        <f>B19+B20</f>
        <v>2</v>
      </c>
      <c r="C22" s="2265"/>
      <c r="D22" s="2266"/>
      <c r="E22" s="2265"/>
      <c r="F22" s="2265"/>
      <c r="G22" s="2265"/>
      <c r="H22" s="2265"/>
      <c r="I22" s="2265"/>
      <c r="J22" s="2265"/>
      <c r="K22" s="166"/>
      <c r="L22" s="2959" t="s">
        <v>3241</v>
      </c>
      <c r="M22" s="1576">
        <f>Sheet3!B7+Sheet3!D6+Sheet3!F16+Sheet3!I15</f>
        <v>145243.5</v>
      </c>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6" t="s">
        <v>2020</v>
      </c>
      <c r="B23" s="113">
        <f>B19+B21</f>
        <v>0.5</v>
      </c>
      <c r="C23" s="2265"/>
      <c r="D23" s="2266"/>
      <c r="E23" s="2265"/>
      <c r="F23" s="2265"/>
      <c r="G23" s="2265"/>
      <c r="H23" s="2265"/>
      <c r="I23" s="2265"/>
      <c r="J23" s="2265"/>
      <c r="K23" s="166"/>
      <c r="L23" s="2959" t="s">
        <v>3528</v>
      </c>
      <c r="M23" s="3024">
        <f>'数据-汇总表'!E3/'数据-取费表'!M22</f>
        <v>0.49631102252424364</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7" t="s">
        <v>2021</v>
      </c>
      <c r="B24" s="114">
        <f>B20-B21</f>
        <v>1.5</v>
      </c>
      <c r="C24" s="2265"/>
      <c r="D24" s="2266"/>
      <c r="E24" s="2265"/>
      <c r="F24" s="2265"/>
      <c r="G24" s="2265"/>
      <c r="H24" s="2265"/>
      <c r="I24" s="2265"/>
      <c r="J24" s="2265"/>
      <c r="K24" s="166"/>
      <c r="L24" s="2959" t="s">
        <v>3244</v>
      </c>
      <c r="M24" s="1576">
        <f>ROUND(M21*M23,0)</f>
        <v>850</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68"/>
      <c r="C25" s="2265"/>
      <c r="D25" s="2266"/>
      <c r="E25" s="2265"/>
      <c r="F25" s="2265"/>
      <c r="G25" s="2265"/>
      <c r="H25" s="2265"/>
      <c r="I25" s="2265"/>
      <c r="J25" s="2956"/>
      <c r="K25" s="2957"/>
      <c r="L25" s="16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4" t="s">
        <v>2022</v>
      </c>
      <c r="B26" s="2308" t="s">
        <v>2023</v>
      </c>
      <c r="C26" s="2309" t="s">
        <v>2024</v>
      </c>
      <c r="D26" s="2266"/>
      <c r="E26" s="2265"/>
      <c r="F26" s="2265"/>
      <c r="G26" s="2265"/>
      <c r="H26" s="2265"/>
      <c r="I26" s="2265"/>
      <c r="J26" s="2265"/>
      <c r="K26" s="166"/>
      <c r="L26" s="16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2" customFormat="1" ht="27.75">
      <c r="A27" s="2310" t="s">
        <v>2025</v>
      </c>
      <c r="B27" s="115">
        <f>'[2]数据-取费表'!$B$27</f>
        <v>130</v>
      </c>
      <c r="C27" s="1759" t="s">
        <v>2026</v>
      </c>
      <c r="D27" s="2311"/>
      <c r="E27" s="1423"/>
      <c r="F27" s="1423"/>
      <c r="G27" s="2265"/>
      <c r="H27" s="2265"/>
      <c r="I27" s="2265"/>
      <c r="J27" s="2265"/>
      <c r="K27" s="166"/>
      <c r="L27" s="16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2" customFormat="1" ht="27.75">
      <c r="A28" s="2313" t="s">
        <v>2027</v>
      </c>
      <c r="B28" s="118">
        <f>'[2]数据-取费表'!$B$28</f>
        <v>130</v>
      </c>
      <c r="C28" s="2314"/>
      <c r="D28" s="2311"/>
      <c r="E28" s="1423"/>
      <c r="F28" s="1423"/>
      <c r="G28" s="2265"/>
      <c r="H28" s="2265"/>
      <c r="I28" s="2265"/>
      <c r="J28" s="2265"/>
      <c r="K28" s="166"/>
      <c r="L28" s="16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2" customFormat="1" ht="28.5" thickBot="1">
      <c r="A29" s="2315" t="s">
        <v>2028</v>
      </c>
      <c r="B29" s="3054">
        <f>M24</f>
        <v>850</v>
      </c>
      <c r="C29" s="1759" t="s">
        <v>2029</v>
      </c>
      <c r="D29" s="2311"/>
      <c r="E29" s="1423"/>
      <c r="F29" s="1423"/>
      <c r="G29" s="2265"/>
      <c r="H29" s="2265"/>
      <c r="I29" s="2265"/>
      <c r="J29" s="2265"/>
      <c r="K29" s="2957"/>
      <c r="L29" s="963"/>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2" customFormat="1" ht="27">
      <c r="A30" s="2316" t="s">
        <v>2030</v>
      </c>
      <c r="B30" s="720">
        <v>200</v>
      </c>
      <c r="C30" s="2314"/>
      <c r="D30" s="2311"/>
      <c r="E30" s="1423"/>
      <c r="F30" s="1423"/>
      <c r="G30" s="2265"/>
      <c r="H30" s="2265"/>
      <c r="I30" s="2265"/>
      <c r="J30" s="2265"/>
      <c r="K30" s="166"/>
      <c r="L30" s="16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2" customFormat="1" ht="27">
      <c r="A31" s="2313" t="s">
        <v>2031</v>
      </c>
      <c r="B31" s="119">
        <f>B30-B32</f>
        <v>200</v>
      </c>
      <c r="C31" s="1759"/>
      <c r="D31" s="2311"/>
      <c r="E31" s="1423"/>
      <c r="F31" s="1423"/>
      <c r="G31" s="2265"/>
      <c r="H31" s="2265"/>
      <c r="I31" s="2265"/>
      <c r="J31" s="2265"/>
      <c r="K31" s="166"/>
      <c r="L31" s="16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2" customFormat="1" ht="27.75" thickBot="1">
      <c r="A32" s="2317" t="s">
        <v>2032</v>
      </c>
      <c r="B32" s="721">
        <v>0</v>
      </c>
      <c r="C32" s="2314"/>
      <c r="D32" s="2266"/>
      <c r="E32" s="2265"/>
      <c r="F32" s="2265"/>
      <c r="G32" s="2265"/>
      <c r="H32" s="2265"/>
      <c r="I32" s="2265"/>
      <c r="J32" s="2265"/>
      <c r="K32" s="166"/>
      <c r="L32" s="166"/>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2" customFormat="1" ht="14.25">
      <c r="A33" s="2310" t="s">
        <v>2033</v>
      </c>
      <c r="B33" s="722">
        <v>0.03</v>
      </c>
      <c r="C33" s="1758" t="s">
        <v>2034</v>
      </c>
      <c r="D33" s="2266"/>
      <c r="E33" s="2265"/>
      <c r="F33" s="2265"/>
      <c r="G33" s="2265"/>
      <c r="H33" s="2265"/>
      <c r="I33" s="2265"/>
      <c r="J33" s="2265"/>
      <c r="K33" s="166"/>
      <c r="L33" s="166"/>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2" customFormat="1" ht="14.25">
      <c r="A34" s="2313" t="s">
        <v>2035</v>
      </c>
      <c r="B34" s="120">
        <v>0.05</v>
      </c>
      <c r="C34" s="1758" t="s">
        <v>2036</v>
      </c>
      <c r="D34" s="2266" t="s">
        <v>2037</v>
      </c>
      <c r="E34" s="728"/>
      <c r="F34" s="2265"/>
      <c r="G34" s="2265"/>
      <c r="H34" s="2265"/>
      <c r="I34" s="2265"/>
      <c r="J34" s="2265"/>
      <c r="K34" s="166"/>
      <c r="L34" s="166"/>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2" customFormat="1" ht="14.25">
      <c r="A35" s="2313" t="s">
        <v>2038</v>
      </c>
      <c r="B35" s="118">
        <v>200</v>
      </c>
      <c r="C35" s="1758" t="s">
        <v>2039</v>
      </c>
      <c r="D35" s="2311"/>
      <c r="E35" s="1423"/>
      <c r="F35" s="1423"/>
      <c r="G35" s="2265"/>
      <c r="H35" s="2265"/>
      <c r="I35" s="2265"/>
      <c r="J35" s="2265"/>
      <c r="K35" s="166"/>
      <c r="L35" s="166"/>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5" t="s">
        <v>2040</v>
      </c>
      <c r="B36" s="121">
        <v>1.4999999999999999E-2</v>
      </c>
      <c r="C36" s="1758" t="s">
        <v>2041</v>
      </c>
      <c r="D36" s="2266"/>
      <c r="E36" s="2265"/>
      <c r="F36" s="2265"/>
      <c r="G36" s="2265"/>
      <c r="H36" s="2265"/>
      <c r="I36" s="2265"/>
      <c r="J36" s="2265"/>
      <c r="K36" s="166"/>
      <c r="L36" s="166"/>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6" t="s">
        <v>2042</v>
      </c>
      <c r="B37" s="122">
        <v>0.02</v>
      </c>
      <c r="C37" s="1758" t="s">
        <v>2043</v>
      </c>
      <c r="D37" s="2266"/>
      <c r="E37" s="2265"/>
      <c r="F37" s="2265"/>
      <c r="G37" s="2265"/>
      <c r="H37" s="2265"/>
      <c r="I37" s="2265"/>
      <c r="J37" s="2265"/>
      <c r="K37" s="166"/>
      <c r="L37" s="166"/>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3" t="s">
        <v>2044</v>
      </c>
      <c r="B38" s="120">
        <v>0.02</v>
      </c>
      <c r="C38" s="1758" t="s">
        <v>2043</v>
      </c>
      <c r="D38" s="2266"/>
      <c r="E38" s="2265"/>
      <c r="F38" s="2265"/>
      <c r="G38" s="2265"/>
      <c r="H38" s="2265"/>
      <c r="I38" s="2265"/>
      <c r="J38" s="2265"/>
      <c r="K38" s="166"/>
      <c r="L38" s="16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7" t="s">
        <v>2045</v>
      </c>
      <c r="B39" s="360">
        <f ca="1">存贷款利率!I1</f>
        <v>1.4999999999999999E-2</v>
      </c>
      <c r="C39" s="1758"/>
      <c r="D39" s="2266"/>
      <c r="E39" s="2265"/>
      <c r="F39" s="2265"/>
      <c r="G39" s="2265"/>
      <c r="H39" s="2265"/>
      <c r="I39" s="2265"/>
      <c r="J39" s="2265"/>
      <c r="K39" s="166"/>
      <c r="L39" s="166"/>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7" t="s">
        <v>2046</v>
      </c>
      <c r="B40" s="1296">
        <f ca="1">存贷款利率!G1</f>
        <v>4.7500000000000001E-2</v>
      </c>
      <c r="C40" s="1758" t="s">
        <v>2047</v>
      </c>
      <c r="D40" s="1576"/>
      <c r="E40" s="2266"/>
      <c r="F40" s="2265"/>
      <c r="G40" s="2265"/>
      <c r="H40" s="2265"/>
      <c r="I40" s="2265"/>
      <c r="J40" s="2265"/>
      <c r="K40" s="166"/>
      <c r="L40" s="166"/>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0" t="s">
        <v>2048</v>
      </c>
      <c r="B41" s="123">
        <f>B42+B43</f>
        <v>5.6000000000000001E-2</v>
      </c>
      <c r="C41" s="1759"/>
      <c r="D41" s="1576"/>
      <c r="E41" s="2266"/>
      <c r="F41" s="2265"/>
      <c r="G41" s="2265"/>
      <c r="H41" s="2265"/>
      <c r="I41" s="2265"/>
      <c r="J41" s="2265"/>
      <c r="K41" s="166"/>
      <c r="L41" s="166"/>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18" t="s">
        <v>2049</v>
      </c>
      <c r="B42" s="124">
        <v>0.05</v>
      </c>
      <c r="C42" s="2319">
        <f>IF(B2&lt;DATE(2016,5,1),0,B42)</f>
        <v>0.05</v>
      </c>
      <c r="D42" s="2266"/>
      <c r="E42" s="2265"/>
      <c r="F42" s="2265"/>
      <c r="G42" s="2265"/>
      <c r="H42" s="2265"/>
      <c r="I42" s="2265"/>
      <c r="J42" s="2265"/>
      <c r="K42" s="166"/>
      <c r="L42" s="166"/>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18" t="s">
        <v>2050</v>
      </c>
      <c r="B43" s="125">
        <f>B42*(B44+B45+B46)+B47</f>
        <v>6.000000000000001E-3</v>
      </c>
      <c r="C43" s="1759"/>
      <c r="D43" s="2266"/>
      <c r="E43" s="2265"/>
      <c r="F43" s="2265"/>
      <c r="G43" s="2265"/>
      <c r="H43" s="2265"/>
      <c r="I43" s="2265"/>
      <c r="J43" s="2265"/>
      <c r="K43" s="166"/>
      <c r="L43" s="166"/>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0" t="s">
        <v>2051</v>
      </c>
      <c r="B44" s="126">
        <v>7.0000000000000007E-2</v>
      </c>
      <c r="C44" s="1758" t="s">
        <v>2052</v>
      </c>
      <c r="D44" s="2266"/>
      <c r="E44" s="2265"/>
      <c r="F44" s="2265"/>
      <c r="G44" s="2265"/>
      <c r="H44" s="2265"/>
      <c r="I44" s="2265"/>
      <c r="J44" s="2265"/>
      <c r="K44" s="166"/>
      <c r="L44" s="166"/>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0" t="s">
        <v>2053</v>
      </c>
      <c r="B45" s="124">
        <v>0.03</v>
      </c>
      <c r="C45" s="1759" t="s">
        <v>2054</v>
      </c>
      <c r="D45" s="2266"/>
      <c r="E45" s="2265"/>
      <c r="F45" s="2265"/>
      <c r="G45" s="2265"/>
      <c r="H45" s="2265"/>
      <c r="I45" s="2265"/>
      <c r="J45" s="2265"/>
      <c r="K45" s="166"/>
      <c r="L45" s="166"/>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0" t="s">
        <v>2055</v>
      </c>
      <c r="B46" s="124">
        <v>0.02</v>
      </c>
      <c r="C46" s="1759" t="s">
        <v>2056</v>
      </c>
      <c r="D46" s="2266"/>
      <c r="E46" s="2265"/>
      <c r="F46" s="2265"/>
      <c r="G46" s="2265"/>
      <c r="H46" s="2265"/>
      <c r="I46" s="2265"/>
      <c r="J46" s="2265"/>
      <c r="K46" s="166"/>
      <c r="L46" s="166"/>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1" t="s">
        <v>2057</v>
      </c>
      <c r="B47" s="127">
        <v>0</v>
      </c>
      <c r="C47" s="1759" t="s">
        <v>2058</v>
      </c>
      <c r="D47" s="2266"/>
      <c r="E47" s="2265"/>
      <c r="F47" s="2265"/>
      <c r="G47" s="2265"/>
      <c r="H47" s="2265"/>
      <c r="I47" s="2265"/>
      <c r="J47" s="2265"/>
      <c r="K47" s="166"/>
      <c r="L47" s="166"/>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2" t="s">
        <v>2059</v>
      </c>
      <c r="B48" s="128">
        <v>0.03</v>
      </c>
      <c r="C48" s="1766" t="s">
        <v>2060</v>
      </c>
      <c r="D48" s="2266"/>
      <c r="E48" s="2265"/>
      <c r="F48" s="2265"/>
      <c r="G48" s="2265"/>
      <c r="H48" s="2265"/>
      <c r="I48" s="2265"/>
      <c r="J48" s="2265"/>
      <c r="K48" s="166"/>
      <c r="L48" s="166"/>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7" t="s">
        <v>2061</v>
      </c>
      <c r="B49" s="124">
        <v>5.0000000000000001E-4</v>
      </c>
      <c r="C49" s="1766" t="s">
        <v>2062</v>
      </c>
      <c r="D49" s="2266"/>
      <c r="E49" s="2265"/>
      <c r="F49" s="2265"/>
      <c r="G49" s="2265"/>
      <c r="H49" s="2265"/>
      <c r="I49" s="2265"/>
      <c r="J49" s="2265"/>
      <c r="K49" s="166"/>
      <c r="L49" s="16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3" t="s">
        <v>2063</v>
      </c>
      <c r="B50" s="129">
        <v>1.2E-2</v>
      </c>
      <c r="C50" s="1423"/>
      <c r="D50" s="2266"/>
      <c r="E50" s="2265"/>
      <c r="F50" s="2265"/>
      <c r="G50" s="2265"/>
      <c r="H50" s="2265"/>
      <c r="I50" s="2265"/>
      <c r="J50" s="2265"/>
      <c r="K50" s="166"/>
      <c r="L50" s="16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5" t="s">
        <v>2064</v>
      </c>
      <c r="B51" s="130">
        <v>0.12</v>
      </c>
      <c r="C51" s="1423"/>
      <c r="D51" s="2266"/>
      <c r="E51" s="2265"/>
      <c r="F51" s="2265"/>
      <c r="G51" s="2265"/>
      <c r="H51" s="2265"/>
      <c r="I51" s="2265"/>
      <c r="J51" s="2265"/>
      <c r="K51" s="166"/>
      <c r="L51" s="166"/>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3" t="s">
        <v>2065</v>
      </c>
      <c r="B52" s="131">
        <f>SUMIF(A54:A63,B53,B54:B63)</f>
        <v>12</v>
      </c>
      <c r="C52" s="1423"/>
      <c r="D52" s="2266"/>
      <c r="E52" s="2265"/>
      <c r="F52" s="2265"/>
      <c r="G52" s="2265"/>
      <c r="H52" s="2265"/>
      <c r="I52" s="2265"/>
      <c r="J52" s="2265"/>
      <c r="K52" s="166"/>
      <c r="L52" s="166"/>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3" t="s">
        <v>2066</v>
      </c>
      <c r="B53" s="2324" t="s">
        <v>212</v>
      </c>
      <c r="C53" s="1423" t="s">
        <v>2067</v>
      </c>
      <c r="D53" s="2325" t="s">
        <v>2068</v>
      </c>
      <c r="E53" s="2265"/>
      <c r="F53" s="2265"/>
      <c r="G53" s="2265"/>
      <c r="H53" s="2265"/>
      <c r="I53" s="2265"/>
      <c r="J53" s="2265"/>
      <c r="K53" s="166"/>
      <c r="L53" s="166"/>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6" t="s">
        <v>2069</v>
      </c>
      <c r="B54" s="84">
        <v>12</v>
      </c>
      <c r="C54" s="1423">
        <v>30</v>
      </c>
      <c r="D54" s="2266"/>
      <c r="E54" s="2265"/>
      <c r="F54" s="2265"/>
      <c r="G54" s="2265"/>
      <c r="H54" s="2265"/>
      <c r="I54" s="2265"/>
      <c r="J54" s="2265"/>
      <c r="K54" s="166"/>
      <c r="L54" s="166"/>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26" t="s">
        <v>2070</v>
      </c>
      <c r="B55" s="84">
        <v>10</v>
      </c>
      <c r="C55" s="1423">
        <v>24</v>
      </c>
      <c r="D55" s="2266"/>
      <c r="E55" s="2265"/>
      <c r="F55" s="2265"/>
      <c r="G55" s="2265"/>
      <c r="H55" s="2265"/>
      <c r="I55" s="2327"/>
      <c r="J55" s="2265"/>
      <c r="K55" s="166"/>
      <c r="L55" s="166"/>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26" t="s">
        <v>2071</v>
      </c>
      <c r="B56" s="84"/>
      <c r="C56" s="1423">
        <v>18</v>
      </c>
      <c r="D56" s="2266"/>
      <c r="E56" s="2265"/>
      <c r="F56" s="2265"/>
      <c r="G56" s="2265"/>
      <c r="H56" s="2265"/>
      <c r="I56" s="2265"/>
      <c r="J56" s="2265"/>
      <c r="K56" s="166"/>
      <c r="L56" s="166"/>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26" t="s">
        <v>2072</v>
      </c>
      <c r="B57" s="84"/>
      <c r="C57" s="1423">
        <v>12</v>
      </c>
      <c r="D57" s="2266"/>
      <c r="E57" s="2265"/>
      <c r="F57" s="2265"/>
      <c r="G57" s="2265"/>
      <c r="H57" s="2265"/>
      <c r="I57" s="2265"/>
      <c r="J57" s="2265"/>
      <c r="K57" s="166"/>
      <c r="L57" s="166"/>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26" t="s">
        <v>2073</v>
      </c>
      <c r="B58" s="84"/>
      <c r="C58" s="1423">
        <v>3</v>
      </c>
      <c r="D58" s="2266"/>
      <c r="E58" s="2265"/>
      <c r="F58" s="2265"/>
      <c r="G58" s="2265"/>
      <c r="H58" s="2265"/>
      <c r="I58" s="2265"/>
      <c r="J58" s="2265"/>
      <c r="K58" s="166"/>
      <c r="L58" s="16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26" t="s">
        <v>2074</v>
      </c>
      <c r="B59" s="84"/>
      <c r="C59" s="1423">
        <v>1.5</v>
      </c>
      <c r="D59" s="2266"/>
      <c r="E59" s="2265"/>
      <c r="F59" s="2265"/>
      <c r="G59" s="2265"/>
      <c r="H59" s="2265"/>
      <c r="I59" s="2265"/>
      <c r="J59" s="2265"/>
      <c r="K59" s="166"/>
      <c r="L59" s="166"/>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26" t="s">
        <v>2075</v>
      </c>
      <c r="B60" s="84"/>
      <c r="C60" s="2265"/>
      <c r="D60" s="2266"/>
      <c r="E60" s="2265"/>
      <c r="F60" s="2265"/>
      <c r="G60" s="2265"/>
      <c r="H60" s="2265"/>
      <c r="I60" s="2265"/>
      <c r="J60" s="2265"/>
      <c r="K60" s="166"/>
      <c r="L60" s="16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26" t="s">
        <v>2076</v>
      </c>
      <c r="B61" s="84"/>
      <c r="C61" s="2265"/>
      <c r="D61" s="2266"/>
      <c r="E61" s="2265"/>
      <c r="F61" s="2265"/>
      <c r="G61" s="2265"/>
      <c r="H61" s="2265"/>
      <c r="I61" s="2265"/>
      <c r="J61" s="2265"/>
      <c r="K61" s="166"/>
      <c r="L61" s="166"/>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26" t="s">
        <v>2077</v>
      </c>
      <c r="B62" s="84"/>
      <c r="C62" s="2265"/>
      <c r="D62" s="2266"/>
      <c r="E62" s="2265"/>
      <c r="F62" s="2265"/>
      <c r="G62" s="2265"/>
      <c r="H62" s="2265"/>
      <c r="I62" s="2265"/>
      <c r="J62" s="2265"/>
      <c r="K62" s="166"/>
      <c r="L62" s="166"/>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28" t="s">
        <v>2078</v>
      </c>
      <c r="B63" s="132"/>
      <c r="C63" s="2265"/>
      <c r="D63" s="2266"/>
      <c r="E63" s="2265"/>
      <c r="F63" s="2265"/>
      <c r="G63" s="2265"/>
      <c r="H63" s="2265"/>
      <c r="I63" s="2265"/>
      <c r="J63" s="2265"/>
      <c r="K63" s="166"/>
      <c r="L63" s="166"/>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2" customFormat="1">
      <c r="A64" s="2329"/>
      <c r="D64" s="2330"/>
      <c r="K64" s="794"/>
      <c r="L64" s="794"/>
    </row>
    <row r="65" spans="1:12" s="962" customFormat="1">
      <c r="A65" s="2329"/>
      <c r="D65" s="2330"/>
      <c r="K65" s="794"/>
      <c r="L65" s="794"/>
    </row>
    <row r="66" spans="1:12" s="962" customFormat="1">
      <c r="A66" s="2329"/>
      <c r="D66" s="2330"/>
      <c r="K66" s="794"/>
      <c r="L66" s="794"/>
    </row>
    <row r="67" spans="1:12" s="962" customFormat="1">
      <c r="A67" s="2329"/>
      <c r="D67" s="2330"/>
      <c r="K67" s="794"/>
      <c r="L67" s="794"/>
    </row>
    <row r="68" spans="1:12" s="962" customFormat="1">
      <c r="A68" s="2329"/>
      <c r="D68" s="2330"/>
      <c r="K68" s="794"/>
      <c r="L68" s="794"/>
    </row>
    <row r="69" spans="1:12" s="962" customFormat="1">
      <c r="A69" s="2329"/>
      <c r="D69" s="2330"/>
      <c r="K69" s="794"/>
      <c r="L69" s="794"/>
    </row>
    <row r="70" spans="1:12" s="962" customFormat="1">
      <c r="A70" s="2329"/>
      <c r="D70" s="2330"/>
      <c r="K70" s="794"/>
      <c r="L70" s="794"/>
    </row>
    <row r="71" spans="1:12" s="962" customFormat="1">
      <c r="A71" s="2329"/>
      <c r="D71" s="2330"/>
      <c r="K71" s="794"/>
      <c r="L71" s="794"/>
    </row>
    <row r="72" spans="1:12" s="962" customFormat="1">
      <c r="A72" s="2329"/>
      <c r="D72" s="2330"/>
      <c r="K72" s="794"/>
      <c r="L72" s="794"/>
    </row>
    <row r="73" spans="1:12" s="962" customFormat="1">
      <c r="A73" s="2329"/>
      <c r="D73" s="2330"/>
      <c r="K73" s="794"/>
      <c r="L73" s="794"/>
    </row>
    <row r="74" spans="1:12" s="962" customFormat="1">
      <c r="A74" s="2329"/>
      <c r="D74" s="2330"/>
      <c r="K74" s="794"/>
      <c r="L74" s="794"/>
    </row>
    <row r="75" spans="1:12" s="962" customFormat="1">
      <c r="A75" s="2329"/>
      <c r="D75" s="2330"/>
      <c r="K75" s="794"/>
      <c r="L75" s="794"/>
    </row>
    <row r="76" spans="1:12" s="962" customFormat="1">
      <c r="A76" s="2329"/>
      <c r="D76" s="2330"/>
      <c r="K76" s="794"/>
      <c r="L76" s="794"/>
    </row>
    <row r="77" spans="1:12" s="962" customFormat="1">
      <c r="A77" s="2329"/>
      <c r="D77" s="2330"/>
      <c r="K77" s="794"/>
      <c r="L77" s="794"/>
    </row>
    <row r="78" spans="1:12" s="962" customFormat="1">
      <c r="A78" s="2329"/>
      <c r="D78" s="2330"/>
      <c r="K78" s="794"/>
      <c r="L78" s="794"/>
    </row>
    <row r="79" spans="1:12" s="962" customFormat="1">
      <c r="A79" s="2329"/>
      <c r="D79" s="2330"/>
      <c r="K79" s="794"/>
      <c r="L79" s="794"/>
    </row>
    <row r="80" spans="1:12" s="962" customFormat="1">
      <c r="A80" s="2329"/>
      <c r="D80" s="2330"/>
      <c r="K80" s="794"/>
      <c r="L80" s="794"/>
    </row>
    <row r="81" spans="1:12" s="962" customFormat="1">
      <c r="A81" s="2329"/>
      <c r="D81" s="2330"/>
      <c r="K81" s="794"/>
      <c r="L81" s="794"/>
    </row>
    <row r="82" spans="1:12" s="962" customFormat="1">
      <c r="A82" s="2329"/>
      <c r="D82" s="2330"/>
      <c r="K82" s="794"/>
      <c r="L82" s="794"/>
    </row>
    <row r="83" spans="1:12" s="962" customFormat="1">
      <c r="A83" s="2329"/>
      <c r="D83" s="2330"/>
      <c r="K83" s="794"/>
      <c r="L83" s="794"/>
    </row>
    <row r="84" spans="1:12" s="962" customFormat="1">
      <c r="A84" s="2329"/>
      <c r="D84" s="2330"/>
      <c r="K84" s="794"/>
      <c r="L84" s="794"/>
    </row>
    <row r="85" spans="1:12" s="962" customFormat="1">
      <c r="A85" s="2329"/>
      <c r="D85" s="2330"/>
      <c r="K85" s="794"/>
      <c r="L85" s="794"/>
    </row>
    <row r="86" spans="1:12" s="962" customFormat="1">
      <c r="A86" s="2329"/>
      <c r="D86" s="2330"/>
      <c r="K86" s="794"/>
      <c r="L86" s="794"/>
    </row>
    <row r="87" spans="1:12" s="962" customFormat="1">
      <c r="A87" s="2329"/>
      <c r="D87" s="2330"/>
      <c r="K87" s="794"/>
      <c r="L87" s="794"/>
    </row>
    <row r="88" spans="1:12" s="962" customFormat="1">
      <c r="A88" s="2329"/>
      <c r="D88" s="2330"/>
      <c r="K88" s="794"/>
      <c r="L88" s="794"/>
    </row>
    <row r="89" spans="1:12" s="962" customFormat="1">
      <c r="A89" s="2329"/>
      <c r="D89" s="2330"/>
      <c r="K89" s="794"/>
      <c r="L89" s="794"/>
    </row>
    <row r="90" spans="1:12" s="962" customFormat="1">
      <c r="A90" s="2329"/>
      <c r="D90" s="2330"/>
      <c r="K90" s="794"/>
      <c r="L90" s="794"/>
    </row>
    <row r="91" spans="1:12" s="962" customFormat="1">
      <c r="A91" s="2329"/>
      <c r="D91" s="2330"/>
      <c r="K91" s="794"/>
      <c r="L91" s="794"/>
    </row>
    <row r="92" spans="1:12" s="962" customFormat="1">
      <c r="A92" s="2329"/>
      <c r="D92" s="2330"/>
      <c r="K92" s="794"/>
      <c r="L92" s="794"/>
    </row>
    <row r="93" spans="1:12" s="962" customFormat="1">
      <c r="A93" s="2329"/>
      <c r="D93" s="2330"/>
      <c r="K93" s="794"/>
      <c r="L93" s="794"/>
    </row>
    <row r="94" spans="1:12" s="962" customFormat="1">
      <c r="A94" s="2329"/>
      <c r="D94" s="2330"/>
      <c r="K94" s="794"/>
      <c r="L94" s="794"/>
    </row>
    <row r="95" spans="1:12" s="962" customFormat="1">
      <c r="A95" s="2329"/>
      <c r="D95" s="2330"/>
      <c r="K95" s="794"/>
      <c r="L95" s="794"/>
    </row>
    <row r="96" spans="1:12" s="962" customFormat="1">
      <c r="A96" s="2329"/>
      <c r="D96" s="2330"/>
      <c r="K96" s="794"/>
      <c r="L96" s="794"/>
    </row>
    <row r="97" spans="1:12" s="962" customFormat="1">
      <c r="A97" s="2329"/>
      <c r="D97" s="2330"/>
      <c r="K97" s="794"/>
      <c r="L97" s="794"/>
    </row>
    <row r="98" spans="1:12" s="962" customFormat="1">
      <c r="A98" s="2329"/>
      <c r="D98" s="2330"/>
      <c r="K98" s="794"/>
      <c r="L98" s="794"/>
    </row>
    <row r="99" spans="1:12" s="962" customFormat="1">
      <c r="A99" s="2329"/>
      <c r="D99" s="2330"/>
      <c r="K99" s="794"/>
      <c r="L99" s="794"/>
    </row>
    <row r="100" spans="1:12" s="962" customFormat="1">
      <c r="A100" s="2329"/>
      <c r="D100" s="2330"/>
      <c r="K100" s="794"/>
      <c r="L100" s="794"/>
    </row>
    <row r="101" spans="1:12" s="962" customFormat="1">
      <c r="A101" s="2329"/>
      <c r="D101" s="2330"/>
      <c r="K101" s="794"/>
      <c r="L101" s="794"/>
    </row>
    <row r="102" spans="1:12" s="962" customFormat="1">
      <c r="A102" s="2329"/>
      <c r="D102" s="2330"/>
      <c r="K102" s="794"/>
      <c r="L102" s="794"/>
    </row>
    <row r="103" spans="1:12" s="962" customFormat="1">
      <c r="A103" s="2329"/>
      <c r="D103" s="2330"/>
      <c r="K103" s="794"/>
      <c r="L103" s="794"/>
    </row>
    <row r="104" spans="1:12" s="962" customFormat="1">
      <c r="A104" s="2329"/>
      <c r="D104" s="2330"/>
      <c r="K104" s="794"/>
      <c r="L104" s="794"/>
    </row>
    <row r="105" spans="1:12" s="962" customFormat="1">
      <c r="A105" s="2329"/>
      <c r="D105" s="2330"/>
      <c r="K105" s="794"/>
      <c r="L105" s="794"/>
    </row>
    <row r="106" spans="1:12" s="962" customFormat="1">
      <c r="A106" s="2329"/>
      <c r="D106" s="2330"/>
      <c r="K106" s="794"/>
      <c r="L106" s="794"/>
    </row>
    <row r="107" spans="1:12" s="962" customFormat="1">
      <c r="A107" s="2329"/>
      <c r="D107" s="2330"/>
      <c r="K107" s="794"/>
      <c r="L107" s="794"/>
    </row>
    <row r="108" spans="1:12" s="962" customFormat="1">
      <c r="A108" s="2329"/>
      <c r="D108" s="2330"/>
      <c r="K108" s="794"/>
      <c r="L108" s="794"/>
    </row>
    <row r="109" spans="1:12" s="962" customFormat="1">
      <c r="A109" s="2329"/>
      <c r="D109" s="2330"/>
      <c r="K109" s="794"/>
      <c r="L109" s="794"/>
    </row>
    <row r="110" spans="1:12" s="962" customFormat="1">
      <c r="A110" s="2329"/>
      <c r="D110" s="2330"/>
      <c r="K110" s="794"/>
      <c r="L110" s="794"/>
    </row>
    <row r="111" spans="1:12" s="962" customFormat="1">
      <c r="A111" s="2329"/>
      <c r="D111" s="2330"/>
      <c r="K111" s="794"/>
      <c r="L111" s="794"/>
    </row>
    <row r="112" spans="1:12" s="962" customFormat="1">
      <c r="A112" s="2329"/>
      <c r="D112" s="2330"/>
      <c r="K112" s="794"/>
      <c r="L112" s="794"/>
    </row>
    <row r="113" spans="1:12" s="962" customFormat="1">
      <c r="A113" s="2329"/>
      <c r="D113" s="2330"/>
      <c r="K113" s="794"/>
      <c r="L113" s="794"/>
    </row>
    <row r="114" spans="1:12" s="962" customFormat="1">
      <c r="A114" s="2329"/>
      <c r="D114" s="2330"/>
      <c r="K114" s="794"/>
      <c r="L114" s="794"/>
    </row>
    <row r="115" spans="1:12" s="962" customFormat="1">
      <c r="A115" s="2329"/>
      <c r="D115" s="2330"/>
      <c r="K115" s="794"/>
      <c r="L115" s="794"/>
    </row>
    <row r="116" spans="1:12" s="962" customFormat="1">
      <c r="A116" s="2329"/>
      <c r="D116" s="2330"/>
      <c r="K116" s="794"/>
      <c r="L116" s="794"/>
    </row>
    <row r="117" spans="1:12" s="962" customFormat="1">
      <c r="A117" s="2329"/>
      <c r="D117" s="2330"/>
      <c r="K117" s="794"/>
      <c r="L117" s="794"/>
    </row>
    <row r="118" spans="1:12" s="962" customFormat="1">
      <c r="A118" s="2329"/>
      <c r="D118" s="2330"/>
      <c r="K118" s="794"/>
      <c r="L118" s="794"/>
    </row>
    <row r="119" spans="1:12" s="962" customFormat="1">
      <c r="A119" s="2329"/>
      <c r="D119" s="2330"/>
      <c r="K119" s="794"/>
      <c r="L119" s="794"/>
    </row>
    <row r="120" spans="1:12" s="962" customFormat="1">
      <c r="A120" s="2329"/>
      <c r="D120" s="2330"/>
      <c r="K120" s="794"/>
      <c r="L120" s="794"/>
    </row>
    <row r="121" spans="1:12" s="962" customFormat="1">
      <c r="A121" s="2329"/>
      <c r="D121" s="2330"/>
      <c r="K121" s="794"/>
      <c r="L121" s="794"/>
    </row>
    <row r="122" spans="1:12" s="962" customFormat="1">
      <c r="A122" s="2329"/>
      <c r="D122" s="2330"/>
      <c r="K122" s="794"/>
      <c r="L122" s="794"/>
    </row>
    <row r="123" spans="1:12" s="962" customFormat="1">
      <c r="A123" s="2329"/>
      <c r="D123" s="2330"/>
      <c r="K123" s="794"/>
      <c r="L123" s="794"/>
    </row>
    <row r="124" spans="1:12" s="962" customFormat="1">
      <c r="A124" s="2329"/>
      <c r="D124" s="2330"/>
      <c r="K124" s="794"/>
      <c r="L124" s="794"/>
    </row>
    <row r="125" spans="1:12" s="962" customFormat="1">
      <c r="A125" s="2329"/>
      <c r="D125" s="2330"/>
      <c r="K125" s="794"/>
      <c r="L125" s="794"/>
    </row>
    <row r="126" spans="1:12" s="962" customFormat="1">
      <c r="A126" s="2329"/>
      <c r="D126" s="2330"/>
      <c r="K126" s="794"/>
      <c r="L126" s="794"/>
    </row>
    <row r="127" spans="1:12" s="962" customFormat="1">
      <c r="A127" s="2329"/>
      <c r="D127" s="2330"/>
      <c r="K127" s="794"/>
      <c r="L127" s="794"/>
    </row>
    <row r="128" spans="1:12" s="962" customFormat="1">
      <c r="A128" s="2329"/>
      <c r="D128" s="2330"/>
      <c r="K128" s="794"/>
      <c r="L128" s="794"/>
    </row>
    <row r="129" spans="1:12" s="962" customFormat="1">
      <c r="A129" s="2329"/>
      <c r="D129" s="2330"/>
      <c r="K129" s="794"/>
      <c r="L129" s="794"/>
    </row>
    <row r="130" spans="1:12" s="962" customFormat="1">
      <c r="A130" s="2329"/>
      <c r="D130" s="2330"/>
      <c r="K130" s="794"/>
      <c r="L130" s="794"/>
    </row>
    <row r="131" spans="1:12" s="962" customFormat="1">
      <c r="A131" s="2329"/>
      <c r="D131" s="2330"/>
      <c r="K131" s="794"/>
      <c r="L131" s="794"/>
    </row>
    <row r="132" spans="1:12" s="962" customFormat="1">
      <c r="A132" s="2329"/>
      <c r="D132" s="2330"/>
      <c r="K132" s="794"/>
      <c r="L132" s="794"/>
    </row>
    <row r="133" spans="1:12" s="962" customFormat="1">
      <c r="A133" s="2329"/>
      <c r="D133" s="2330"/>
      <c r="K133" s="794"/>
      <c r="L133" s="794"/>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46" sqref="F46"/>
    </sheetView>
  </sheetViews>
  <sheetFormatPr defaultRowHeight="14.25"/>
  <cols>
    <col min="1" max="1" width="9.5" style="2357"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6"/>
    <col min="30" max="16384" width="9" style="2357"/>
  </cols>
  <sheetData>
    <row r="1" spans="1:29" s="2350" customFormat="1" ht="19.5" thickBot="1">
      <c r="A1" s="3159" t="s">
        <v>2079</v>
      </c>
      <c r="B1" s="3160"/>
      <c r="C1" s="3160"/>
      <c r="D1" s="3160"/>
      <c r="E1" s="3160"/>
      <c r="F1" s="3160"/>
      <c r="G1" s="3160"/>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2080</v>
      </c>
      <c r="D2" s="2354"/>
      <c r="E2" s="2355"/>
      <c r="F2" s="2274"/>
      <c r="G2" s="2353" t="s">
        <v>2081</v>
      </c>
      <c r="H2" s="2356"/>
      <c r="I2" s="2356"/>
      <c r="J2" s="2356"/>
      <c r="K2" s="2356"/>
      <c r="L2" s="2356"/>
      <c r="M2" s="2356"/>
      <c r="N2" s="2356"/>
      <c r="O2" s="2356"/>
      <c r="P2" s="2356"/>
      <c r="Q2" s="2356"/>
      <c r="R2" s="2356"/>
    </row>
    <row r="3" spans="1:29" ht="27">
      <c r="A3" s="413" t="s">
        <v>2082</v>
      </c>
      <c r="B3" s="1264" t="s">
        <v>2083</v>
      </c>
      <c r="C3" s="2358"/>
      <c r="D3" s="2359"/>
      <c r="E3" s="429" t="s">
        <v>2082</v>
      </c>
      <c r="F3" s="2360" t="s">
        <v>2084</v>
      </c>
      <c r="G3" s="2963"/>
      <c r="H3" s="2356"/>
      <c r="I3" s="2356"/>
      <c r="J3" s="2356"/>
      <c r="K3" s="2356"/>
      <c r="L3" s="2356"/>
      <c r="M3" s="2356"/>
      <c r="N3" s="2356"/>
      <c r="O3" s="2356"/>
      <c r="P3" s="2356"/>
      <c r="Q3" s="2356"/>
      <c r="R3" s="2356"/>
    </row>
    <row r="4" spans="1:29" ht="15">
      <c r="A4" s="429"/>
      <c r="B4" s="1790" t="s">
        <v>2085</v>
      </c>
      <c r="C4" s="3008"/>
      <c r="D4" s="2359"/>
      <c r="E4" s="2361"/>
      <c r="F4" s="42" t="s">
        <v>2086</v>
      </c>
      <c r="G4" s="2938"/>
      <c r="H4" s="2356"/>
      <c r="I4" s="2356"/>
      <c r="J4" s="2356"/>
      <c r="K4" s="2356"/>
      <c r="L4" s="2356"/>
      <c r="M4" s="2356"/>
      <c r="N4" s="2356"/>
      <c r="O4" s="2356"/>
      <c r="P4" s="2356"/>
      <c r="Q4" s="2356"/>
      <c r="R4" s="2356"/>
    </row>
    <row r="5" spans="1:29" ht="15">
      <c r="A5" s="429"/>
      <c r="B5" s="1790" t="s">
        <v>2087</v>
      </c>
      <c r="C5" s="3008"/>
      <c r="D5" s="2359"/>
      <c r="E5" s="2361"/>
      <c r="F5" s="1790" t="s">
        <v>2088</v>
      </c>
      <c r="G5" s="2938"/>
      <c r="H5" s="2356"/>
      <c r="I5" s="2356"/>
      <c r="J5" s="2356"/>
      <c r="K5" s="2356"/>
      <c r="L5" s="2356"/>
      <c r="M5" s="2356"/>
      <c r="N5" s="2356"/>
      <c r="O5" s="2356"/>
      <c r="P5" s="2356"/>
      <c r="Q5" s="2356"/>
      <c r="R5" s="2356"/>
    </row>
    <row r="6" spans="1:29" ht="15">
      <c r="A6" s="429"/>
      <c r="B6" s="1790" t="s">
        <v>2089</v>
      </c>
      <c r="C6" s="2938"/>
      <c r="D6" s="2359"/>
      <c r="E6" s="2361"/>
      <c r="F6" s="1790" t="s">
        <v>2090</v>
      </c>
      <c r="G6" s="2938"/>
      <c r="H6" s="2356"/>
      <c r="I6" s="2356"/>
      <c r="J6" s="2356"/>
      <c r="K6" s="2356"/>
      <c r="L6" s="2356"/>
      <c r="M6" s="2356"/>
      <c r="N6" s="2356"/>
      <c r="O6" s="2356"/>
      <c r="P6" s="2356"/>
      <c r="Q6" s="2356"/>
      <c r="R6" s="2356"/>
    </row>
    <row r="7" spans="1:29" ht="15.75" thickBot="1">
      <c r="A7" s="429"/>
      <c r="B7" s="1790" t="s">
        <v>2088</v>
      </c>
      <c r="C7" s="2938"/>
      <c r="D7" s="2362"/>
      <c r="E7" s="2363"/>
      <c r="F7" s="2364" t="s">
        <v>2091</v>
      </c>
      <c r="G7" s="2941"/>
      <c r="H7" s="2356"/>
      <c r="I7" s="2356"/>
      <c r="J7" s="2356"/>
      <c r="K7" s="2356"/>
      <c r="L7" s="2356"/>
      <c r="M7" s="2356"/>
      <c r="N7" s="2356"/>
      <c r="O7" s="2356"/>
      <c r="P7" s="2356"/>
      <c r="Q7" s="2356"/>
      <c r="R7" s="2356"/>
    </row>
    <row r="8" spans="1:29" ht="15">
      <c r="A8" s="429"/>
      <c r="B8" s="1790" t="s">
        <v>2090</v>
      </c>
      <c r="C8" s="2938"/>
      <c r="D8" s="2362"/>
      <c r="E8" s="2362"/>
      <c r="F8" s="1131"/>
      <c r="G8" s="1131"/>
      <c r="H8" s="2356"/>
      <c r="I8" s="2356"/>
      <c r="J8" s="2356"/>
      <c r="K8" s="2356"/>
      <c r="L8" s="2356"/>
      <c r="M8" s="2356"/>
      <c r="N8" s="2356"/>
      <c r="O8" s="2356"/>
      <c r="P8" s="2356"/>
      <c r="Q8" s="2356"/>
      <c r="R8" s="2356"/>
    </row>
    <row r="9" spans="1:29" ht="15">
      <c r="A9" s="429"/>
      <c r="B9" s="1790" t="s">
        <v>2092</v>
      </c>
      <c r="C9" s="3008"/>
      <c r="D9" s="2359"/>
      <c r="E9" s="2362"/>
      <c r="F9" s="1131"/>
      <c r="G9" s="1131"/>
      <c r="H9" s="2356"/>
      <c r="I9" s="2356"/>
      <c r="J9" s="2356"/>
      <c r="K9" s="2356"/>
      <c r="L9" s="2356"/>
      <c r="M9" s="2356"/>
      <c r="N9" s="2356"/>
      <c r="O9" s="2356"/>
      <c r="P9" s="2356"/>
      <c r="Q9" s="2356"/>
      <c r="R9" s="2356"/>
    </row>
    <row r="10" spans="1:29" s="116" customFormat="1" ht="15.75" thickBot="1">
      <c r="A10" s="2365"/>
      <c r="B10" s="2366" t="s">
        <v>2093</v>
      </c>
      <c r="C10" s="2367"/>
      <c r="D10" s="2359"/>
      <c r="E10" s="2359"/>
      <c r="F10" s="1131"/>
      <c r="G10" s="1131"/>
      <c r="H10" s="2368"/>
      <c r="I10" s="2369"/>
      <c r="J10" s="2370"/>
      <c r="K10" s="2368"/>
      <c r="L10" s="2369"/>
      <c r="M10" s="2370"/>
      <c r="N10" s="2368"/>
      <c r="O10" s="2369"/>
      <c r="P10" s="2370"/>
      <c r="Q10" s="2368"/>
      <c r="R10" s="2369"/>
      <c r="S10" s="2356"/>
      <c r="T10" s="2356"/>
      <c r="U10" s="2356"/>
      <c r="V10" s="2356"/>
      <c r="W10" s="2356"/>
      <c r="X10" s="2356"/>
      <c r="Y10" s="2356"/>
      <c r="Z10" s="2356"/>
      <c r="AA10" s="2356"/>
      <c r="AB10" s="2356"/>
      <c r="AC10" s="2356"/>
    </row>
    <row r="11" spans="1:29" s="116" customFormat="1" ht="15">
      <c r="A11" s="2371"/>
      <c r="B11" s="2362"/>
      <c r="C11" s="2359"/>
      <c r="D11" s="2359"/>
      <c r="E11" s="2359"/>
      <c r="F11" s="2362"/>
      <c r="G11" s="1149"/>
      <c r="H11" s="2368"/>
      <c r="I11" s="2369"/>
      <c r="J11" s="2370"/>
      <c r="K11" s="2368"/>
      <c r="L11" s="2369"/>
      <c r="M11" s="2370"/>
      <c r="N11" s="2368"/>
      <c r="O11" s="2369"/>
      <c r="P11" s="2370"/>
      <c r="Q11" s="2368"/>
      <c r="R11" s="2369"/>
      <c r="S11" s="2356"/>
      <c r="T11" s="2356"/>
      <c r="U11" s="2356"/>
      <c r="V11" s="2356"/>
      <c r="W11" s="2356"/>
      <c r="X11" s="2356"/>
      <c r="Y11" s="2356"/>
      <c r="Z11" s="2356"/>
      <c r="AA11" s="2356"/>
      <c r="AB11" s="2356"/>
      <c r="AC11" s="2356"/>
    </row>
    <row r="12" spans="1:29" s="2350" customFormat="1" ht="18">
      <c r="A12" s="2371"/>
      <c r="B12" s="2362"/>
      <c r="C12" s="2359"/>
      <c r="D12" s="2372"/>
      <c r="E12" s="2359"/>
      <c r="F12" s="2362"/>
      <c r="G12" s="1149"/>
      <c r="H12" s="2373"/>
      <c r="I12" s="2374"/>
      <c r="J12" s="2373"/>
      <c r="K12" s="2373"/>
      <c r="L12" s="2375"/>
      <c r="M12" s="2373"/>
      <c r="N12" s="2376"/>
      <c r="O12" s="2377"/>
      <c r="P12" s="2376"/>
      <c r="Q12" s="2376"/>
      <c r="R12" s="2348"/>
      <c r="S12" s="2349"/>
      <c r="T12" s="2349"/>
      <c r="U12" s="2349"/>
      <c r="V12" s="2349"/>
      <c r="W12" s="2349"/>
      <c r="X12" s="2349"/>
      <c r="Y12" s="2349"/>
      <c r="Z12" s="2349"/>
      <c r="AA12" s="2349"/>
      <c r="AB12" s="2349"/>
      <c r="AC12" s="2349"/>
    </row>
    <row r="13" spans="1:29" ht="19.5" thickBot="1">
      <c r="A13" s="2378" t="s">
        <v>2094</v>
      </c>
      <c r="B13" s="2372"/>
      <c r="C13" s="2372"/>
      <c r="D13" s="2379"/>
      <c r="E13" s="2372"/>
      <c r="F13" s="2372"/>
      <c r="G13" s="2372"/>
    </row>
    <row r="14" spans="1:29" ht="15.75" thickBot="1">
      <c r="A14" s="2383"/>
      <c r="B14" s="2384"/>
      <c r="C14" s="2385" t="s">
        <v>2095</v>
      </c>
      <c r="D14" s="2359"/>
      <c r="E14" s="2386"/>
      <c r="F14" s="2386"/>
      <c r="G14" s="2353" t="s">
        <v>2096</v>
      </c>
    </row>
    <row r="15" spans="1:29" ht="27">
      <c r="A15" s="68" t="s">
        <v>2097</v>
      </c>
      <c r="B15" s="1263" t="s">
        <v>2083</v>
      </c>
      <c r="C15" s="2387">
        <f>C3</f>
        <v>0</v>
      </c>
      <c r="D15" s="2359"/>
      <c r="E15" s="2388" t="s">
        <v>2098</v>
      </c>
      <c r="F15" s="1263" t="s">
        <v>2099</v>
      </c>
      <c r="G15" s="133">
        <f>G3</f>
        <v>0</v>
      </c>
    </row>
    <row r="16" spans="1:29" ht="15">
      <c r="A16" s="643"/>
      <c r="B16" s="2389" t="s">
        <v>2085</v>
      </c>
      <c r="C16" s="2390">
        <f>C4</f>
        <v>0</v>
      </c>
      <c r="D16" s="2359"/>
      <c r="E16" s="2391"/>
      <c r="F16" s="2392" t="s">
        <v>2086</v>
      </c>
      <c r="G16" s="134">
        <f>G4</f>
        <v>0</v>
      </c>
    </row>
    <row r="17" spans="1:18" ht="15">
      <c r="A17" s="643"/>
      <c r="B17" s="2389" t="s">
        <v>2087</v>
      </c>
      <c r="C17" s="2390">
        <f>C5</f>
        <v>0</v>
      </c>
      <c r="D17" s="2362"/>
      <c r="E17" s="2391"/>
      <c r="F17" s="2392" t="s">
        <v>2100</v>
      </c>
      <c r="G17" s="2962"/>
    </row>
    <row r="18" spans="1:18" ht="15">
      <c r="A18" s="643"/>
      <c r="B18" s="2392" t="s">
        <v>2089</v>
      </c>
      <c r="C18" s="134">
        <f>C6</f>
        <v>0</v>
      </c>
      <c r="D18" s="2362"/>
      <c r="E18" s="2391"/>
      <c r="F18" s="2392" t="s">
        <v>2091</v>
      </c>
      <c r="G18" s="134">
        <f>G7</f>
        <v>0</v>
      </c>
    </row>
    <row r="19" spans="1:18" ht="15">
      <c r="A19" s="643"/>
      <c r="B19" s="2392" t="s">
        <v>2101</v>
      </c>
      <c r="C19" s="2962"/>
      <c r="D19" s="2359"/>
      <c r="E19" s="2391"/>
      <c r="F19" s="1790" t="s">
        <v>2088</v>
      </c>
      <c r="G19" s="134">
        <f>G5</f>
        <v>0</v>
      </c>
    </row>
    <row r="20" spans="1:18" ht="15">
      <c r="A20" s="643"/>
      <c r="B20" s="2392" t="s">
        <v>2102</v>
      </c>
      <c r="C20" s="2390">
        <f>C9</f>
        <v>0</v>
      </c>
      <c r="D20" s="2362"/>
      <c r="E20" s="2391"/>
      <c r="F20" s="1790" t="s">
        <v>2103</v>
      </c>
      <c r="G20" s="134">
        <f>G6</f>
        <v>0</v>
      </c>
    </row>
    <row r="21" spans="1:18" ht="15">
      <c r="A21" s="643"/>
      <c r="B21" s="1790" t="s">
        <v>2088</v>
      </c>
      <c r="C21" s="134">
        <f>C7</f>
        <v>0</v>
      </c>
      <c r="D21" s="2359"/>
      <c r="E21" s="2391"/>
      <c r="F21" s="2392" t="s">
        <v>2104</v>
      </c>
      <c r="G21" s="2393" t="s">
        <v>3118</v>
      </c>
    </row>
    <row r="22" spans="1:18" ht="13.5" customHeight="1">
      <c r="A22" s="643"/>
      <c r="B22" s="1790" t="s">
        <v>2090</v>
      </c>
      <c r="C22" s="134">
        <f>C8</f>
        <v>0</v>
      </c>
      <c r="D22" s="2359"/>
      <c r="E22" s="2391"/>
      <c r="F22" s="2392" t="s">
        <v>2093</v>
      </c>
      <c r="G22" s="1564"/>
    </row>
    <row r="23" spans="1:18" s="2356" customFormat="1" ht="15.75" thickBot="1">
      <c r="A23" s="643"/>
      <c r="B23" s="2392" t="s">
        <v>2104</v>
      </c>
      <c r="C23" s="2393" t="s">
        <v>3245</v>
      </c>
      <c r="D23" s="2380"/>
      <c r="E23" s="2394"/>
      <c r="F23" s="2395" t="s">
        <v>2105</v>
      </c>
      <c r="G23" s="2396"/>
      <c r="H23" s="2380"/>
      <c r="I23" s="2381"/>
      <c r="J23" s="2380"/>
      <c r="K23" s="2380"/>
      <c r="L23" s="2381"/>
      <c r="M23" s="2380"/>
      <c r="N23" s="2380"/>
      <c r="O23" s="2381"/>
      <c r="P23" s="2380"/>
      <c r="Q23" s="2380"/>
      <c r="R23" s="2382"/>
    </row>
    <row r="24" spans="1:18" s="2356" customFormat="1" ht="15.75" thickBot="1">
      <c r="A24" s="2397"/>
      <c r="B24" s="2395" t="s">
        <v>2106</v>
      </c>
      <c r="C24" s="135">
        <f>C10</f>
        <v>0</v>
      </c>
      <c r="D24" s="2380"/>
      <c r="E24" s="2398"/>
      <c r="F24" s="2398"/>
      <c r="G24" s="2399"/>
      <c r="H24" s="2380"/>
      <c r="I24" s="2381"/>
      <c r="J24" s="2380"/>
      <c r="K24" s="2380"/>
      <c r="L24" s="2381"/>
      <c r="M24" s="2380"/>
      <c r="N24" s="2380"/>
      <c r="O24" s="2381"/>
      <c r="P24" s="2380"/>
      <c r="Q24" s="2380"/>
      <c r="R24" s="2382"/>
    </row>
    <row r="25" spans="1:18" s="2356" customFormat="1">
      <c r="B25" s="2380"/>
      <c r="C25" s="2380"/>
      <c r="D25" s="2380"/>
      <c r="H25" s="2380"/>
      <c r="I25" s="2381"/>
      <c r="J25" s="2380"/>
      <c r="K25" s="2380"/>
      <c r="L25" s="2381"/>
      <c r="M25" s="2380"/>
      <c r="N25" s="2380"/>
      <c r="O25" s="2381"/>
      <c r="P25" s="2380"/>
      <c r="Q25" s="2380"/>
      <c r="R25" s="2382"/>
    </row>
    <row r="26" spans="1:18" s="2356" customFormat="1">
      <c r="B26" s="2380"/>
      <c r="C26" s="2380"/>
      <c r="D26" s="2380"/>
      <c r="H26" s="2380"/>
      <c r="I26" s="2381"/>
      <c r="J26" s="2380"/>
      <c r="K26" s="2380"/>
      <c r="L26" s="2381"/>
      <c r="M26" s="2380"/>
      <c r="N26" s="2380"/>
      <c r="O26" s="2381"/>
      <c r="P26" s="2380"/>
      <c r="Q26" s="2380"/>
      <c r="R26" s="2382"/>
    </row>
    <row r="27" spans="1:18" s="2356" customFormat="1">
      <c r="B27" s="2380"/>
      <c r="C27" s="2380"/>
      <c r="D27" s="2380"/>
      <c r="H27" s="2380"/>
      <c r="I27" s="2381"/>
      <c r="J27" s="2380"/>
      <c r="K27" s="2380"/>
      <c r="L27" s="2381"/>
      <c r="M27" s="2380"/>
      <c r="N27" s="2380"/>
      <c r="O27" s="2381"/>
      <c r="P27" s="2380"/>
      <c r="Q27" s="2380"/>
      <c r="R27" s="2382"/>
    </row>
    <row r="28" spans="1:18" s="2356" customFormat="1">
      <c r="B28" s="2380"/>
      <c r="C28" s="2380"/>
      <c r="D28" s="2380"/>
      <c r="H28" s="2380"/>
      <c r="I28" s="2381"/>
      <c r="J28" s="2380"/>
      <c r="K28" s="2380"/>
      <c r="L28" s="2381"/>
      <c r="M28" s="2380"/>
      <c r="N28" s="2380"/>
      <c r="O28" s="2381"/>
      <c r="P28" s="2380"/>
      <c r="Q28" s="2380"/>
      <c r="R28" s="2382"/>
    </row>
    <row r="29" spans="1:18" s="2356" customFormat="1">
      <c r="B29" s="2380"/>
      <c r="C29" s="2380"/>
      <c r="D29" s="2380"/>
      <c r="H29" s="2380"/>
      <c r="I29" s="2381"/>
      <c r="J29" s="2380"/>
      <c r="K29" s="2380"/>
      <c r="L29" s="2381"/>
      <c r="M29" s="2380"/>
      <c r="N29" s="2380"/>
      <c r="O29" s="2381"/>
      <c r="P29" s="2380"/>
      <c r="Q29" s="2380"/>
      <c r="R29" s="2382"/>
    </row>
    <row r="30" spans="1:18" s="2356" customFormat="1">
      <c r="B30" s="2380"/>
      <c r="C30" s="2380"/>
      <c r="D30" s="2380"/>
      <c r="H30" s="2380"/>
      <c r="I30" s="2381"/>
      <c r="J30" s="2380"/>
      <c r="K30" s="2380"/>
      <c r="L30" s="2381"/>
      <c r="M30" s="2380"/>
      <c r="N30" s="2380"/>
      <c r="O30" s="2381"/>
      <c r="P30" s="2380"/>
      <c r="Q30" s="2380"/>
      <c r="R30" s="2382"/>
    </row>
    <row r="31" spans="1:18" s="2356" customFormat="1">
      <c r="B31" s="2380"/>
      <c r="C31" s="2380"/>
      <c r="D31" s="2380"/>
      <c r="H31" s="2380"/>
      <c r="I31" s="2381"/>
      <c r="J31" s="2380"/>
      <c r="K31" s="2380"/>
      <c r="L31" s="2381"/>
      <c r="M31" s="2380"/>
      <c r="N31" s="2380"/>
      <c r="O31" s="2381"/>
      <c r="P31" s="2380"/>
      <c r="Q31" s="2380"/>
      <c r="R31" s="2382"/>
    </row>
    <row r="32" spans="1:18" s="2356" customFormat="1">
      <c r="B32" s="2380"/>
      <c r="C32" s="2380"/>
      <c r="D32" s="2380"/>
      <c r="H32" s="2380"/>
      <c r="I32" s="2381"/>
      <c r="J32" s="2380"/>
      <c r="K32" s="2380"/>
      <c r="L32" s="2381"/>
      <c r="M32" s="2380"/>
      <c r="N32" s="2380"/>
      <c r="O32" s="2381"/>
      <c r="P32" s="2380"/>
      <c r="Q32" s="2380"/>
      <c r="R32" s="2382"/>
    </row>
    <row r="33" spans="2:18" s="2356" customFormat="1">
      <c r="B33" s="2380"/>
      <c r="C33" s="2380"/>
      <c r="D33" s="2380"/>
      <c r="H33" s="2380"/>
      <c r="I33" s="2381"/>
      <c r="J33" s="2380"/>
      <c r="K33" s="2380"/>
      <c r="L33" s="2381"/>
      <c r="M33" s="2380"/>
      <c r="N33" s="2380"/>
      <c r="O33" s="2381"/>
      <c r="P33" s="2380"/>
      <c r="Q33" s="2380"/>
      <c r="R33" s="2382"/>
    </row>
    <row r="34" spans="2:18" s="2356" customFormat="1">
      <c r="B34" s="2380"/>
      <c r="C34" s="2380"/>
      <c r="D34" s="2380"/>
      <c r="H34" s="2380"/>
      <c r="I34" s="2381"/>
      <c r="J34" s="2380"/>
      <c r="K34" s="2380"/>
      <c r="L34" s="2381"/>
      <c r="M34" s="2380"/>
      <c r="N34" s="2380"/>
      <c r="O34" s="2381"/>
      <c r="P34" s="2380"/>
      <c r="Q34" s="2380"/>
      <c r="R34" s="2382"/>
    </row>
    <row r="35" spans="2:18" s="2356" customFormat="1">
      <c r="B35" s="2380"/>
      <c r="C35" s="2380"/>
      <c r="D35" s="2380"/>
      <c r="H35" s="2380"/>
      <c r="I35" s="2381"/>
      <c r="J35" s="2380"/>
      <c r="K35" s="2380"/>
      <c r="L35" s="2381"/>
      <c r="M35" s="2380"/>
      <c r="N35" s="2380"/>
      <c r="O35" s="2381"/>
      <c r="P35" s="2380"/>
      <c r="Q35" s="2380"/>
      <c r="R35" s="2382"/>
    </row>
    <row r="36" spans="2:18" s="2356" customFormat="1">
      <c r="B36" s="2380"/>
      <c r="C36" s="2380"/>
      <c r="D36" s="2380"/>
      <c r="H36" s="2380"/>
      <c r="I36" s="2381"/>
      <c r="J36" s="2380"/>
      <c r="K36" s="2380"/>
      <c r="L36" s="2381"/>
      <c r="M36" s="2380"/>
      <c r="N36" s="2380"/>
      <c r="O36" s="2381"/>
      <c r="P36" s="2380"/>
      <c r="Q36" s="2380"/>
      <c r="R36" s="2382"/>
    </row>
    <row r="37" spans="2:18" s="2356" customFormat="1">
      <c r="B37" s="2380"/>
      <c r="C37" s="2380"/>
      <c r="D37" s="2380"/>
      <c r="H37" s="2380"/>
      <c r="I37" s="2381"/>
      <c r="J37" s="2380"/>
      <c r="K37" s="2380"/>
      <c r="L37" s="2381"/>
      <c r="M37" s="2380"/>
      <c r="N37" s="2380"/>
      <c r="O37" s="2381"/>
      <c r="P37" s="2380"/>
      <c r="Q37" s="2380"/>
      <c r="R37" s="2382"/>
    </row>
    <row r="38" spans="2:18" s="2356" customFormat="1">
      <c r="B38" s="2380"/>
      <c r="C38" s="2380"/>
      <c r="D38" s="2380"/>
      <c r="E38" s="2380"/>
      <c r="F38" s="2380"/>
      <c r="G38" s="2381"/>
      <c r="H38" s="2380"/>
      <c r="I38" s="2381"/>
      <c r="J38" s="2380"/>
      <c r="K38" s="2380"/>
      <c r="L38" s="2381"/>
      <c r="M38" s="2380"/>
      <c r="N38" s="2380"/>
      <c r="O38" s="2381"/>
      <c r="P38" s="2380"/>
      <c r="Q38" s="2380"/>
      <c r="R38" s="2382"/>
    </row>
    <row r="39" spans="2:18" s="2356" customFormat="1">
      <c r="B39" s="2380"/>
      <c r="C39" s="2380"/>
      <c r="D39" s="2380"/>
      <c r="E39" s="2380"/>
      <c r="F39" s="2380"/>
      <c r="G39" s="2381"/>
      <c r="H39" s="2380"/>
      <c r="I39" s="2381"/>
      <c r="J39" s="2380"/>
      <c r="K39" s="2380"/>
      <c r="L39" s="2381"/>
      <c r="M39" s="2380"/>
      <c r="N39" s="2380"/>
      <c r="O39" s="2381"/>
      <c r="P39" s="2380"/>
      <c r="Q39" s="2380"/>
      <c r="R39" s="2382"/>
    </row>
    <row r="40" spans="2:18" s="2356" customFormat="1">
      <c r="B40" s="2380"/>
      <c r="C40" s="2380"/>
      <c r="D40" s="2380"/>
      <c r="E40" s="2380"/>
      <c r="F40" s="2380"/>
      <c r="G40" s="2381"/>
      <c r="H40" s="2380"/>
      <c r="I40" s="2381"/>
      <c r="J40" s="2380"/>
      <c r="K40" s="2380"/>
      <c r="L40" s="2381"/>
      <c r="M40" s="2380"/>
      <c r="N40" s="2380"/>
      <c r="O40" s="2381"/>
      <c r="P40" s="2380"/>
      <c r="Q40" s="2380"/>
      <c r="R40" s="2382"/>
    </row>
    <row r="41" spans="2:18" s="2356" customFormat="1">
      <c r="B41" s="2380"/>
      <c r="C41" s="2380"/>
      <c r="D41" s="2380"/>
      <c r="E41" s="2380"/>
      <c r="F41" s="2380"/>
      <c r="G41" s="2381"/>
      <c r="H41" s="2380"/>
      <c r="I41" s="2381"/>
      <c r="J41" s="2380"/>
      <c r="K41" s="2380"/>
      <c r="L41" s="2381"/>
      <c r="M41" s="2380"/>
      <c r="N41" s="2380"/>
      <c r="O41" s="2381"/>
      <c r="P41" s="2380"/>
      <c r="Q41" s="2380"/>
      <c r="R41" s="2382"/>
    </row>
    <row r="42" spans="2:18" s="2356" customFormat="1">
      <c r="B42" s="2380"/>
      <c r="C42" s="2380"/>
      <c r="D42" s="2380"/>
      <c r="E42" s="2380"/>
      <c r="F42" s="2380"/>
      <c r="G42" s="2381"/>
      <c r="H42" s="2380"/>
      <c r="I42" s="2381"/>
      <c r="J42" s="2380"/>
      <c r="K42" s="2380"/>
      <c r="L42" s="2381"/>
      <c r="M42" s="2380"/>
      <c r="N42" s="2380"/>
      <c r="O42" s="2381"/>
      <c r="P42" s="2380"/>
      <c r="Q42" s="2380"/>
      <c r="R42" s="2382"/>
    </row>
    <row r="43" spans="2:18" s="2356" customFormat="1">
      <c r="B43" s="2380"/>
      <c r="C43" s="2380"/>
      <c r="D43" s="2380"/>
      <c r="E43" s="2380"/>
      <c r="F43" s="2380"/>
      <c r="G43" s="2381"/>
      <c r="H43" s="2380"/>
      <c r="I43" s="2381"/>
      <c r="J43" s="2380"/>
      <c r="K43" s="2380"/>
      <c r="L43" s="2381"/>
      <c r="M43" s="2380"/>
      <c r="N43" s="2380"/>
      <c r="O43" s="2381"/>
      <c r="P43" s="2380"/>
      <c r="Q43" s="2380"/>
      <c r="R43" s="2382"/>
    </row>
    <row r="44" spans="2:18" s="2356" customFormat="1">
      <c r="B44" s="2380"/>
      <c r="C44" s="2380"/>
      <c r="D44" s="2380"/>
      <c r="E44" s="2380"/>
      <c r="F44" s="2380"/>
      <c r="G44" s="2381"/>
      <c r="H44" s="2380"/>
      <c r="I44" s="2381"/>
      <c r="J44" s="2380"/>
      <c r="K44" s="2380"/>
      <c r="L44" s="2381"/>
      <c r="M44" s="2380"/>
      <c r="N44" s="2380"/>
      <c r="O44" s="2381"/>
      <c r="P44" s="2380"/>
      <c r="Q44" s="2380"/>
      <c r="R44" s="2382"/>
    </row>
    <row r="45" spans="2:18" s="2356" customFormat="1">
      <c r="B45" s="2380"/>
      <c r="C45" s="2380"/>
      <c r="D45" s="2380"/>
      <c r="E45" s="2380"/>
      <c r="F45" s="2380"/>
      <c r="G45" s="2381"/>
      <c r="H45" s="2380"/>
      <c r="I45" s="2381"/>
      <c r="J45" s="2380"/>
      <c r="K45" s="2380"/>
      <c r="L45" s="2381"/>
      <c r="M45" s="2380"/>
      <c r="N45" s="2380"/>
      <c r="O45" s="2381"/>
      <c r="P45" s="2380"/>
      <c r="Q45" s="2380"/>
      <c r="R45" s="2382"/>
    </row>
    <row r="46" spans="2:18" s="2356" customFormat="1">
      <c r="B46" s="2380"/>
      <c r="C46" s="2380"/>
      <c r="D46" s="2380"/>
      <c r="E46" s="2380"/>
      <c r="F46" s="2380"/>
      <c r="G46" s="2381"/>
      <c r="H46" s="2380"/>
      <c r="I46" s="2381"/>
      <c r="J46" s="2380"/>
      <c r="K46" s="2380"/>
      <c r="L46" s="2381"/>
      <c r="M46" s="2380"/>
      <c r="N46" s="2380"/>
      <c r="O46" s="2381"/>
      <c r="P46" s="2380"/>
      <c r="Q46" s="2380"/>
      <c r="R46" s="2382"/>
    </row>
    <row r="47" spans="2:18" s="2356" customFormat="1">
      <c r="B47" s="2380"/>
      <c r="C47" s="2380"/>
      <c r="D47" s="2380"/>
      <c r="E47" s="2380"/>
      <c r="F47" s="2380"/>
      <c r="G47" s="2381"/>
      <c r="H47" s="2380"/>
      <c r="I47" s="2381"/>
      <c r="J47" s="2380"/>
      <c r="K47" s="2380"/>
      <c r="L47" s="2381"/>
      <c r="M47" s="2380"/>
      <c r="N47" s="2380"/>
      <c r="O47" s="2381"/>
      <c r="P47" s="2380"/>
      <c r="Q47" s="2380"/>
      <c r="R47" s="2382"/>
    </row>
    <row r="48" spans="2:18" s="2356" customFormat="1">
      <c r="B48" s="2380"/>
      <c r="C48" s="2380"/>
      <c r="D48" s="2380"/>
      <c r="E48" s="2380"/>
      <c r="F48" s="2380"/>
      <c r="G48" s="2381"/>
      <c r="H48" s="2380"/>
      <c r="I48" s="2381"/>
      <c r="J48" s="2380"/>
      <c r="K48" s="2380"/>
      <c r="L48" s="2381"/>
      <c r="M48" s="2380"/>
      <c r="N48" s="2380"/>
      <c r="O48" s="2381"/>
      <c r="P48" s="2380"/>
      <c r="Q48" s="2380"/>
      <c r="R48" s="2382"/>
    </row>
    <row r="49" spans="2:18" s="2356" customFormat="1">
      <c r="B49" s="2380"/>
      <c r="C49" s="2380"/>
      <c r="D49" s="2380"/>
      <c r="E49" s="2380"/>
      <c r="F49" s="2380"/>
      <c r="G49" s="2381"/>
      <c r="H49" s="2380"/>
      <c r="I49" s="2381"/>
      <c r="J49" s="2380"/>
      <c r="K49" s="2380"/>
      <c r="L49" s="2381"/>
      <c r="M49" s="2380"/>
      <c r="N49" s="2380"/>
      <c r="O49" s="2381"/>
      <c r="P49" s="2380"/>
      <c r="Q49" s="2380"/>
      <c r="R49" s="2382"/>
    </row>
    <row r="50" spans="2:18" s="2356" customFormat="1">
      <c r="B50" s="2380"/>
      <c r="C50" s="2380"/>
      <c r="D50" s="2380"/>
      <c r="E50" s="2380"/>
      <c r="F50" s="2380"/>
      <c r="G50" s="2381"/>
      <c r="H50" s="2380"/>
      <c r="I50" s="2381"/>
      <c r="J50" s="2380"/>
      <c r="K50" s="2380"/>
      <c r="L50" s="2381"/>
      <c r="M50" s="2380"/>
      <c r="N50" s="2380"/>
      <c r="O50" s="2381"/>
      <c r="P50" s="2380"/>
      <c r="Q50" s="2380"/>
      <c r="R50" s="2382"/>
    </row>
    <row r="51" spans="2:18" s="2356" customFormat="1">
      <c r="B51" s="2380"/>
      <c r="C51" s="2380"/>
      <c r="D51" s="2380"/>
      <c r="E51" s="2380"/>
      <c r="F51" s="2380"/>
      <c r="G51" s="2381"/>
      <c r="H51" s="2380"/>
      <c r="I51" s="2381"/>
      <c r="J51" s="2380"/>
      <c r="K51" s="2380"/>
      <c r="L51" s="2381"/>
      <c r="M51" s="2380"/>
      <c r="N51" s="2380"/>
      <c r="O51" s="2381"/>
      <c r="P51" s="2380"/>
      <c r="Q51" s="2380"/>
      <c r="R51" s="2382"/>
    </row>
    <row r="52" spans="2:18" s="2356" customFormat="1">
      <c r="B52" s="2380"/>
      <c r="C52" s="2380"/>
      <c r="D52" s="2380"/>
      <c r="E52" s="2380"/>
      <c r="F52" s="2380"/>
      <c r="G52" s="2381"/>
      <c r="H52" s="2380"/>
      <c r="I52" s="2381"/>
      <c r="J52" s="2380"/>
      <c r="K52" s="2380"/>
      <c r="L52" s="2381"/>
      <c r="M52" s="2380"/>
      <c r="N52" s="2380"/>
      <c r="O52" s="2381"/>
      <c r="P52" s="2380"/>
      <c r="Q52" s="2380"/>
      <c r="R52" s="2382"/>
    </row>
    <row r="53" spans="2:18" s="2356" customFormat="1">
      <c r="B53" s="2380"/>
      <c r="C53" s="2380"/>
      <c r="D53" s="2380"/>
      <c r="E53" s="2380"/>
      <c r="F53" s="2380"/>
      <c r="G53" s="2381"/>
      <c r="H53" s="2380"/>
      <c r="I53" s="2381"/>
      <c r="J53" s="2380"/>
      <c r="K53" s="2380"/>
      <c r="L53" s="2381"/>
      <c r="M53" s="2380"/>
      <c r="N53" s="2380"/>
      <c r="O53" s="2381"/>
      <c r="P53" s="2380"/>
      <c r="Q53" s="2380"/>
      <c r="R53" s="2382"/>
    </row>
    <row r="54" spans="2:18" s="2356" customFormat="1">
      <c r="B54" s="2380"/>
      <c r="C54" s="2380"/>
      <c r="D54" s="2380"/>
      <c r="E54" s="2380"/>
      <c r="F54" s="2380"/>
      <c r="G54" s="2381"/>
      <c r="H54" s="2380"/>
      <c r="I54" s="2381"/>
      <c r="J54" s="2380"/>
      <c r="K54" s="2380"/>
      <c r="L54" s="2381"/>
      <c r="M54" s="2380"/>
      <c r="N54" s="2380"/>
      <c r="O54" s="2381"/>
      <c r="P54" s="2380"/>
      <c r="Q54" s="2380"/>
      <c r="R54" s="2382"/>
    </row>
    <row r="55" spans="2:18" s="2356" customFormat="1">
      <c r="B55" s="2380"/>
      <c r="C55" s="2380"/>
      <c r="D55" s="2380"/>
      <c r="E55" s="2380"/>
      <c r="F55" s="2380"/>
      <c r="G55" s="2381"/>
      <c r="H55" s="2380"/>
      <c r="I55" s="2381"/>
      <c r="J55" s="2380"/>
      <c r="K55" s="2380"/>
      <c r="L55" s="2381"/>
      <c r="M55" s="2380"/>
      <c r="N55" s="2380"/>
      <c r="O55" s="2381"/>
      <c r="P55" s="2380"/>
      <c r="Q55" s="2380"/>
      <c r="R55" s="2382"/>
    </row>
    <row r="56" spans="2:18" s="2356" customFormat="1">
      <c r="B56" s="2380"/>
      <c r="C56" s="2380"/>
      <c r="D56" s="2380"/>
      <c r="E56" s="2380"/>
      <c r="F56" s="2380"/>
      <c r="G56" s="2381"/>
      <c r="H56" s="2380"/>
      <c r="I56" s="2381"/>
      <c r="J56" s="2380"/>
      <c r="K56" s="2380"/>
      <c r="L56" s="2381"/>
      <c r="M56" s="2380"/>
      <c r="N56" s="2380"/>
      <c r="O56" s="2381"/>
      <c r="P56" s="2380"/>
      <c r="Q56" s="2380"/>
      <c r="R56" s="2382"/>
    </row>
    <row r="57" spans="2:18" s="2356" customFormat="1">
      <c r="B57" s="2380"/>
      <c r="C57" s="2380"/>
      <c r="D57" s="2380"/>
      <c r="E57" s="2380"/>
      <c r="F57" s="2380"/>
      <c r="G57" s="2381"/>
      <c r="H57" s="2380"/>
      <c r="I57" s="2381"/>
      <c r="J57" s="2380"/>
      <c r="K57" s="2380"/>
      <c r="L57" s="2381"/>
      <c r="M57" s="2380"/>
      <c r="N57" s="2380"/>
      <c r="O57" s="2381"/>
      <c r="P57" s="2380"/>
      <c r="Q57" s="2380"/>
      <c r="R57" s="2382"/>
    </row>
    <row r="58" spans="2:18" s="2356" customFormat="1">
      <c r="B58" s="2380"/>
      <c r="C58" s="2380"/>
      <c r="D58" s="2380"/>
      <c r="E58" s="2380"/>
      <c r="F58" s="2380"/>
      <c r="G58" s="2381"/>
      <c r="H58" s="2380"/>
      <c r="I58" s="2381"/>
      <c r="J58" s="2380"/>
      <c r="K58" s="2380"/>
      <c r="L58" s="2381"/>
      <c r="M58" s="2380"/>
      <c r="N58" s="2380"/>
      <c r="O58" s="2381"/>
      <c r="P58" s="2380"/>
      <c r="Q58" s="2380"/>
      <c r="R58" s="2382"/>
    </row>
    <row r="59" spans="2:18" s="2356" customFormat="1">
      <c r="B59" s="2380"/>
      <c r="C59" s="2380"/>
      <c r="D59" s="2380"/>
      <c r="E59" s="2380"/>
      <c r="F59" s="2380"/>
      <c r="G59" s="2381"/>
      <c r="H59" s="2380"/>
      <c r="I59" s="2381"/>
      <c r="J59" s="2380"/>
      <c r="K59" s="2380"/>
      <c r="L59" s="2381"/>
      <c r="M59" s="2380"/>
      <c r="N59" s="2380"/>
      <c r="O59" s="2381"/>
      <c r="P59" s="2380"/>
      <c r="Q59" s="2380"/>
      <c r="R59" s="2382"/>
    </row>
    <row r="60" spans="2:18" s="2356" customFormat="1">
      <c r="B60" s="2380"/>
      <c r="C60" s="2380"/>
      <c r="D60" s="2380"/>
      <c r="E60" s="2380"/>
      <c r="F60" s="2380"/>
      <c r="G60" s="2381"/>
      <c r="H60" s="2380"/>
      <c r="I60" s="2381"/>
      <c r="J60" s="2380"/>
      <c r="K60" s="2380"/>
      <c r="L60" s="2381"/>
      <c r="M60" s="2380"/>
      <c r="N60" s="2380"/>
      <c r="O60" s="2381"/>
      <c r="P60" s="2380"/>
      <c r="Q60" s="2380"/>
      <c r="R60" s="2382"/>
    </row>
    <row r="61" spans="2:18" s="2356" customFormat="1">
      <c r="B61" s="2380"/>
      <c r="C61" s="2380"/>
      <c r="D61" s="2380"/>
      <c r="E61" s="2380"/>
      <c r="F61" s="2380"/>
      <c r="G61" s="2381"/>
      <c r="H61" s="2380"/>
      <c r="I61" s="2381"/>
      <c r="J61" s="2380"/>
      <c r="K61" s="2380"/>
      <c r="L61" s="2381"/>
      <c r="M61" s="2380"/>
      <c r="N61" s="2380"/>
      <c r="O61" s="2381"/>
      <c r="P61" s="2380"/>
      <c r="Q61" s="2380"/>
      <c r="R61" s="2382"/>
    </row>
    <row r="62" spans="2:18" s="2356" customFormat="1">
      <c r="B62" s="2380"/>
      <c r="C62" s="2380"/>
      <c r="D62" s="2380"/>
      <c r="E62" s="2380"/>
      <c r="F62" s="2380"/>
      <c r="G62" s="2381"/>
      <c r="H62" s="2380"/>
      <c r="I62" s="2381"/>
      <c r="J62" s="2380"/>
      <c r="K62" s="2380"/>
      <c r="L62" s="2381"/>
      <c r="M62" s="2380"/>
      <c r="N62" s="2380"/>
      <c r="O62" s="2381"/>
      <c r="P62" s="2380"/>
      <c r="Q62" s="2380"/>
      <c r="R62" s="2382"/>
    </row>
    <row r="63" spans="2:18" s="2356" customFormat="1">
      <c r="B63" s="2380"/>
      <c r="C63" s="2380"/>
      <c r="D63" s="2380"/>
      <c r="E63" s="2380"/>
      <c r="F63" s="2380"/>
      <c r="G63" s="2381"/>
      <c r="H63" s="2380"/>
      <c r="I63" s="2381"/>
      <c r="J63" s="2380"/>
      <c r="K63" s="2380"/>
      <c r="L63" s="2381"/>
      <c r="M63" s="2380"/>
      <c r="N63" s="2380"/>
      <c r="O63" s="2381"/>
      <c r="P63" s="2380"/>
      <c r="Q63" s="2380"/>
      <c r="R63" s="2382"/>
    </row>
    <row r="64" spans="2:18" s="2356" customFormat="1">
      <c r="B64" s="2380"/>
      <c r="C64" s="2380"/>
      <c r="D64" s="2380"/>
      <c r="E64" s="2380"/>
      <c r="F64" s="2380"/>
      <c r="G64" s="2381"/>
      <c r="H64" s="2380"/>
      <c r="I64" s="2381"/>
      <c r="J64" s="2380"/>
      <c r="K64" s="2380"/>
      <c r="L64" s="2381"/>
      <c r="M64" s="2380"/>
      <c r="N64" s="2380"/>
      <c r="O64" s="2381"/>
      <c r="P64" s="2380"/>
      <c r="Q64" s="2380"/>
      <c r="R64" s="2382"/>
    </row>
    <row r="65" spans="2:18" s="2356" customFormat="1">
      <c r="B65" s="2380"/>
      <c r="C65" s="2380"/>
      <c r="D65" s="2380"/>
      <c r="E65" s="2380"/>
      <c r="F65" s="2380"/>
      <c r="G65" s="2381"/>
      <c r="H65" s="2380"/>
      <c r="I65" s="2381"/>
      <c r="J65" s="2380"/>
      <c r="K65" s="2380"/>
      <c r="L65" s="2381"/>
      <c r="M65" s="2380"/>
      <c r="N65" s="2380"/>
      <c r="O65" s="2381"/>
      <c r="P65" s="2380"/>
      <c r="Q65" s="2380"/>
      <c r="R65" s="2382"/>
    </row>
    <row r="66" spans="2:18" s="2356" customFormat="1">
      <c r="B66" s="2380"/>
      <c r="C66" s="2380"/>
      <c r="D66" s="2380"/>
      <c r="E66" s="2380"/>
      <c r="F66" s="2380"/>
      <c r="G66" s="2381"/>
      <c r="H66" s="2380"/>
      <c r="I66" s="2381"/>
      <c r="J66" s="2380"/>
      <c r="K66" s="2380"/>
      <c r="L66" s="2381"/>
      <c r="M66" s="2380"/>
      <c r="N66" s="2380"/>
      <c r="O66" s="2381"/>
      <c r="P66" s="2380"/>
      <c r="Q66" s="2380"/>
      <c r="R66" s="2382"/>
    </row>
    <row r="67" spans="2:18" s="2356" customFormat="1">
      <c r="B67" s="2380"/>
      <c r="C67" s="2380"/>
      <c r="D67" s="2380"/>
      <c r="E67" s="2380"/>
      <c r="F67" s="2380"/>
      <c r="G67" s="2381"/>
      <c r="H67" s="2380"/>
      <c r="I67" s="2381"/>
      <c r="J67" s="2380"/>
      <c r="K67" s="2380"/>
      <c r="L67" s="2381"/>
      <c r="M67" s="2380"/>
      <c r="N67" s="2380"/>
      <c r="O67" s="2381"/>
      <c r="P67" s="2380"/>
      <c r="Q67" s="2380"/>
      <c r="R67" s="2382"/>
    </row>
    <row r="68" spans="2:18" s="2356" customFormat="1">
      <c r="B68" s="2380"/>
      <c r="C68" s="2380"/>
      <c r="D68" s="2380"/>
      <c r="E68" s="2380"/>
      <c r="F68" s="2380"/>
      <c r="G68" s="2381"/>
      <c r="H68" s="2380"/>
      <c r="I68" s="2381"/>
      <c r="J68" s="2380"/>
      <c r="K68" s="2380"/>
      <c r="L68" s="2381"/>
      <c r="M68" s="2380"/>
      <c r="N68" s="2380"/>
      <c r="O68" s="2381"/>
      <c r="P68" s="2380"/>
      <c r="Q68" s="2380"/>
      <c r="R68" s="2382"/>
    </row>
    <row r="69" spans="2:18" s="2356" customFormat="1">
      <c r="B69" s="2380"/>
      <c r="C69" s="2380"/>
      <c r="D69" s="2380"/>
      <c r="E69" s="2380"/>
      <c r="F69" s="2380"/>
      <c r="G69" s="2381"/>
      <c r="H69" s="2380"/>
      <c r="I69" s="2381"/>
      <c r="J69" s="2380"/>
      <c r="K69" s="2380"/>
      <c r="L69" s="2381"/>
      <c r="M69" s="2380"/>
      <c r="N69" s="2380"/>
      <c r="O69" s="2381"/>
      <c r="P69" s="2380"/>
      <c r="Q69" s="2380"/>
      <c r="R69" s="2382"/>
    </row>
    <row r="70" spans="2:18" s="2356" customFormat="1">
      <c r="B70" s="2380"/>
      <c r="C70" s="2380"/>
      <c r="D70" s="2380"/>
      <c r="E70" s="2380"/>
      <c r="F70" s="2380"/>
      <c r="G70" s="2381"/>
      <c r="H70" s="2380"/>
      <c r="I70" s="2381"/>
      <c r="J70" s="2380"/>
      <c r="K70" s="2380"/>
      <c r="L70" s="2381"/>
      <c r="M70" s="2380"/>
      <c r="N70" s="2380"/>
      <c r="O70" s="2381"/>
      <c r="P70" s="2380"/>
      <c r="Q70" s="2380"/>
      <c r="R70" s="2382"/>
    </row>
    <row r="71" spans="2:18" s="2356" customFormat="1">
      <c r="B71" s="2380"/>
      <c r="C71" s="2380"/>
      <c r="D71" s="2380"/>
      <c r="E71" s="2380"/>
      <c r="F71" s="2380"/>
      <c r="G71" s="2381"/>
      <c r="H71" s="2380"/>
      <c r="I71" s="2381"/>
      <c r="J71" s="2380"/>
      <c r="K71" s="2380"/>
      <c r="L71" s="2381"/>
      <c r="M71" s="2380"/>
      <c r="N71" s="2380"/>
      <c r="O71" s="2381"/>
      <c r="P71" s="2380"/>
      <c r="Q71" s="2380"/>
      <c r="R71" s="2382"/>
    </row>
    <row r="72" spans="2:18" s="2356" customFormat="1">
      <c r="B72" s="2380"/>
      <c r="C72" s="2380"/>
      <c r="D72" s="2380"/>
      <c r="E72" s="2380"/>
      <c r="F72" s="2380"/>
      <c r="G72" s="2381"/>
      <c r="H72" s="2380"/>
      <c r="I72" s="2381"/>
      <c r="J72" s="2380"/>
      <c r="K72" s="2380"/>
      <c r="L72" s="2381"/>
      <c r="M72" s="2380"/>
      <c r="N72" s="2380"/>
      <c r="O72" s="2381"/>
      <c r="P72" s="2380"/>
      <c r="Q72" s="2380"/>
      <c r="R72" s="2382"/>
    </row>
    <row r="73" spans="2:18" s="2356" customFormat="1">
      <c r="B73" s="2380"/>
      <c r="C73" s="2380"/>
      <c r="D73" s="2380"/>
      <c r="E73" s="2380"/>
      <c r="F73" s="2380"/>
      <c r="G73" s="2381"/>
      <c r="H73" s="2380"/>
      <c r="I73" s="2381"/>
      <c r="J73" s="2380"/>
      <c r="K73" s="2380"/>
      <c r="L73" s="2381"/>
      <c r="M73" s="2380"/>
      <c r="N73" s="2380"/>
      <c r="O73" s="2381"/>
      <c r="P73" s="2380"/>
      <c r="Q73" s="2380"/>
      <c r="R73" s="2382"/>
    </row>
    <row r="74" spans="2:18" s="2356" customFormat="1">
      <c r="B74" s="2380"/>
      <c r="C74" s="2380"/>
      <c r="D74" s="2380"/>
      <c r="E74" s="2380"/>
      <c r="F74" s="2380"/>
      <c r="G74" s="2381"/>
      <c r="H74" s="2380"/>
      <c r="I74" s="2381"/>
      <c r="J74" s="2380"/>
      <c r="K74" s="2380"/>
      <c r="L74" s="2381"/>
      <c r="M74" s="2380"/>
      <c r="N74" s="2380"/>
      <c r="O74" s="2381"/>
      <c r="P74" s="2380"/>
      <c r="Q74" s="2380"/>
      <c r="R74" s="2382"/>
    </row>
    <row r="75" spans="2:18" s="2356" customFormat="1">
      <c r="B75" s="2380"/>
      <c r="C75" s="2380"/>
      <c r="D75" s="2380"/>
      <c r="E75" s="2380"/>
      <c r="F75" s="2380"/>
      <c r="G75" s="2381"/>
      <c r="H75" s="2380"/>
      <c r="I75" s="2381"/>
      <c r="J75" s="2380"/>
      <c r="K75" s="2380"/>
      <c r="L75" s="2381"/>
      <c r="M75" s="2380"/>
      <c r="N75" s="2380"/>
      <c r="O75" s="2381"/>
      <c r="P75" s="2380"/>
      <c r="Q75" s="2380"/>
      <c r="R75" s="2382"/>
    </row>
    <row r="76" spans="2:18" s="2356" customFormat="1">
      <c r="B76" s="2380"/>
      <c r="C76" s="2380"/>
      <c r="D76" s="2380"/>
      <c r="E76" s="2380"/>
      <c r="F76" s="2380"/>
      <c r="G76" s="2381"/>
      <c r="H76" s="2380"/>
      <c r="I76" s="2381"/>
      <c r="J76" s="2380"/>
      <c r="K76" s="2380"/>
      <c r="L76" s="2381"/>
      <c r="M76" s="2380"/>
      <c r="N76" s="2380"/>
      <c r="O76" s="2381"/>
      <c r="P76" s="2380"/>
      <c r="Q76" s="2380"/>
      <c r="R76" s="2382"/>
    </row>
    <row r="77" spans="2:18" s="2356" customFormat="1">
      <c r="B77" s="2380"/>
      <c r="C77" s="2380"/>
      <c r="D77" s="2380"/>
      <c r="E77" s="2380"/>
      <c r="F77" s="2380"/>
      <c r="G77" s="2381"/>
      <c r="H77" s="2380"/>
      <c r="I77" s="2381"/>
      <c r="J77" s="2380"/>
      <c r="K77" s="2380"/>
      <c r="L77" s="2381"/>
      <c r="M77" s="2380"/>
      <c r="N77" s="2380"/>
      <c r="O77" s="2381"/>
      <c r="P77" s="2380"/>
      <c r="Q77" s="2380"/>
      <c r="R77" s="2382"/>
    </row>
    <row r="78" spans="2:18" s="2356" customFormat="1">
      <c r="B78" s="2380"/>
      <c r="C78" s="2380"/>
      <c r="D78" s="2380"/>
      <c r="E78" s="2380"/>
      <c r="F78" s="2380"/>
      <c r="G78" s="2381"/>
      <c r="H78" s="2380"/>
      <c r="I78" s="2381"/>
      <c r="J78" s="2380"/>
      <c r="K78" s="2380"/>
      <c r="L78" s="2381"/>
      <c r="M78" s="2380"/>
      <c r="N78" s="2380"/>
      <c r="O78" s="2381"/>
      <c r="P78" s="2380"/>
      <c r="Q78" s="2380"/>
      <c r="R78" s="2382"/>
    </row>
    <row r="79" spans="2:18" s="2356" customFormat="1">
      <c r="B79" s="2380"/>
      <c r="C79" s="2380"/>
      <c r="D79" s="2380"/>
      <c r="E79" s="2380"/>
      <c r="F79" s="2380"/>
      <c r="G79" s="2381"/>
      <c r="H79" s="2380"/>
      <c r="I79" s="2381"/>
      <c r="J79" s="2380"/>
      <c r="K79" s="2380"/>
      <c r="L79" s="2381"/>
      <c r="M79" s="2380"/>
      <c r="N79" s="2380"/>
      <c r="O79" s="2381"/>
      <c r="P79" s="2380"/>
      <c r="Q79" s="2380"/>
      <c r="R79" s="2382"/>
    </row>
    <row r="80" spans="2:18" s="2356" customFormat="1">
      <c r="B80" s="2380"/>
      <c r="C80" s="2380"/>
      <c r="D80" s="2380"/>
      <c r="E80" s="2380"/>
      <c r="F80" s="2380"/>
      <c r="G80" s="2381"/>
      <c r="H80" s="2380"/>
      <c r="I80" s="2381"/>
      <c r="J80" s="2380"/>
      <c r="K80" s="2380"/>
      <c r="L80" s="2381"/>
      <c r="M80" s="2380"/>
      <c r="N80" s="2380"/>
      <c r="O80" s="2381"/>
      <c r="P80" s="2380"/>
      <c r="Q80" s="2380"/>
      <c r="R80" s="2382"/>
    </row>
    <row r="81" spans="2:18" s="2356" customFormat="1">
      <c r="B81" s="2380"/>
      <c r="C81" s="2380"/>
      <c r="D81" s="2380"/>
      <c r="E81" s="2380"/>
      <c r="F81" s="2380"/>
      <c r="G81" s="2381"/>
      <c r="H81" s="2380"/>
      <c r="I81" s="2381"/>
      <c r="J81" s="2380"/>
      <c r="K81" s="2380"/>
      <c r="L81" s="2381"/>
      <c r="M81" s="2380"/>
      <c r="N81" s="2380"/>
      <c r="O81" s="2381"/>
      <c r="P81" s="2380"/>
      <c r="Q81" s="2380"/>
      <c r="R81" s="2382"/>
    </row>
    <row r="82" spans="2:18" s="2356" customFormat="1">
      <c r="B82" s="2380"/>
      <c r="C82" s="2380"/>
      <c r="D82" s="2380"/>
      <c r="E82" s="2380"/>
      <c r="F82" s="2380"/>
      <c r="G82" s="2381"/>
      <c r="H82" s="2380"/>
      <c r="I82" s="2381"/>
      <c r="J82" s="2380"/>
      <c r="K82" s="2380"/>
      <c r="L82" s="2381"/>
      <c r="M82" s="2380"/>
      <c r="N82" s="2380"/>
      <c r="O82" s="2381"/>
      <c r="P82" s="2380"/>
      <c r="Q82" s="2380"/>
      <c r="R82" s="2382"/>
    </row>
    <row r="83" spans="2:18" s="2356" customFormat="1">
      <c r="B83" s="2380"/>
      <c r="C83" s="2380"/>
      <c r="D83" s="2380"/>
      <c r="E83" s="2380"/>
      <c r="F83" s="2380"/>
      <c r="G83" s="2381"/>
      <c r="H83" s="2380"/>
      <c r="I83" s="2381"/>
      <c r="J83" s="2380"/>
      <c r="K83" s="2380"/>
      <c r="L83" s="2381"/>
      <c r="M83" s="2380"/>
      <c r="N83" s="2380"/>
      <c r="O83" s="2381"/>
      <c r="P83" s="2380"/>
      <c r="Q83" s="2380"/>
      <c r="R83" s="2382"/>
    </row>
    <row r="84" spans="2:18" s="2356" customFormat="1">
      <c r="B84" s="2380"/>
      <c r="C84" s="2380"/>
      <c r="D84" s="2380"/>
      <c r="E84" s="2380"/>
      <c r="F84" s="2380"/>
      <c r="G84" s="2381"/>
      <c r="H84" s="2380"/>
      <c r="I84" s="2381"/>
      <c r="J84" s="2380"/>
      <c r="K84" s="2380"/>
      <c r="L84" s="2381"/>
      <c r="M84" s="2380"/>
      <c r="N84" s="2380"/>
      <c r="O84" s="2381"/>
      <c r="P84" s="2380"/>
      <c r="Q84" s="2380"/>
      <c r="R84" s="2382"/>
    </row>
    <row r="85" spans="2:18" s="2356" customFormat="1">
      <c r="B85" s="2380"/>
      <c r="C85" s="2380"/>
      <c r="D85" s="2380"/>
      <c r="E85" s="2380"/>
      <c r="F85" s="2380"/>
      <c r="G85" s="2381"/>
      <c r="H85" s="2380"/>
      <c r="I85" s="2381"/>
      <c r="J85" s="2380"/>
      <c r="K85" s="2380"/>
      <c r="L85" s="2381"/>
      <c r="M85" s="2380"/>
      <c r="N85" s="2380"/>
      <c r="O85" s="2381"/>
      <c r="P85" s="2380"/>
      <c r="Q85" s="2380"/>
      <c r="R85" s="2382"/>
    </row>
    <row r="86" spans="2:18" s="2356" customFormat="1">
      <c r="B86" s="2380"/>
      <c r="C86" s="2380"/>
      <c r="D86" s="2380"/>
      <c r="E86" s="2380"/>
      <c r="F86" s="2380"/>
      <c r="G86" s="2381"/>
      <c r="H86" s="2380"/>
      <c r="I86" s="2381"/>
      <c r="J86" s="2380"/>
      <c r="K86" s="2380"/>
      <c r="L86" s="2381"/>
      <c r="M86" s="2380"/>
      <c r="N86" s="2380"/>
      <c r="O86" s="2381"/>
      <c r="P86" s="2380"/>
      <c r="Q86" s="2380"/>
      <c r="R86" s="2382"/>
    </row>
    <row r="87" spans="2:18" s="2356" customFormat="1">
      <c r="B87" s="2380"/>
      <c r="C87" s="2380"/>
      <c r="D87" s="2380"/>
      <c r="E87" s="2380"/>
      <c r="F87" s="2380"/>
      <c r="G87" s="2381"/>
      <c r="H87" s="2380"/>
      <c r="I87" s="2381"/>
      <c r="J87" s="2380"/>
      <c r="K87" s="2380"/>
      <c r="L87" s="2381"/>
      <c r="M87" s="2380"/>
      <c r="N87" s="2380"/>
      <c r="O87" s="2381"/>
      <c r="P87" s="2380"/>
      <c r="Q87" s="2380"/>
      <c r="R87" s="2382"/>
    </row>
    <row r="88" spans="2:18" s="2356" customFormat="1">
      <c r="B88" s="2380"/>
      <c r="C88" s="2380"/>
      <c r="D88" s="2380"/>
      <c r="E88" s="2380"/>
      <c r="F88" s="2380"/>
      <c r="G88" s="2381"/>
      <c r="H88" s="2380"/>
      <c r="I88" s="2381"/>
      <c r="J88" s="2380"/>
      <c r="K88" s="2380"/>
      <c r="L88" s="2381"/>
      <c r="M88" s="2380"/>
      <c r="N88" s="2380"/>
      <c r="O88" s="2381"/>
      <c r="P88" s="2380"/>
      <c r="Q88" s="2380"/>
      <c r="R88" s="2382"/>
    </row>
    <row r="89" spans="2:18" s="2356" customFormat="1">
      <c r="B89" s="2380"/>
      <c r="C89" s="2380"/>
      <c r="D89" s="2380"/>
      <c r="E89" s="2380"/>
      <c r="F89" s="2380"/>
      <c r="G89" s="2381"/>
      <c r="H89" s="2380"/>
      <c r="I89" s="2381"/>
      <c r="J89" s="2380"/>
      <c r="K89" s="2380"/>
      <c r="L89" s="2381"/>
      <c r="M89" s="2380"/>
      <c r="N89" s="2380"/>
      <c r="O89" s="2381"/>
      <c r="P89" s="2380"/>
      <c r="Q89" s="2380"/>
      <c r="R89" s="2382"/>
    </row>
    <row r="90" spans="2:18" s="2356" customFormat="1">
      <c r="B90" s="2380"/>
      <c r="C90" s="2380"/>
      <c r="D90" s="2380"/>
      <c r="E90" s="2380"/>
      <c r="F90" s="2380"/>
      <c r="G90" s="2381"/>
      <c r="H90" s="2380"/>
      <c r="I90" s="2381"/>
      <c r="J90" s="2380"/>
      <c r="K90" s="2380"/>
      <c r="L90" s="2381"/>
      <c r="M90" s="2380"/>
      <c r="N90" s="2380"/>
      <c r="O90" s="2381"/>
      <c r="P90" s="2380"/>
      <c r="Q90" s="2380"/>
      <c r="R90" s="2382"/>
    </row>
    <row r="91" spans="2:18" s="2356" customFormat="1">
      <c r="B91" s="2380"/>
      <c r="C91" s="2380"/>
      <c r="D91" s="2380"/>
      <c r="E91" s="2380"/>
      <c r="F91" s="2380"/>
      <c r="G91" s="2381"/>
      <c r="H91" s="2380"/>
      <c r="I91" s="2381"/>
      <c r="J91" s="2380"/>
      <c r="K91" s="2380"/>
      <c r="L91" s="2381"/>
      <c r="M91" s="2380"/>
      <c r="N91" s="2380"/>
      <c r="O91" s="2381"/>
      <c r="P91" s="2380"/>
      <c r="Q91" s="2380"/>
      <c r="R91" s="2382"/>
    </row>
    <row r="92" spans="2:18" s="2356" customFormat="1">
      <c r="B92" s="2380"/>
      <c r="C92" s="2380"/>
      <c r="D92" s="2380"/>
      <c r="E92" s="2380"/>
      <c r="F92" s="2380"/>
      <c r="G92" s="2381"/>
      <c r="H92" s="2380"/>
      <c r="I92" s="2381"/>
      <c r="J92" s="2380"/>
      <c r="K92" s="2380"/>
      <c r="L92" s="2381"/>
      <c r="M92" s="2380"/>
      <c r="N92" s="2380"/>
      <c r="O92" s="2381"/>
      <c r="P92" s="2380"/>
      <c r="Q92" s="2380"/>
      <c r="R92" s="2382"/>
    </row>
    <row r="93" spans="2:18" s="2356" customFormat="1">
      <c r="B93" s="2380"/>
      <c r="C93" s="2380"/>
      <c r="D93" s="2380"/>
      <c r="E93" s="2380"/>
      <c r="F93" s="2380"/>
      <c r="G93" s="2381"/>
      <c r="H93" s="2380"/>
      <c r="I93" s="2381"/>
      <c r="J93" s="2380"/>
      <c r="K93" s="2380"/>
      <c r="L93" s="2381"/>
      <c r="M93" s="2380"/>
      <c r="N93" s="2380"/>
      <c r="O93" s="2381"/>
      <c r="P93" s="2380"/>
      <c r="Q93" s="2380"/>
      <c r="R93" s="2382"/>
    </row>
    <row r="94" spans="2:18" s="2356" customFormat="1">
      <c r="B94" s="2380"/>
      <c r="C94" s="2380"/>
      <c r="D94" s="2380"/>
      <c r="E94" s="2380"/>
      <c r="F94" s="2380"/>
      <c r="G94" s="2381"/>
      <c r="H94" s="2380"/>
      <c r="I94" s="2381"/>
      <c r="J94" s="2380"/>
      <c r="K94" s="2380"/>
      <c r="L94" s="2381"/>
      <c r="M94" s="2380"/>
      <c r="N94" s="2380"/>
      <c r="O94" s="2381"/>
      <c r="P94" s="2380"/>
      <c r="Q94" s="2380"/>
      <c r="R94" s="2382"/>
    </row>
    <row r="95" spans="2:18" s="2356" customFormat="1">
      <c r="B95" s="2380"/>
      <c r="C95" s="2380"/>
      <c r="D95" s="2380"/>
      <c r="E95" s="2380"/>
      <c r="F95" s="2380"/>
      <c r="G95" s="2381"/>
      <c r="H95" s="2380"/>
      <c r="I95" s="2381"/>
      <c r="J95" s="2380"/>
      <c r="K95" s="2380"/>
      <c r="L95" s="2381"/>
      <c r="M95" s="2380"/>
      <c r="N95" s="2380"/>
      <c r="O95" s="2381"/>
      <c r="P95" s="2380"/>
      <c r="Q95" s="2380"/>
      <c r="R95" s="2382"/>
    </row>
    <row r="96" spans="2:18" s="2356" customFormat="1">
      <c r="B96" s="2380"/>
      <c r="C96" s="2380"/>
      <c r="D96" s="2380"/>
      <c r="E96" s="2380"/>
      <c r="F96" s="2380"/>
      <c r="G96" s="2381"/>
      <c r="H96" s="2380"/>
      <c r="I96" s="2381"/>
      <c r="J96" s="2380"/>
      <c r="K96" s="2380"/>
      <c r="L96" s="2381"/>
      <c r="M96" s="2380"/>
      <c r="N96" s="2380"/>
      <c r="O96" s="2381"/>
      <c r="P96" s="2380"/>
      <c r="Q96" s="2380"/>
      <c r="R96" s="2382"/>
    </row>
    <row r="97" spans="2:18" s="2356" customFormat="1">
      <c r="B97" s="2380"/>
      <c r="C97" s="2380"/>
      <c r="D97" s="2380"/>
      <c r="E97" s="2380"/>
      <c r="F97" s="2380"/>
      <c r="G97" s="2381"/>
      <c r="H97" s="2380"/>
      <c r="I97" s="2381"/>
      <c r="J97" s="2380"/>
      <c r="K97" s="2380"/>
      <c r="L97" s="2381"/>
      <c r="M97" s="2380"/>
      <c r="N97" s="2380"/>
      <c r="O97" s="2381"/>
      <c r="P97" s="2380"/>
      <c r="Q97" s="2380"/>
      <c r="R97" s="2382"/>
    </row>
    <row r="98" spans="2:18" s="2356" customFormat="1">
      <c r="B98" s="2380"/>
      <c r="C98" s="2380"/>
      <c r="D98" s="2380"/>
      <c r="E98" s="2380"/>
      <c r="F98" s="2380"/>
      <c r="G98" s="2381"/>
      <c r="H98" s="2380"/>
      <c r="I98" s="2381"/>
      <c r="J98" s="2380"/>
      <c r="K98" s="2380"/>
      <c r="L98" s="2381"/>
      <c r="M98" s="2380"/>
      <c r="N98" s="2380"/>
      <c r="O98" s="2381"/>
      <c r="P98" s="2380"/>
      <c r="Q98" s="2380"/>
      <c r="R98" s="2382"/>
    </row>
    <row r="99" spans="2:18" s="2356" customFormat="1">
      <c r="B99" s="2380"/>
      <c r="C99" s="2380"/>
      <c r="D99" s="2380"/>
      <c r="E99" s="2380"/>
      <c r="F99" s="2380"/>
      <c r="G99" s="2381"/>
      <c r="H99" s="2380"/>
      <c r="I99" s="2381"/>
      <c r="J99" s="2380"/>
      <c r="K99" s="2380"/>
      <c r="L99" s="2381"/>
      <c r="M99" s="2380"/>
      <c r="N99" s="2380"/>
      <c r="O99" s="2381"/>
      <c r="P99" s="2380"/>
      <c r="Q99" s="2380"/>
      <c r="R99" s="2382"/>
    </row>
    <row r="100" spans="2:18" s="2356" customFormat="1">
      <c r="B100" s="2380"/>
      <c r="C100" s="2380"/>
      <c r="D100" s="2380"/>
      <c r="E100" s="2380"/>
      <c r="F100" s="2380"/>
      <c r="G100" s="2381"/>
      <c r="H100" s="2380"/>
      <c r="I100" s="2381"/>
      <c r="J100" s="2380"/>
      <c r="K100" s="2380"/>
      <c r="L100" s="2381"/>
      <c r="M100" s="2380"/>
      <c r="N100" s="2380"/>
      <c r="O100" s="2381"/>
      <c r="P100" s="2380"/>
      <c r="Q100" s="2380"/>
      <c r="R100" s="2382"/>
    </row>
    <row r="101" spans="2:18" s="2356" customFormat="1">
      <c r="B101" s="2380"/>
      <c r="C101" s="2380"/>
      <c r="D101" s="2380"/>
      <c r="E101" s="2380"/>
      <c r="F101" s="2380"/>
      <c r="G101" s="2381"/>
      <c r="H101" s="2380"/>
      <c r="I101" s="2381"/>
      <c r="J101" s="2380"/>
      <c r="K101" s="2380"/>
      <c r="L101" s="2381"/>
      <c r="M101" s="2380"/>
      <c r="N101" s="2380"/>
      <c r="O101" s="2381"/>
      <c r="P101" s="2380"/>
      <c r="Q101" s="2380"/>
      <c r="R101" s="2382"/>
    </row>
    <row r="102" spans="2:18" s="2356" customFormat="1">
      <c r="B102" s="2380"/>
      <c r="C102" s="2380"/>
      <c r="D102" s="2380"/>
      <c r="E102" s="2380"/>
      <c r="F102" s="2380"/>
      <c r="G102" s="2381"/>
      <c r="H102" s="2380"/>
      <c r="I102" s="2381"/>
      <c r="J102" s="2380"/>
      <c r="K102" s="2380"/>
      <c r="L102" s="2381"/>
      <c r="M102" s="2380"/>
      <c r="N102" s="2380"/>
      <c r="O102" s="2381"/>
      <c r="P102" s="2380"/>
      <c r="Q102" s="2380"/>
      <c r="R102" s="2382"/>
    </row>
    <row r="103" spans="2:18" s="2356" customFormat="1">
      <c r="B103" s="2380"/>
      <c r="C103" s="2380"/>
      <c r="D103" s="2380"/>
      <c r="E103" s="2380"/>
      <c r="F103" s="2380"/>
      <c r="G103" s="2381"/>
      <c r="H103" s="2380"/>
      <c r="I103" s="2381"/>
      <c r="J103" s="2380"/>
      <c r="K103" s="2380"/>
      <c r="L103" s="2381"/>
      <c r="M103" s="2380"/>
      <c r="N103" s="2380"/>
      <c r="O103" s="2381"/>
      <c r="P103" s="2380"/>
      <c r="Q103" s="2380"/>
      <c r="R103" s="2382"/>
    </row>
    <row r="104" spans="2:18" s="2356" customFormat="1">
      <c r="B104" s="2380"/>
      <c r="C104" s="2380"/>
      <c r="D104" s="2380"/>
      <c r="E104" s="2380"/>
      <c r="F104" s="2380"/>
      <c r="G104" s="2381"/>
      <c r="H104" s="2380"/>
      <c r="I104" s="2381"/>
      <c r="J104" s="2380"/>
      <c r="K104" s="2380"/>
      <c r="L104" s="2381"/>
      <c r="M104" s="2380"/>
      <c r="N104" s="2380"/>
      <c r="O104" s="2381"/>
      <c r="P104" s="2380"/>
      <c r="Q104" s="2380"/>
      <c r="R104" s="2382"/>
    </row>
    <row r="105" spans="2:18" s="2356" customFormat="1">
      <c r="B105" s="2380"/>
      <c r="C105" s="2380"/>
      <c r="D105" s="2380"/>
      <c r="E105" s="2380"/>
      <c r="F105" s="2380"/>
      <c r="G105" s="2381"/>
      <c r="H105" s="2380"/>
      <c r="I105" s="2381"/>
      <c r="J105" s="2380"/>
      <c r="K105" s="2380"/>
      <c r="L105" s="2381"/>
      <c r="M105" s="2380"/>
      <c r="N105" s="2380"/>
      <c r="O105" s="2381"/>
      <c r="P105" s="2380"/>
      <c r="Q105" s="2380"/>
      <c r="R105" s="2382"/>
    </row>
    <row r="106" spans="2:18" s="2356" customFormat="1">
      <c r="B106" s="2380"/>
      <c r="C106" s="2380"/>
      <c r="D106" s="2380"/>
      <c r="E106" s="2380"/>
      <c r="F106" s="2380"/>
      <c r="G106" s="2381"/>
      <c r="H106" s="2380"/>
      <c r="I106" s="2381"/>
      <c r="J106" s="2380"/>
      <c r="K106" s="2380"/>
      <c r="L106" s="2381"/>
      <c r="M106" s="2380"/>
      <c r="N106" s="2380"/>
      <c r="O106" s="2381"/>
      <c r="P106" s="2380"/>
      <c r="Q106" s="2380"/>
      <c r="R106" s="2382"/>
    </row>
    <row r="107" spans="2:18" s="2356" customFormat="1">
      <c r="B107" s="2380"/>
      <c r="C107" s="2380"/>
      <c r="D107" s="2380"/>
      <c r="E107" s="2380"/>
      <c r="F107" s="2380"/>
      <c r="G107" s="2381"/>
      <c r="H107" s="2380"/>
      <c r="I107" s="2381"/>
      <c r="J107" s="2380"/>
      <c r="K107" s="2380"/>
      <c r="L107" s="2381"/>
      <c r="M107" s="2380"/>
      <c r="N107" s="2380"/>
      <c r="O107" s="2381"/>
      <c r="P107" s="2380"/>
      <c r="Q107" s="2380"/>
      <c r="R107" s="2382"/>
    </row>
    <row r="108" spans="2:18" s="2356" customFormat="1">
      <c r="B108" s="2380"/>
      <c r="C108" s="2380"/>
      <c r="D108" s="2380"/>
      <c r="E108" s="2380"/>
      <c r="F108" s="2380"/>
      <c r="G108" s="2381"/>
      <c r="H108" s="2380"/>
      <c r="I108" s="2381"/>
      <c r="J108" s="2380"/>
      <c r="K108" s="2380"/>
      <c r="L108" s="2381"/>
      <c r="M108" s="2380"/>
      <c r="N108" s="2380"/>
      <c r="O108" s="2381"/>
      <c r="P108" s="2380"/>
      <c r="Q108" s="2380"/>
      <c r="R108" s="2382"/>
    </row>
    <row r="109" spans="2:18" s="2356" customFormat="1">
      <c r="B109" s="2380"/>
      <c r="C109" s="2380"/>
      <c r="D109" s="2380"/>
      <c r="E109" s="2380"/>
      <c r="F109" s="2380"/>
      <c r="G109" s="2381"/>
      <c r="H109" s="2380"/>
      <c r="I109" s="2381"/>
      <c r="J109" s="2380"/>
      <c r="K109" s="2380"/>
      <c r="L109" s="2381"/>
      <c r="M109" s="2380"/>
      <c r="N109" s="2380"/>
      <c r="O109" s="2381"/>
      <c r="P109" s="2380"/>
      <c r="Q109" s="2380"/>
      <c r="R109" s="2382"/>
    </row>
    <row r="110" spans="2:18" s="2356" customFormat="1">
      <c r="B110" s="2380"/>
      <c r="C110" s="2380"/>
      <c r="D110" s="2380"/>
      <c r="E110" s="2380"/>
      <c r="F110" s="2380"/>
      <c r="G110" s="2381"/>
      <c r="H110" s="2380"/>
      <c r="I110" s="2381"/>
      <c r="J110" s="2380"/>
      <c r="K110" s="2380"/>
      <c r="L110" s="2381"/>
      <c r="M110" s="2380"/>
      <c r="N110" s="2380"/>
      <c r="O110" s="2381"/>
      <c r="P110" s="2380"/>
      <c r="Q110" s="2380"/>
      <c r="R110" s="2382"/>
    </row>
    <row r="111" spans="2:18" s="2356" customFormat="1">
      <c r="B111" s="2380"/>
      <c r="C111" s="2380"/>
      <c r="D111" s="2380"/>
      <c r="E111" s="2380"/>
      <c r="F111" s="2380"/>
      <c r="G111" s="2381"/>
      <c r="H111" s="2380"/>
      <c r="I111" s="2381"/>
      <c r="J111" s="2380"/>
      <c r="K111" s="2380"/>
      <c r="L111" s="2381"/>
      <c r="M111" s="2380"/>
      <c r="N111" s="2380"/>
      <c r="O111" s="2381"/>
      <c r="P111" s="2380"/>
      <c r="Q111" s="2380"/>
      <c r="R111" s="2382"/>
    </row>
    <row r="112" spans="2:18" s="2356" customFormat="1">
      <c r="B112" s="2380"/>
      <c r="C112" s="2380"/>
      <c r="D112" s="2380"/>
      <c r="E112" s="2380"/>
      <c r="F112" s="2380"/>
      <c r="G112" s="2381"/>
      <c r="H112" s="2380"/>
      <c r="I112" s="2381"/>
      <c r="J112" s="2380"/>
      <c r="K112" s="2380"/>
      <c r="L112" s="2381"/>
      <c r="M112" s="2380"/>
      <c r="N112" s="2380"/>
      <c r="O112" s="2381"/>
      <c r="P112" s="2380"/>
      <c r="Q112" s="2380"/>
      <c r="R112" s="2382"/>
    </row>
    <row r="113" spans="2:18" s="2356" customFormat="1">
      <c r="B113" s="2380"/>
      <c r="C113" s="2380"/>
      <c r="D113" s="2380"/>
      <c r="E113" s="2380"/>
      <c r="F113" s="2380"/>
      <c r="G113" s="2381"/>
      <c r="H113" s="2380"/>
      <c r="I113" s="2381"/>
      <c r="J113" s="2380"/>
      <c r="K113" s="2380"/>
      <c r="L113" s="2381"/>
      <c r="M113" s="2380"/>
      <c r="N113" s="2380"/>
      <c r="O113" s="2381"/>
      <c r="P113" s="2380"/>
      <c r="Q113" s="2380"/>
      <c r="R113" s="2382"/>
    </row>
    <row r="114" spans="2:18" s="2356" customFormat="1">
      <c r="B114" s="2380"/>
      <c r="C114" s="2380"/>
      <c r="D114" s="2380"/>
      <c r="E114" s="2380"/>
      <c r="F114" s="2380"/>
      <c r="G114" s="2381"/>
      <c r="H114" s="2380"/>
      <c r="I114" s="2381"/>
      <c r="J114" s="2380"/>
      <c r="K114" s="2380"/>
      <c r="L114" s="2381"/>
      <c r="M114" s="2380"/>
      <c r="N114" s="2380"/>
      <c r="O114" s="2381"/>
      <c r="P114" s="2380"/>
      <c r="Q114" s="2380"/>
      <c r="R114" s="2382"/>
    </row>
    <row r="115" spans="2:18" s="2356" customFormat="1">
      <c r="B115" s="2380"/>
      <c r="C115" s="2380"/>
      <c r="D115" s="2380"/>
      <c r="E115" s="2380"/>
      <c r="F115" s="2380"/>
      <c r="G115" s="2381"/>
      <c r="H115" s="2380"/>
      <c r="I115" s="2381"/>
      <c r="J115" s="2380"/>
      <c r="K115" s="2380"/>
      <c r="L115" s="2381"/>
      <c r="M115" s="2380"/>
      <c r="N115" s="2380"/>
      <c r="O115" s="2381"/>
      <c r="P115" s="2380"/>
      <c r="Q115" s="2380"/>
      <c r="R115" s="2382"/>
    </row>
    <row r="116" spans="2:18" s="2356" customFormat="1">
      <c r="B116" s="2380"/>
      <c r="C116" s="2380"/>
      <c r="D116" s="2380"/>
      <c r="E116" s="2380"/>
      <c r="F116" s="2380"/>
      <c r="G116" s="2381"/>
      <c r="H116" s="2380"/>
      <c r="I116" s="2381"/>
      <c r="J116" s="2380"/>
      <c r="K116" s="2380"/>
      <c r="L116" s="2381"/>
      <c r="M116" s="2380"/>
      <c r="N116" s="2380"/>
      <c r="O116" s="2381"/>
      <c r="P116" s="2380"/>
      <c r="Q116" s="2380"/>
      <c r="R116" s="2382"/>
    </row>
    <row r="117" spans="2:18" s="2356" customFormat="1">
      <c r="B117" s="2380"/>
      <c r="C117" s="2380"/>
      <c r="D117" s="2380"/>
      <c r="E117" s="2380"/>
      <c r="F117" s="2380"/>
      <c r="G117" s="2381"/>
      <c r="H117" s="2380"/>
      <c r="I117" s="2381"/>
      <c r="J117" s="2380"/>
      <c r="K117" s="2380"/>
      <c r="L117" s="2381"/>
      <c r="M117" s="2380"/>
      <c r="N117" s="2380"/>
      <c r="O117" s="2381"/>
      <c r="P117" s="2380"/>
      <c r="Q117" s="2380"/>
      <c r="R117" s="2382"/>
    </row>
    <row r="118" spans="2:18" s="2356" customFormat="1">
      <c r="B118" s="2380"/>
      <c r="C118" s="2380"/>
      <c r="D118" s="2380"/>
      <c r="E118" s="2380"/>
      <c r="F118" s="2380"/>
      <c r="G118" s="2381"/>
      <c r="H118" s="2380"/>
      <c r="I118" s="2381"/>
      <c r="J118" s="2380"/>
      <c r="K118" s="2380"/>
      <c r="L118" s="2381"/>
      <c r="M118" s="2380"/>
      <c r="N118" s="2380"/>
      <c r="O118" s="2381"/>
      <c r="P118" s="2380"/>
      <c r="Q118" s="2380"/>
      <c r="R118" s="2382"/>
    </row>
    <row r="119" spans="2:18" s="2356" customFormat="1">
      <c r="B119" s="2380"/>
      <c r="C119" s="2380"/>
      <c r="D119" s="2380"/>
      <c r="E119" s="2380"/>
      <c r="F119" s="2380"/>
      <c r="G119" s="2381"/>
      <c r="H119" s="2380"/>
      <c r="I119" s="2381"/>
      <c r="J119" s="2380"/>
      <c r="K119" s="2380"/>
      <c r="L119" s="2381"/>
      <c r="M119" s="2380"/>
      <c r="N119" s="2380"/>
      <c r="O119" s="2381"/>
      <c r="P119" s="2380"/>
      <c r="Q119" s="2380"/>
      <c r="R119" s="2382"/>
    </row>
    <row r="120" spans="2:18" s="2356" customFormat="1">
      <c r="B120" s="2380"/>
      <c r="C120" s="2380"/>
      <c r="D120" s="2380"/>
      <c r="E120" s="2380"/>
      <c r="F120" s="2380"/>
      <c r="G120" s="2381"/>
      <c r="H120" s="2380"/>
      <c r="I120" s="2381"/>
      <c r="J120" s="2380"/>
      <c r="K120" s="2380"/>
      <c r="L120" s="2381"/>
      <c r="M120" s="2380"/>
      <c r="N120" s="2380"/>
      <c r="O120" s="2381"/>
      <c r="P120" s="2380"/>
      <c r="Q120" s="2380"/>
      <c r="R120" s="2382"/>
    </row>
    <row r="121" spans="2:18" s="2356" customFormat="1">
      <c r="B121" s="2380"/>
      <c r="C121" s="2380"/>
      <c r="D121" s="2380"/>
      <c r="E121" s="2380"/>
      <c r="F121" s="2380"/>
      <c r="G121" s="2381"/>
      <c r="H121" s="2380"/>
      <c r="I121" s="2381"/>
      <c r="J121" s="2380"/>
      <c r="K121" s="2380"/>
      <c r="L121" s="2381"/>
      <c r="M121" s="2380"/>
      <c r="N121" s="2380"/>
      <c r="O121" s="2381"/>
      <c r="P121" s="2380"/>
      <c r="Q121" s="2380"/>
      <c r="R121" s="2382"/>
    </row>
    <row r="122" spans="2:18" s="2356" customFormat="1">
      <c r="B122" s="2380"/>
      <c r="C122" s="2380"/>
      <c r="D122" s="2380"/>
      <c r="E122" s="2380"/>
      <c r="F122" s="2380"/>
      <c r="G122" s="2381"/>
      <c r="H122" s="2380"/>
      <c r="I122" s="2381"/>
      <c r="J122" s="2380"/>
      <c r="K122" s="2380"/>
      <c r="L122" s="2381"/>
      <c r="M122" s="2380"/>
      <c r="N122" s="2380"/>
      <c r="O122" s="2381"/>
      <c r="P122" s="2380"/>
      <c r="Q122" s="2380"/>
      <c r="R122" s="2382"/>
    </row>
    <row r="123" spans="2:18" s="2356" customFormat="1">
      <c r="B123" s="2380"/>
      <c r="C123" s="2380"/>
      <c r="D123" s="2380"/>
      <c r="E123" s="2380"/>
      <c r="F123" s="2380"/>
      <c r="G123" s="2381"/>
      <c r="H123" s="2380"/>
      <c r="I123" s="2381"/>
      <c r="J123" s="2380"/>
      <c r="K123" s="2380"/>
      <c r="L123" s="2381"/>
      <c r="M123" s="2380"/>
      <c r="N123" s="2380"/>
      <c r="O123" s="2381"/>
      <c r="P123" s="2380"/>
      <c r="Q123" s="2380"/>
      <c r="R123" s="2382"/>
    </row>
    <row r="124" spans="2:18" s="2356" customFormat="1">
      <c r="B124" s="2380"/>
      <c r="C124" s="2380"/>
      <c r="D124" s="2380"/>
      <c r="E124" s="2380"/>
      <c r="F124" s="2380"/>
      <c r="G124" s="2381"/>
      <c r="H124" s="2380"/>
      <c r="I124" s="2381"/>
      <c r="J124" s="2380"/>
      <c r="K124" s="2380"/>
      <c r="L124" s="2381"/>
      <c r="M124" s="2380"/>
      <c r="N124" s="2380"/>
      <c r="O124" s="2381"/>
      <c r="P124" s="2380"/>
      <c r="Q124" s="2380"/>
      <c r="R124" s="2382"/>
    </row>
    <row r="125" spans="2:18" s="2356" customFormat="1">
      <c r="B125" s="2380"/>
      <c r="C125" s="2380"/>
      <c r="D125" s="2380"/>
      <c r="E125" s="2380"/>
      <c r="F125" s="2380"/>
      <c r="G125" s="2381"/>
      <c r="H125" s="2380"/>
      <c r="I125" s="2381"/>
      <c r="J125" s="2380"/>
      <c r="K125" s="2380"/>
      <c r="L125" s="2381"/>
      <c r="M125" s="2380"/>
      <c r="N125" s="2380"/>
      <c r="O125" s="2381"/>
      <c r="P125" s="2380"/>
      <c r="Q125" s="2380"/>
      <c r="R125" s="2382"/>
    </row>
    <row r="126" spans="2:18" s="2356" customFormat="1">
      <c r="B126" s="2380"/>
      <c r="C126" s="2380"/>
      <c r="D126" s="2380"/>
      <c r="E126" s="2380"/>
      <c r="F126" s="2380"/>
      <c r="G126" s="2381"/>
      <c r="H126" s="2380"/>
      <c r="I126" s="2381"/>
      <c r="J126" s="2380"/>
      <c r="K126" s="2380"/>
      <c r="L126" s="2381"/>
      <c r="M126" s="2380"/>
      <c r="N126" s="2380"/>
      <c r="O126" s="2381"/>
      <c r="P126" s="2380"/>
      <c r="Q126" s="2380"/>
      <c r="R126" s="2382"/>
    </row>
    <row r="127" spans="2:18" s="2356" customFormat="1">
      <c r="B127" s="2380"/>
      <c r="C127" s="2380"/>
      <c r="D127" s="2380"/>
      <c r="E127" s="2380"/>
      <c r="F127" s="2380"/>
      <c r="G127" s="2381"/>
      <c r="H127" s="2380"/>
      <c r="I127" s="2381"/>
      <c r="J127" s="2380"/>
      <c r="K127" s="2380"/>
      <c r="L127" s="2381"/>
      <c r="M127" s="2380"/>
      <c r="N127" s="2380"/>
      <c r="O127" s="2381"/>
      <c r="P127" s="2380"/>
      <c r="Q127" s="2380"/>
      <c r="R127" s="2382"/>
    </row>
    <row r="128" spans="2:18" s="2356" customFormat="1">
      <c r="B128" s="2380"/>
      <c r="C128" s="2380"/>
      <c r="D128" s="2380"/>
      <c r="E128" s="2380"/>
      <c r="F128" s="2380"/>
      <c r="G128" s="2381"/>
      <c r="H128" s="2380"/>
      <c r="I128" s="2381"/>
      <c r="J128" s="2380"/>
      <c r="K128" s="2380"/>
      <c r="L128" s="2381"/>
      <c r="M128" s="2380"/>
      <c r="N128" s="2380"/>
      <c r="O128" s="2381"/>
      <c r="P128" s="2380"/>
      <c r="Q128" s="2380"/>
      <c r="R128" s="2382"/>
    </row>
    <row r="129" spans="2:18" s="2356" customFormat="1">
      <c r="B129" s="2380"/>
      <c r="C129" s="2380"/>
      <c r="D129" s="2380"/>
      <c r="E129" s="2380"/>
      <c r="F129" s="2380"/>
      <c r="G129" s="2381"/>
      <c r="H129" s="2380"/>
      <c r="I129" s="2381"/>
      <c r="J129" s="2380"/>
      <c r="K129" s="2380"/>
      <c r="L129" s="2381"/>
      <c r="M129" s="2380"/>
      <c r="N129" s="2380"/>
      <c r="O129" s="2381"/>
      <c r="P129" s="2380"/>
      <c r="Q129" s="2380"/>
      <c r="R129" s="2382"/>
    </row>
    <row r="130" spans="2:18" s="2356" customFormat="1">
      <c r="B130" s="2380"/>
      <c r="C130" s="2380"/>
      <c r="D130" s="2380"/>
      <c r="E130" s="2380"/>
      <c r="F130" s="2380"/>
      <c r="G130" s="2381"/>
      <c r="H130" s="2380"/>
      <c r="I130" s="2381"/>
      <c r="J130" s="2380"/>
      <c r="K130" s="2380"/>
      <c r="L130" s="2381"/>
      <c r="M130" s="2380"/>
      <c r="N130" s="2380"/>
      <c r="O130" s="2381"/>
      <c r="P130" s="2380"/>
      <c r="Q130" s="2380"/>
      <c r="R130" s="2382"/>
    </row>
    <row r="131" spans="2:18" s="2356" customFormat="1">
      <c r="B131" s="2380"/>
      <c r="C131" s="2380"/>
      <c r="D131" s="2380"/>
      <c r="E131" s="2380"/>
      <c r="F131" s="2380"/>
      <c r="G131" s="2381"/>
      <c r="H131" s="2380"/>
      <c r="I131" s="2381"/>
      <c r="J131" s="2380"/>
      <c r="K131" s="2380"/>
      <c r="L131" s="2381"/>
      <c r="M131" s="2380"/>
      <c r="N131" s="2380"/>
      <c r="O131" s="2381"/>
      <c r="P131" s="2380"/>
      <c r="Q131" s="2380"/>
      <c r="R131" s="2382"/>
    </row>
    <row r="132" spans="2:18" s="2356" customFormat="1">
      <c r="B132" s="2380"/>
      <c r="C132" s="2380"/>
      <c r="D132" s="2380"/>
      <c r="E132" s="2380"/>
      <c r="F132" s="2380"/>
      <c r="G132" s="2381"/>
      <c r="H132" s="2380"/>
      <c r="I132" s="2381"/>
      <c r="J132" s="2380"/>
      <c r="K132" s="2380"/>
      <c r="L132" s="2381"/>
      <c r="M132" s="2380"/>
      <c r="N132" s="2380"/>
      <c r="O132" s="2381"/>
      <c r="P132" s="2380"/>
      <c r="Q132" s="2380"/>
      <c r="R132" s="2382"/>
    </row>
    <row r="133" spans="2:18" s="2356" customFormat="1">
      <c r="B133" s="2380"/>
      <c r="C133" s="2380"/>
      <c r="D133" s="2380"/>
      <c r="E133" s="2380"/>
      <c r="F133" s="2380"/>
      <c r="G133" s="2381"/>
      <c r="H133" s="2380"/>
      <c r="I133" s="2381"/>
      <c r="J133" s="2380"/>
      <c r="K133" s="2380"/>
      <c r="L133" s="2381"/>
      <c r="M133" s="2380"/>
      <c r="N133" s="2380"/>
      <c r="O133" s="2381"/>
      <c r="P133" s="2380"/>
      <c r="Q133" s="2380"/>
      <c r="R133" s="2382"/>
    </row>
    <row r="134" spans="2:18" s="2356" customFormat="1">
      <c r="B134" s="2380"/>
      <c r="C134" s="2380"/>
      <c r="D134" s="2380"/>
      <c r="E134" s="2380"/>
      <c r="F134" s="2380"/>
      <c r="G134" s="2381"/>
      <c r="H134" s="2380"/>
      <c r="I134" s="2381"/>
      <c r="J134" s="2380"/>
      <c r="K134" s="2380"/>
      <c r="L134" s="2381"/>
      <c r="M134" s="2380"/>
      <c r="N134" s="2380"/>
      <c r="O134" s="2381"/>
      <c r="P134" s="2380"/>
      <c r="Q134" s="2380"/>
      <c r="R134" s="2382"/>
    </row>
    <row r="135" spans="2:18" s="2356" customFormat="1">
      <c r="B135" s="2380"/>
      <c r="C135" s="2380"/>
      <c r="D135" s="2380"/>
      <c r="E135" s="2380"/>
      <c r="F135" s="2380"/>
      <c r="G135" s="2381"/>
      <c r="H135" s="2380"/>
      <c r="I135" s="2381"/>
      <c r="J135" s="2380"/>
      <c r="K135" s="2380"/>
      <c r="L135" s="2381"/>
      <c r="M135" s="2380"/>
      <c r="N135" s="2380"/>
      <c r="O135" s="2381"/>
      <c r="P135" s="2380"/>
      <c r="Q135" s="2380"/>
      <c r="R135" s="2382"/>
    </row>
    <row r="136" spans="2:18" s="2356" customFormat="1">
      <c r="B136" s="2380"/>
      <c r="C136" s="2380"/>
      <c r="D136" s="2380"/>
      <c r="E136" s="2380"/>
      <c r="F136" s="2380"/>
      <c r="G136" s="2381"/>
      <c r="H136" s="2380"/>
      <c r="I136" s="2381"/>
      <c r="J136" s="2380"/>
      <c r="K136" s="2380"/>
      <c r="L136" s="2381"/>
      <c r="M136" s="2380"/>
      <c r="N136" s="2380"/>
      <c r="O136" s="2381"/>
      <c r="P136" s="2380"/>
      <c r="Q136" s="2380"/>
      <c r="R136" s="2382"/>
    </row>
    <row r="137" spans="2:18" s="2356" customFormat="1">
      <c r="B137" s="2380"/>
      <c r="C137" s="2380"/>
      <c r="D137" s="2380"/>
      <c r="E137" s="2380"/>
      <c r="F137" s="2380"/>
      <c r="G137" s="2381"/>
      <c r="H137" s="2380"/>
      <c r="I137" s="2381"/>
      <c r="J137" s="2380"/>
      <c r="K137" s="2380"/>
      <c r="L137" s="2381"/>
      <c r="M137" s="2380"/>
      <c r="N137" s="2380"/>
      <c r="O137" s="2381"/>
      <c r="P137" s="2380"/>
      <c r="Q137" s="2380"/>
      <c r="R137" s="2382"/>
    </row>
    <row r="138" spans="2:18" s="2356" customFormat="1">
      <c r="B138" s="2380"/>
      <c r="C138" s="2380"/>
      <c r="D138" s="2380"/>
      <c r="E138" s="2380"/>
      <c r="F138" s="2380"/>
      <c r="G138" s="2381"/>
      <c r="H138" s="2380"/>
      <c r="I138" s="2381"/>
      <c r="J138" s="2380"/>
      <c r="K138" s="2380"/>
      <c r="L138" s="2381"/>
      <c r="M138" s="2380"/>
      <c r="N138" s="2380"/>
      <c r="O138" s="2381"/>
      <c r="P138" s="2380"/>
      <c r="Q138" s="2380"/>
      <c r="R138" s="2382"/>
    </row>
    <row r="139" spans="2:18" s="2356" customFormat="1">
      <c r="B139" s="2380"/>
      <c r="C139" s="2380"/>
      <c r="D139" s="2380"/>
      <c r="E139" s="2380"/>
      <c r="F139" s="2380"/>
      <c r="G139" s="2381"/>
      <c r="H139" s="2380"/>
      <c r="I139" s="2381"/>
      <c r="J139" s="2380"/>
      <c r="K139" s="2380"/>
      <c r="L139" s="2381"/>
      <c r="M139" s="2380"/>
      <c r="N139" s="2380"/>
      <c r="O139" s="2381"/>
      <c r="P139" s="2380"/>
      <c r="Q139" s="2380"/>
      <c r="R139" s="2382"/>
    </row>
    <row r="140" spans="2:18" s="2356" customFormat="1">
      <c r="B140" s="2380"/>
      <c r="C140" s="2380"/>
      <c r="D140" s="2380"/>
      <c r="E140" s="2380"/>
      <c r="F140" s="2380"/>
      <c r="G140" s="2381"/>
      <c r="H140" s="2380"/>
      <c r="I140" s="2381"/>
      <c r="J140" s="2380"/>
      <c r="K140" s="2380"/>
      <c r="L140" s="2381"/>
      <c r="M140" s="2380"/>
      <c r="N140" s="2380"/>
      <c r="O140" s="2381"/>
      <c r="P140" s="2380"/>
      <c r="Q140" s="2380"/>
      <c r="R140" s="2382"/>
    </row>
    <row r="141" spans="2:18" s="2356" customFormat="1">
      <c r="B141" s="2380"/>
      <c r="C141" s="2380"/>
      <c r="D141" s="2380"/>
      <c r="E141" s="2380"/>
      <c r="F141" s="2380"/>
      <c r="G141" s="2381"/>
      <c r="H141" s="2380"/>
      <c r="I141" s="2381"/>
      <c r="J141" s="2380"/>
      <c r="K141" s="2380"/>
      <c r="L141" s="2381"/>
      <c r="M141" s="2380"/>
      <c r="N141" s="2380"/>
      <c r="O141" s="2381"/>
      <c r="P141" s="2380"/>
      <c r="Q141" s="2380"/>
      <c r="R141" s="2382"/>
    </row>
    <row r="142" spans="2:18" s="2356" customFormat="1">
      <c r="B142" s="2380"/>
      <c r="C142" s="2380"/>
      <c r="D142" s="2380"/>
      <c r="E142" s="2380"/>
      <c r="F142" s="2380"/>
      <c r="G142" s="2381"/>
      <c r="H142" s="2380"/>
      <c r="I142" s="2381"/>
      <c r="J142" s="2380"/>
      <c r="K142" s="2380"/>
      <c r="L142" s="2381"/>
      <c r="M142" s="2380"/>
      <c r="N142" s="2380"/>
      <c r="O142" s="2381"/>
      <c r="P142" s="2380"/>
      <c r="Q142" s="2380"/>
      <c r="R142" s="2382"/>
    </row>
    <row r="143" spans="2:18" s="2356" customFormat="1">
      <c r="B143" s="2380"/>
      <c r="C143" s="2380"/>
      <c r="D143" s="2380"/>
      <c r="E143" s="2380"/>
      <c r="F143" s="2380"/>
      <c r="G143" s="2381"/>
      <c r="H143" s="2380"/>
      <c r="I143" s="2381"/>
      <c r="J143" s="2380"/>
      <c r="K143" s="2380"/>
      <c r="L143" s="2381"/>
      <c r="M143" s="2380"/>
      <c r="N143" s="2380"/>
      <c r="O143" s="2381"/>
      <c r="P143" s="2380"/>
      <c r="Q143" s="2380"/>
      <c r="R143" s="2382"/>
    </row>
    <row r="144" spans="2:18" s="2356" customFormat="1">
      <c r="B144" s="2380"/>
      <c r="C144" s="2380"/>
      <c r="D144" s="2380"/>
      <c r="E144" s="2380"/>
      <c r="F144" s="2380"/>
      <c r="G144" s="2381"/>
      <c r="H144" s="2380"/>
      <c r="I144" s="2381"/>
      <c r="J144" s="2380"/>
      <c r="K144" s="2380"/>
      <c r="L144" s="2381"/>
      <c r="M144" s="2380"/>
      <c r="N144" s="2380"/>
      <c r="O144" s="2381"/>
      <c r="P144" s="2380"/>
      <c r="Q144" s="2380"/>
      <c r="R144" s="2382"/>
    </row>
    <row r="145" spans="2:18" s="2356" customFormat="1">
      <c r="B145" s="2380"/>
      <c r="C145" s="2380"/>
      <c r="D145" s="2380"/>
      <c r="E145" s="2380"/>
      <c r="F145" s="2380"/>
      <c r="G145" s="2381"/>
      <c r="H145" s="2380"/>
      <c r="I145" s="2381"/>
      <c r="J145" s="2380"/>
      <c r="K145" s="2380"/>
      <c r="L145" s="2381"/>
      <c r="M145" s="2380"/>
      <c r="N145" s="2380"/>
      <c r="O145" s="2381"/>
      <c r="P145" s="2380"/>
      <c r="Q145" s="2380"/>
      <c r="R145" s="2382"/>
    </row>
    <row r="146" spans="2:18" s="2356" customFormat="1">
      <c r="B146" s="2380"/>
      <c r="C146" s="2380"/>
      <c r="D146" s="2380"/>
      <c r="E146" s="2380"/>
      <c r="F146" s="2380"/>
      <c r="G146" s="2381"/>
      <c r="H146" s="2380"/>
      <c r="I146" s="2381"/>
      <c r="J146" s="2380"/>
      <c r="K146" s="2380"/>
      <c r="L146" s="2381"/>
      <c r="M146" s="2380"/>
      <c r="N146" s="2380"/>
      <c r="O146" s="2381"/>
      <c r="P146" s="2380"/>
      <c r="Q146" s="2380"/>
      <c r="R146" s="2382"/>
    </row>
    <row r="147" spans="2:18" s="2356" customFormat="1">
      <c r="B147" s="2380"/>
      <c r="C147" s="2380"/>
      <c r="D147" s="2380"/>
      <c r="E147" s="2380"/>
      <c r="F147" s="2380"/>
      <c r="G147" s="2381"/>
      <c r="H147" s="2380"/>
      <c r="I147" s="2381"/>
      <c r="J147" s="2380"/>
      <c r="K147" s="2380"/>
      <c r="L147" s="2381"/>
      <c r="M147" s="2380"/>
      <c r="N147" s="2380"/>
      <c r="O147" s="2381"/>
      <c r="P147" s="2380"/>
      <c r="Q147" s="2380"/>
      <c r="R147" s="2382"/>
    </row>
    <row r="148" spans="2:18" s="2356" customFormat="1">
      <c r="B148" s="2380"/>
      <c r="C148" s="2380"/>
      <c r="D148" s="2380"/>
      <c r="E148" s="2380"/>
      <c r="F148" s="2380"/>
      <c r="G148" s="2381"/>
      <c r="H148" s="2380"/>
      <c r="I148" s="2381"/>
      <c r="J148" s="2380"/>
      <c r="K148" s="2380"/>
      <c r="L148" s="2381"/>
      <c r="M148" s="2380"/>
      <c r="N148" s="2380"/>
      <c r="O148" s="2381"/>
      <c r="P148" s="2380"/>
      <c r="Q148" s="2380"/>
      <c r="R148" s="2382"/>
    </row>
    <row r="149" spans="2:18" s="2356" customFormat="1">
      <c r="B149" s="2380"/>
      <c r="C149" s="2380"/>
      <c r="D149" s="2380"/>
      <c r="E149" s="2380"/>
      <c r="F149" s="2380"/>
      <c r="G149" s="2381"/>
      <c r="H149" s="2380"/>
      <c r="I149" s="2381"/>
      <c r="J149" s="2380"/>
      <c r="K149" s="2380"/>
      <c r="L149" s="2381"/>
      <c r="M149" s="2380"/>
      <c r="N149" s="2380"/>
      <c r="O149" s="2381"/>
      <c r="P149" s="2380"/>
      <c r="Q149" s="2380"/>
      <c r="R149" s="2382"/>
    </row>
    <row r="150" spans="2:18" s="2356" customFormat="1">
      <c r="B150" s="2380"/>
      <c r="C150" s="2380"/>
      <c r="D150" s="2380"/>
      <c r="E150" s="2380"/>
      <c r="F150" s="2380"/>
      <c r="G150" s="2381"/>
      <c r="H150" s="2380"/>
      <c r="I150" s="2381"/>
      <c r="J150" s="2380"/>
      <c r="K150" s="2380"/>
      <c r="L150" s="2381"/>
      <c r="M150" s="2380"/>
      <c r="N150" s="2380"/>
      <c r="O150" s="2381"/>
      <c r="P150" s="2380"/>
      <c r="Q150" s="2380"/>
      <c r="R150" s="2382"/>
    </row>
    <row r="151" spans="2:18" s="2356" customFormat="1">
      <c r="B151" s="2380"/>
      <c r="C151" s="2380"/>
      <c r="D151" s="2380"/>
      <c r="E151" s="2380"/>
      <c r="F151" s="2380"/>
      <c r="G151" s="2381"/>
      <c r="H151" s="2380"/>
      <c r="I151" s="2381"/>
      <c r="J151" s="2380"/>
      <c r="K151" s="2380"/>
      <c r="L151" s="2381"/>
      <c r="M151" s="2380"/>
      <c r="N151" s="2380"/>
      <c r="O151" s="2381"/>
      <c r="P151" s="2380"/>
      <c r="Q151" s="2380"/>
      <c r="R151" s="2382"/>
    </row>
    <row r="152" spans="2:18" s="2356" customFormat="1">
      <c r="B152" s="2380"/>
      <c r="C152" s="2380"/>
      <c r="D152" s="2380"/>
      <c r="E152" s="2380"/>
      <c r="F152" s="2380"/>
      <c r="G152" s="2381"/>
      <c r="H152" s="2380"/>
      <c r="I152" s="2381"/>
      <c r="J152" s="2380"/>
      <c r="K152" s="2380"/>
      <c r="L152" s="2381"/>
      <c r="M152" s="2380"/>
      <c r="N152" s="2380"/>
      <c r="O152" s="2381"/>
      <c r="P152" s="2380"/>
      <c r="Q152" s="2380"/>
      <c r="R152" s="2382"/>
    </row>
    <row r="153" spans="2:18" s="2356" customFormat="1">
      <c r="B153" s="2380"/>
      <c r="C153" s="2380"/>
      <c r="D153" s="2380"/>
      <c r="E153" s="2380"/>
      <c r="F153" s="2380"/>
      <c r="G153" s="2381"/>
      <c r="H153" s="2380"/>
      <c r="I153" s="2381"/>
      <c r="J153" s="2380"/>
      <c r="K153" s="2380"/>
      <c r="L153" s="2381"/>
      <c r="M153" s="2380"/>
      <c r="N153" s="2380"/>
      <c r="O153" s="2381"/>
      <c r="P153" s="2380"/>
      <c r="Q153" s="2380"/>
      <c r="R153" s="2382"/>
    </row>
    <row r="154" spans="2:18" s="2356" customFormat="1">
      <c r="B154" s="2380"/>
      <c r="C154" s="2380"/>
      <c r="D154" s="2380"/>
      <c r="E154" s="2380"/>
      <c r="F154" s="2380"/>
      <c r="G154" s="2381"/>
      <c r="H154" s="2380"/>
      <c r="I154" s="2381"/>
      <c r="J154" s="2380"/>
      <c r="K154" s="2380"/>
      <c r="L154" s="2381"/>
      <c r="M154" s="2380"/>
      <c r="N154" s="2380"/>
      <c r="O154" s="2381"/>
      <c r="P154" s="2380"/>
      <c r="Q154" s="2380"/>
      <c r="R154" s="2382"/>
    </row>
    <row r="155" spans="2:18" s="2356" customFormat="1">
      <c r="B155" s="2380"/>
      <c r="C155" s="2380"/>
      <c r="D155" s="2380"/>
      <c r="E155" s="2380"/>
      <c r="F155" s="2380"/>
      <c r="G155" s="2381"/>
      <c r="H155" s="2380"/>
      <c r="I155" s="2381"/>
      <c r="J155" s="2380"/>
      <c r="K155" s="2380"/>
      <c r="L155" s="2381"/>
      <c r="M155" s="2380"/>
      <c r="N155" s="2380"/>
      <c r="O155" s="2381"/>
      <c r="P155" s="2380"/>
      <c r="Q155" s="2380"/>
      <c r="R155" s="2382"/>
    </row>
    <row r="156" spans="2:18" s="2356" customFormat="1">
      <c r="B156" s="2380"/>
      <c r="C156" s="2380"/>
      <c r="D156" s="2380"/>
      <c r="E156" s="2380"/>
      <c r="F156" s="2380"/>
      <c r="G156" s="2381"/>
      <c r="H156" s="2380"/>
      <c r="I156" s="2381"/>
      <c r="J156" s="2380"/>
      <c r="K156" s="2380"/>
      <c r="L156" s="2381"/>
      <c r="M156" s="2380"/>
      <c r="N156" s="2380"/>
      <c r="O156" s="2381"/>
      <c r="P156" s="2380"/>
      <c r="Q156" s="2380"/>
      <c r="R156" s="2382"/>
    </row>
    <row r="157" spans="2:18" s="2356" customFormat="1">
      <c r="B157" s="2380"/>
      <c r="C157" s="2380"/>
      <c r="D157" s="2380"/>
      <c r="E157" s="2380"/>
      <c r="F157" s="2380"/>
      <c r="G157" s="2381"/>
      <c r="H157" s="2380"/>
      <c r="I157" s="2381"/>
      <c r="J157" s="2380"/>
      <c r="K157" s="2380"/>
      <c r="L157" s="2381"/>
      <c r="M157" s="2380"/>
      <c r="N157" s="2380"/>
      <c r="O157" s="2381"/>
      <c r="P157" s="2380"/>
      <c r="Q157" s="2380"/>
      <c r="R157" s="2382"/>
    </row>
    <row r="158" spans="2:18" s="2356" customFormat="1">
      <c r="B158" s="2380"/>
      <c r="C158" s="2380"/>
      <c r="D158" s="2380"/>
      <c r="E158" s="2380"/>
      <c r="F158" s="2380"/>
      <c r="G158" s="2381"/>
      <c r="H158" s="2380"/>
      <c r="I158" s="2381"/>
      <c r="J158" s="2380"/>
      <c r="K158" s="2380"/>
      <c r="L158" s="2381"/>
      <c r="M158" s="2380"/>
      <c r="N158" s="2380"/>
      <c r="O158" s="2381"/>
      <c r="P158" s="2380"/>
      <c r="Q158" s="2380"/>
      <c r="R158" s="2382"/>
    </row>
    <row r="159" spans="2:18" s="2356" customFormat="1">
      <c r="B159" s="2380"/>
      <c r="C159" s="2380"/>
      <c r="D159" s="2380"/>
      <c r="E159" s="2380"/>
      <c r="F159" s="2380"/>
      <c r="G159" s="2381"/>
      <c r="H159" s="2380"/>
      <c r="I159" s="2381"/>
      <c r="J159" s="2380"/>
      <c r="K159" s="2380"/>
      <c r="L159" s="2381"/>
      <c r="M159" s="2380"/>
      <c r="N159" s="2380"/>
      <c r="O159" s="2381"/>
      <c r="P159" s="2380"/>
      <c r="Q159" s="2380"/>
      <c r="R159" s="2382"/>
    </row>
    <row r="160" spans="2:18" s="2356" customFormat="1">
      <c r="B160" s="2380"/>
      <c r="C160" s="2380"/>
      <c r="D160" s="2380"/>
      <c r="E160" s="2380"/>
      <c r="F160" s="2380"/>
      <c r="G160" s="2381"/>
      <c r="H160" s="2380"/>
      <c r="I160" s="2381"/>
      <c r="J160" s="2380"/>
      <c r="K160" s="2380"/>
      <c r="L160" s="2381"/>
      <c r="M160" s="2380"/>
      <c r="N160" s="2380"/>
      <c r="O160" s="2381"/>
      <c r="P160" s="2380"/>
      <c r="Q160" s="2380"/>
      <c r="R160" s="2382"/>
    </row>
    <row r="161" spans="2:18" s="2356" customFormat="1">
      <c r="B161" s="2380"/>
      <c r="C161" s="2380"/>
      <c r="D161" s="2380"/>
      <c r="E161" s="2380"/>
      <c r="F161" s="2380"/>
      <c r="G161" s="2381"/>
      <c r="H161" s="2380"/>
      <c r="I161" s="2381"/>
      <c r="J161" s="2380"/>
      <c r="K161" s="2380"/>
      <c r="L161" s="2381"/>
      <c r="M161" s="2380"/>
      <c r="N161" s="2380"/>
      <c r="O161" s="2381"/>
      <c r="P161" s="2380"/>
      <c r="Q161" s="2380"/>
      <c r="R161" s="2382"/>
    </row>
    <row r="162" spans="2:18" s="2356" customFormat="1">
      <c r="B162" s="2380"/>
      <c r="C162" s="2380"/>
      <c r="D162" s="2380"/>
      <c r="E162" s="2380"/>
      <c r="F162" s="2380"/>
      <c r="G162" s="2381"/>
      <c r="H162" s="2380"/>
      <c r="I162" s="2381"/>
      <c r="J162" s="2380"/>
      <c r="K162" s="2380"/>
      <c r="L162" s="2381"/>
      <c r="M162" s="2380"/>
      <c r="N162" s="2380"/>
      <c r="O162" s="2381"/>
      <c r="P162" s="2380"/>
      <c r="Q162" s="2380"/>
      <c r="R162" s="2382"/>
    </row>
    <row r="163" spans="2:18" s="2356" customFormat="1">
      <c r="B163" s="2380"/>
      <c r="C163" s="2380"/>
      <c r="D163" s="2380"/>
      <c r="E163" s="2380"/>
      <c r="F163" s="2380"/>
      <c r="G163" s="2381"/>
      <c r="H163" s="2380"/>
      <c r="I163" s="2381"/>
      <c r="J163" s="2380"/>
      <c r="K163" s="2380"/>
      <c r="L163" s="2381"/>
      <c r="M163" s="2380"/>
      <c r="N163" s="2380"/>
      <c r="O163" s="2381"/>
      <c r="P163" s="2380"/>
      <c r="Q163" s="2380"/>
      <c r="R163" s="2382"/>
    </row>
    <row r="164" spans="2:18" s="2356" customFormat="1">
      <c r="B164" s="2380"/>
      <c r="C164" s="2380"/>
      <c r="D164" s="2380"/>
      <c r="E164" s="2380"/>
      <c r="F164" s="2380"/>
      <c r="G164" s="2381"/>
      <c r="H164" s="2380"/>
      <c r="I164" s="2381"/>
      <c r="J164" s="2380"/>
      <c r="K164" s="2380"/>
      <c r="L164" s="2381"/>
      <c r="M164" s="2380"/>
      <c r="N164" s="2380"/>
      <c r="O164" s="2381"/>
      <c r="P164" s="2380"/>
      <c r="Q164" s="2380"/>
      <c r="R164" s="2382"/>
    </row>
    <row r="165" spans="2:18" s="2356" customFormat="1">
      <c r="B165" s="2380"/>
      <c r="C165" s="2380"/>
      <c r="D165" s="2380"/>
      <c r="E165" s="2380"/>
      <c r="F165" s="2380"/>
      <c r="G165" s="2381"/>
      <c r="H165" s="2380"/>
      <c r="I165" s="2381"/>
      <c r="J165" s="2380"/>
      <c r="K165" s="2380"/>
      <c r="L165" s="2381"/>
      <c r="M165" s="2380"/>
      <c r="N165" s="2380"/>
      <c r="O165" s="2381"/>
      <c r="P165" s="2380"/>
      <c r="Q165" s="2380"/>
      <c r="R165" s="2382"/>
    </row>
    <row r="166" spans="2:18" s="2356" customFormat="1">
      <c r="B166" s="2380"/>
      <c r="C166" s="2380"/>
      <c r="D166" s="2380"/>
      <c r="E166" s="2380"/>
      <c r="F166" s="2380"/>
      <c r="G166" s="2381"/>
      <c r="H166" s="2380"/>
      <c r="I166" s="2381"/>
      <c r="J166" s="2380"/>
      <c r="K166" s="2380"/>
      <c r="L166" s="2381"/>
      <c r="M166" s="2380"/>
      <c r="N166" s="2380"/>
      <c r="O166" s="2381"/>
      <c r="P166" s="2380"/>
      <c r="Q166" s="2380"/>
      <c r="R166" s="2382"/>
    </row>
    <row r="167" spans="2:18" s="2356" customFormat="1">
      <c r="B167" s="2380"/>
      <c r="C167" s="2380"/>
      <c r="D167" s="2380"/>
      <c r="E167" s="2380"/>
      <c r="F167" s="2380"/>
      <c r="G167" s="2381"/>
      <c r="H167" s="2380"/>
      <c r="I167" s="2381"/>
      <c r="J167" s="2380"/>
      <c r="K167" s="2380"/>
      <c r="L167" s="2381"/>
      <c r="M167" s="2380"/>
      <c r="N167" s="2380"/>
      <c r="O167" s="2381"/>
      <c r="P167" s="2380"/>
      <c r="Q167" s="2380"/>
      <c r="R167" s="2382"/>
    </row>
    <row r="168" spans="2:18" s="2356" customFormat="1">
      <c r="B168" s="2380"/>
      <c r="C168" s="2380"/>
      <c r="D168" s="2380"/>
      <c r="E168" s="2380"/>
      <c r="F168" s="2380"/>
      <c r="G168" s="2381"/>
      <c r="H168" s="2380"/>
      <c r="I168" s="2381"/>
      <c r="J168" s="2380"/>
      <c r="K168" s="2380"/>
      <c r="L168" s="2381"/>
      <c r="M168" s="2380"/>
      <c r="N168" s="2380"/>
      <c r="O168" s="2381"/>
      <c r="P168" s="2380"/>
      <c r="Q168" s="2380"/>
      <c r="R168" s="2382"/>
    </row>
    <row r="169" spans="2:18" s="2356" customFormat="1">
      <c r="B169" s="2380"/>
      <c r="C169" s="2380"/>
      <c r="D169" s="2380"/>
      <c r="E169" s="2380"/>
      <c r="F169" s="2380"/>
      <c r="G169" s="2381"/>
      <c r="H169" s="2380"/>
      <c r="I169" s="2381"/>
      <c r="J169" s="2380"/>
      <c r="K169" s="2380"/>
      <c r="L169" s="2381"/>
      <c r="M169" s="2380"/>
      <c r="N169" s="2380"/>
      <c r="O169" s="2381"/>
      <c r="P169" s="2380"/>
      <c r="Q169" s="2380"/>
      <c r="R169" s="2382"/>
    </row>
    <row r="170" spans="2:18" s="2356" customFormat="1">
      <c r="B170" s="2380"/>
      <c r="C170" s="2380"/>
      <c r="D170" s="2380"/>
      <c r="E170" s="2380"/>
      <c r="F170" s="2380"/>
      <c r="G170" s="2381"/>
      <c r="H170" s="2380"/>
      <c r="I170" s="2381"/>
      <c r="J170" s="2380"/>
      <c r="K170" s="2380"/>
      <c r="L170" s="2381"/>
      <c r="M170" s="2380"/>
      <c r="N170" s="2380"/>
      <c r="O170" s="2381"/>
      <c r="P170" s="2380"/>
      <c r="Q170" s="2380"/>
      <c r="R170" s="2382"/>
    </row>
    <row r="171" spans="2:18" s="2356" customFormat="1">
      <c r="B171" s="2380"/>
      <c r="C171" s="2380"/>
      <c r="D171" s="2380"/>
      <c r="E171" s="2380"/>
      <c r="F171" s="2380"/>
      <c r="G171" s="2381"/>
      <c r="H171" s="2380"/>
      <c r="I171" s="2381"/>
      <c r="J171" s="2380"/>
      <c r="K171" s="2380"/>
      <c r="L171" s="2381"/>
      <c r="M171" s="2380"/>
      <c r="N171" s="2380"/>
      <c r="O171" s="2381"/>
      <c r="P171" s="2380"/>
      <c r="Q171" s="2380"/>
      <c r="R171" s="2382"/>
    </row>
    <row r="172" spans="2:18" s="2356" customFormat="1">
      <c r="B172" s="2380"/>
      <c r="C172" s="2380"/>
      <c r="D172" s="2380"/>
      <c r="E172" s="2380"/>
      <c r="F172" s="2380"/>
      <c r="G172" s="2381"/>
      <c r="H172" s="2380"/>
      <c r="I172" s="2381"/>
      <c r="J172" s="2380"/>
      <c r="K172" s="2380"/>
      <c r="L172" s="2381"/>
      <c r="M172" s="2380"/>
      <c r="N172" s="2380"/>
      <c r="O172" s="2381"/>
      <c r="P172" s="2380"/>
      <c r="Q172" s="2380"/>
      <c r="R172" s="2382"/>
    </row>
    <row r="173" spans="2:18" s="2356" customFormat="1">
      <c r="B173" s="2380"/>
      <c r="C173" s="2380"/>
      <c r="D173" s="2380"/>
      <c r="E173" s="2380"/>
      <c r="F173" s="2380"/>
      <c r="G173" s="2381"/>
      <c r="H173" s="2380"/>
      <c r="I173" s="2381"/>
      <c r="J173" s="2380"/>
      <c r="K173" s="2380"/>
      <c r="L173" s="2381"/>
      <c r="M173" s="2380"/>
      <c r="N173" s="2380"/>
      <c r="O173" s="2381"/>
      <c r="P173" s="2380"/>
      <c r="Q173" s="2380"/>
      <c r="R173" s="2382"/>
    </row>
    <row r="174" spans="2:18" s="2356" customFormat="1">
      <c r="B174" s="2380"/>
      <c r="C174" s="2380"/>
      <c r="D174" s="2380"/>
      <c r="E174" s="2380"/>
      <c r="F174" s="2380"/>
      <c r="G174" s="2381"/>
      <c r="H174" s="2380"/>
      <c r="I174" s="2381"/>
      <c r="J174" s="2380"/>
      <c r="K174" s="2380"/>
      <c r="L174" s="2381"/>
      <c r="M174" s="2380"/>
      <c r="N174" s="2380"/>
      <c r="O174" s="2381"/>
      <c r="P174" s="2380"/>
      <c r="Q174" s="2380"/>
      <c r="R174" s="2382"/>
    </row>
    <row r="175" spans="2:18" s="2356" customFormat="1">
      <c r="B175" s="2380"/>
      <c r="C175" s="2380"/>
      <c r="D175" s="2380"/>
      <c r="E175" s="2380"/>
      <c r="F175" s="2380"/>
      <c r="G175" s="2381"/>
      <c r="H175" s="2380"/>
      <c r="I175" s="2381"/>
      <c r="J175" s="2380"/>
      <c r="K175" s="2380"/>
      <c r="L175" s="2381"/>
      <c r="M175" s="2380"/>
      <c r="N175" s="2380"/>
      <c r="O175" s="2381"/>
      <c r="P175" s="2380"/>
      <c r="Q175" s="2380"/>
      <c r="R175" s="2382"/>
    </row>
    <row r="176" spans="2:18" s="2356" customFormat="1">
      <c r="B176" s="2380"/>
      <c r="C176" s="2380"/>
      <c r="D176" s="2380"/>
      <c r="E176" s="2380"/>
      <c r="F176" s="2380"/>
      <c r="G176" s="2381"/>
      <c r="H176" s="2380"/>
      <c r="I176" s="2381"/>
      <c r="J176" s="2380"/>
      <c r="K176" s="2380"/>
      <c r="L176" s="2381"/>
      <c r="M176" s="2380"/>
      <c r="N176" s="2380"/>
      <c r="O176" s="2381"/>
      <c r="P176" s="2380"/>
      <c r="Q176" s="2380"/>
      <c r="R176" s="2382"/>
    </row>
    <row r="177" spans="1:18" s="2356" customFormat="1">
      <c r="B177" s="2380"/>
      <c r="C177" s="2380"/>
      <c r="D177" s="2380"/>
      <c r="E177" s="2380"/>
      <c r="F177" s="2380"/>
      <c r="G177" s="2381"/>
      <c r="H177" s="2380"/>
      <c r="I177" s="2381"/>
      <c r="J177" s="2380"/>
      <c r="K177" s="2380"/>
      <c r="L177" s="2381"/>
      <c r="M177" s="2380"/>
      <c r="N177" s="2380"/>
      <c r="O177" s="2381"/>
      <c r="P177" s="2380"/>
      <c r="Q177" s="2380"/>
      <c r="R177" s="2382"/>
    </row>
    <row r="178" spans="1:18" s="2356" customFormat="1">
      <c r="B178" s="2380"/>
      <c r="C178" s="2380"/>
      <c r="D178" s="2380"/>
      <c r="E178" s="2380"/>
      <c r="F178" s="2380"/>
      <c r="G178" s="2381"/>
      <c r="H178" s="2380"/>
      <c r="I178" s="2381"/>
      <c r="J178" s="2380"/>
      <c r="K178" s="2380"/>
      <c r="L178" s="2381"/>
      <c r="M178" s="2380"/>
      <c r="N178" s="2380"/>
      <c r="O178" s="2381"/>
      <c r="P178" s="2380"/>
      <c r="Q178" s="2380"/>
      <c r="R178" s="2382"/>
    </row>
    <row r="179" spans="1:18" s="2356" customFormat="1">
      <c r="B179" s="2380"/>
      <c r="C179" s="2380"/>
      <c r="D179" s="2380"/>
      <c r="E179" s="2380"/>
      <c r="F179" s="2380"/>
      <c r="G179" s="2381"/>
      <c r="H179" s="2380"/>
      <c r="I179" s="2381"/>
      <c r="J179" s="2380"/>
      <c r="K179" s="2380"/>
      <c r="L179" s="2381"/>
      <c r="M179" s="2380"/>
      <c r="N179" s="2380"/>
      <c r="O179" s="2381"/>
      <c r="P179" s="2380"/>
      <c r="Q179" s="2380"/>
      <c r="R179" s="2382"/>
    </row>
    <row r="180" spans="1:18" s="2356" customFormat="1">
      <c r="B180" s="2380"/>
      <c r="C180" s="2380"/>
      <c r="D180" s="2380"/>
      <c r="E180" s="2380"/>
      <c r="F180" s="2380"/>
      <c r="G180" s="2381"/>
      <c r="H180" s="2380"/>
      <c r="I180" s="2381"/>
      <c r="J180" s="2380"/>
      <c r="K180" s="2380"/>
      <c r="L180" s="2381"/>
      <c r="M180" s="2380"/>
      <c r="N180" s="2380"/>
      <c r="O180" s="2381"/>
      <c r="P180" s="2380"/>
      <c r="Q180" s="2380"/>
      <c r="R180" s="2382"/>
    </row>
    <row r="181" spans="1:18" s="2356" customFormat="1">
      <c r="B181" s="2380"/>
      <c r="C181" s="2380"/>
      <c r="D181" s="2380"/>
      <c r="E181" s="2380"/>
      <c r="F181" s="2380"/>
      <c r="G181" s="2381"/>
      <c r="H181" s="2380"/>
      <c r="I181" s="2381"/>
      <c r="J181" s="2380"/>
      <c r="K181" s="2380"/>
      <c r="L181" s="2381"/>
      <c r="M181" s="2380"/>
      <c r="N181" s="2380"/>
      <c r="O181" s="2381"/>
      <c r="P181" s="2380"/>
      <c r="Q181" s="2380"/>
      <c r="R181" s="2382"/>
    </row>
    <row r="182" spans="1:18" s="2356" customFormat="1">
      <c r="B182" s="2380"/>
      <c r="C182" s="2380"/>
      <c r="D182" s="2380"/>
      <c r="E182" s="2380"/>
      <c r="F182" s="2380"/>
      <c r="G182" s="2381"/>
      <c r="H182" s="2380"/>
      <c r="I182" s="2381"/>
      <c r="J182" s="2380"/>
      <c r="K182" s="2380"/>
      <c r="L182" s="2381"/>
      <c r="M182" s="2380"/>
      <c r="N182" s="2380"/>
      <c r="O182" s="2381"/>
      <c r="P182" s="2380"/>
      <c r="Q182" s="2380"/>
      <c r="R182" s="2382"/>
    </row>
    <row r="183" spans="1:18" s="2356" customFormat="1">
      <c r="B183" s="2380"/>
      <c r="C183" s="2380"/>
      <c r="D183" s="2380"/>
      <c r="E183" s="2380"/>
      <c r="F183" s="2380"/>
      <c r="G183" s="2381"/>
      <c r="H183" s="2380"/>
      <c r="I183" s="2381"/>
      <c r="J183" s="2380"/>
      <c r="K183" s="2380"/>
      <c r="L183" s="2381"/>
      <c r="M183" s="2380"/>
      <c r="N183" s="2380"/>
      <c r="O183" s="2381"/>
      <c r="P183" s="2380"/>
      <c r="Q183" s="2380"/>
      <c r="R183" s="2382"/>
    </row>
    <row r="184" spans="1:18" s="2356" customFormat="1">
      <c r="B184" s="2380"/>
      <c r="C184" s="2380"/>
      <c r="D184" s="2380"/>
      <c r="E184" s="2380"/>
      <c r="F184" s="2380"/>
      <c r="G184" s="2381"/>
      <c r="H184" s="2380"/>
      <c r="I184" s="2381"/>
      <c r="J184" s="2380"/>
      <c r="K184" s="2380"/>
      <c r="L184" s="2381"/>
      <c r="M184" s="2380"/>
      <c r="N184" s="2380"/>
      <c r="O184" s="2381"/>
      <c r="P184" s="2380"/>
      <c r="Q184" s="2380"/>
      <c r="R184" s="2382"/>
    </row>
    <row r="185" spans="1:18" s="2356"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6"/>
      <c r="B186" s="2380"/>
      <c r="C186" s="2380"/>
      <c r="E186" s="2380"/>
      <c r="F186" s="2380"/>
      <c r="G186" s="2381"/>
    </row>
    <row r="187" spans="1:18">
      <c r="A187" s="2356"/>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 sqref="B2"/>
    </sheetView>
  </sheetViews>
  <sheetFormatPr defaultRowHeight="13.5"/>
  <cols>
    <col min="1" max="1" width="23.375" style="1733" customWidth="1"/>
    <col min="2" max="9" width="15.75" style="1733" customWidth="1"/>
    <col min="10" max="16384" width="9" style="1733"/>
  </cols>
  <sheetData>
    <row r="1" spans="1:10" ht="16.5">
      <c r="A1" s="1738" t="s">
        <v>1365</v>
      </c>
      <c r="B1" s="1738">
        <f>SUM(B14:B23)</f>
        <v>143227.81999999998</v>
      </c>
      <c r="C1" s="1737"/>
      <c r="D1" s="1737"/>
      <c r="E1" s="1737"/>
      <c r="F1" s="1737"/>
      <c r="G1" s="1735"/>
    </row>
    <row r="2" spans="1:10" ht="16.5">
      <c r="A2" s="1738" t="s">
        <v>1353</v>
      </c>
      <c r="B2" s="1738">
        <f>SUM(C14:C23)</f>
        <v>113954.68</v>
      </c>
      <c r="C2" s="1737"/>
      <c r="D2" s="1737"/>
      <c r="E2" s="1737"/>
      <c r="F2" s="1737"/>
      <c r="G2" s="1735"/>
    </row>
    <row r="3" spans="1:10" ht="16.5">
      <c r="A3" s="1738" t="s">
        <v>1362</v>
      </c>
      <c r="B3" s="1739">
        <f>项目基本情况!D3</f>
        <v>43207</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33950</v>
      </c>
      <c r="C5" s="1738">
        <f ca="1">ROUND(B5*10000/$B$1,0)</f>
        <v>2370</v>
      </c>
      <c r="D5" s="1738">
        <f ca="1">ROUND(B5*10000/$B$2,0)</f>
        <v>2979</v>
      </c>
      <c r="E5" s="1737"/>
      <c r="F5" s="1735"/>
      <c r="G5" s="1735"/>
    </row>
    <row r="6" spans="1:10" ht="16.5">
      <c r="A6" s="1738" t="s">
        <v>1356</v>
      </c>
      <c r="B6" s="1738">
        <f ca="1">SUM(G14:G23)</f>
        <v>33950</v>
      </c>
      <c r="C6" s="1738">
        <f ca="1">ROUND(B6*10000/$B$1,0)</f>
        <v>2370</v>
      </c>
      <c r="D6" s="1738">
        <f ca="1">ROUND(B6*10000/$B$2,0)</f>
        <v>2979</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72085.949999999983</v>
      </c>
      <c r="C14" s="1736">
        <f>结果表!C118</f>
        <v>57352.9</v>
      </c>
      <c r="D14" s="1736">
        <f ca="1">结果表!H118</f>
        <v>14574</v>
      </c>
      <c r="E14" s="1736">
        <f ca="1">ROUND(D14*10000/B14,0)</f>
        <v>2022</v>
      </c>
      <c r="F14" s="1736">
        <f ca="1">ROUND(D14*10000/C14,0)</f>
        <v>2541</v>
      </c>
      <c r="G14" s="1736">
        <f ca="1">结果表!D122</f>
        <v>14574</v>
      </c>
      <c r="H14" s="1736" t="str">
        <f>结果表!D124</f>
        <v>——</v>
      </c>
      <c r="I14" s="1736" t="str">
        <f>结果表!D126</f>
        <v>——</v>
      </c>
      <c r="J14" s="1735"/>
    </row>
    <row r="15" spans="1:10" ht="16.5">
      <c r="A15" s="1734" t="s">
        <v>1349</v>
      </c>
      <c r="B15" s="1741">
        <f>[3]典型户型修正!$B$22</f>
        <v>3614.68</v>
      </c>
      <c r="C15" s="1741">
        <f>'[3]数据-基础表'!$E$13+'[3]数据-基础表'!$E$14</f>
        <v>2875.91</v>
      </c>
      <c r="D15" s="1741">
        <f>[3]典型户型修正!$B$20</f>
        <v>3667</v>
      </c>
      <c r="E15" s="1736">
        <f t="shared" ref="E15:E23" si="0">ROUND(D15*10000/B15,0)</f>
        <v>10145</v>
      </c>
      <c r="F15" s="1736">
        <f t="shared" ref="F15:F23" si="1">ROUND(D15*10000/C15,0)</f>
        <v>12751</v>
      </c>
      <c r="G15" s="1742">
        <f>D15</f>
        <v>3667</v>
      </c>
      <c r="H15" s="1742"/>
      <c r="I15" s="1741"/>
      <c r="J15" s="1735"/>
    </row>
    <row r="16" spans="1:10" ht="16.5">
      <c r="A16" s="1734" t="s">
        <v>1348</v>
      </c>
      <c r="B16" s="1741">
        <f>[4]典型户型修正!$B$22</f>
        <v>3361.5600000000004</v>
      </c>
      <c r="C16" s="1741">
        <f>'[4]数据-基础表'!$E$15+'[4]数据-基础表'!$E$20</f>
        <v>2674.52</v>
      </c>
      <c r="D16" s="1741">
        <f>[4]典型户型修正!$B$20</f>
        <v>2492</v>
      </c>
      <c r="E16" s="1736">
        <f t="shared" si="0"/>
        <v>7413</v>
      </c>
      <c r="F16" s="1736">
        <f t="shared" si="1"/>
        <v>9318</v>
      </c>
      <c r="G16" s="1742">
        <f>D16</f>
        <v>2492</v>
      </c>
      <c r="H16" s="1742"/>
      <c r="I16" s="1741"/>
    </row>
    <row r="17" spans="1:9" ht="16.5">
      <c r="A17" s="1734" t="s">
        <v>1347</v>
      </c>
      <c r="B17" s="1741">
        <f>[5]结果表!$L$18</f>
        <v>64165.63</v>
      </c>
      <c r="C17" s="1741">
        <f>[5]结果表!$L$19</f>
        <v>51051.35</v>
      </c>
      <c r="D17" s="1741">
        <f ca="1">[5]结果表!$G$19</f>
        <v>13217</v>
      </c>
      <c r="E17" s="1736">
        <f t="shared" ca="1" si="0"/>
        <v>2060</v>
      </c>
      <c r="F17" s="1736">
        <f t="shared" ca="1" si="1"/>
        <v>2589</v>
      </c>
      <c r="G17" s="1742">
        <f ca="1">D17</f>
        <v>13217</v>
      </c>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C1" sqref="C1"/>
    </sheetView>
  </sheetViews>
  <sheetFormatPr defaultColWidth="12.625" defaultRowHeight="21.75" customHeight="1"/>
  <cols>
    <col min="1" max="2" width="12.625" style="2409"/>
    <col min="3" max="4" width="12.625" style="2409" customWidth="1"/>
    <col min="5" max="9" width="12.625" style="2409"/>
    <col min="10" max="11" width="12.625" style="791" customWidth="1"/>
    <col min="12" max="12" width="12.625" style="791"/>
    <col min="13" max="13" width="14.125" style="791" bestFit="1" customWidth="1"/>
    <col min="14" max="26" width="12.625" style="791"/>
    <col min="27" max="35" width="12.625" style="2408"/>
    <col min="36" max="16384" width="12.625" style="2409"/>
  </cols>
  <sheetData>
    <row r="1" spans="1:12" ht="21.75" customHeight="1" thickBot="1">
      <c r="A1" s="2214" t="s">
        <v>2107</v>
      </c>
      <c r="B1" s="2403"/>
      <c r="C1" s="2404"/>
      <c r="D1" s="2403"/>
      <c r="E1" s="2403"/>
      <c r="F1" s="2405" t="s">
        <v>2108</v>
      </c>
      <c r="G1" s="2061" t="s">
        <v>3157</v>
      </c>
      <c r="H1" s="2406" t="str">
        <f>IF(G1="现房","——","估价对象范围")</f>
        <v>估价对象范围</v>
      </c>
      <c r="I1" s="2407" t="s">
        <v>3545</v>
      </c>
    </row>
    <row r="2" spans="1:12" ht="21.75" customHeight="1" thickBot="1">
      <c r="A2" s="3233" t="str">
        <f>项目基本情况!S2</f>
        <v>山东省滨州市渤海十一路以东、盛华路以南出让国有建设用地使用权及在建建筑物房地产</v>
      </c>
      <c r="B2" s="3234"/>
      <c r="C2" s="3234"/>
      <c r="D2" s="3234"/>
      <c r="E2" s="3234"/>
      <c r="F2" s="3234"/>
      <c r="G2" s="3234"/>
      <c r="H2" s="3234"/>
      <c r="I2" s="3235"/>
    </row>
    <row r="3" spans="1:12" ht="12.75">
      <c r="A3" s="3236" t="s">
        <v>2109</v>
      </c>
      <c r="B3" s="3237"/>
      <c r="C3" s="3237"/>
      <c r="D3" s="3237"/>
      <c r="E3" s="3237"/>
      <c r="F3" s="3237"/>
      <c r="G3" s="3237"/>
      <c r="H3" s="3237"/>
      <c r="I3" s="3237"/>
    </row>
    <row r="4" spans="1:12" ht="14.25">
      <c r="A4" s="2410" t="s">
        <v>2110</v>
      </c>
      <c r="B4" s="2411" t="s">
        <v>2111</v>
      </c>
      <c r="C4" s="2412" t="s">
        <v>3533</v>
      </c>
      <c r="D4" s="2412" t="s">
        <v>3534</v>
      </c>
      <c r="E4" s="3217" t="s">
        <v>2112</v>
      </c>
      <c r="F4" s="3230"/>
      <c r="G4" s="3230"/>
      <c r="H4" s="3230"/>
      <c r="I4" s="3218"/>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假设开发法</v>
      </c>
    </row>
    <row r="5" spans="1:12" ht="12.75">
      <c r="A5" s="3208" t="s">
        <v>2113</v>
      </c>
      <c r="B5" s="3134">
        <v>25</v>
      </c>
      <c r="C5" s="3238"/>
      <c r="D5" s="3226"/>
      <c r="E5" s="138" t="s">
        <v>2114</v>
      </c>
      <c r="F5" s="2414"/>
      <c r="G5" s="2414"/>
      <c r="H5" s="2414"/>
      <c r="I5" s="1826"/>
    </row>
    <row r="6" spans="1:12" ht="12.75">
      <c r="A6" s="3208"/>
      <c r="B6" s="3134"/>
      <c r="C6" s="3240"/>
      <c r="D6" s="3226"/>
      <c r="E6" s="138" t="s">
        <v>2115</v>
      </c>
      <c r="F6" s="2414"/>
      <c r="G6" s="2414"/>
      <c r="H6" s="2414"/>
      <c r="I6" s="1826"/>
    </row>
    <row r="7" spans="1:12" ht="12.75">
      <c r="A7" s="3208"/>
      <c r="B7" s="3134"/>
      <c r="C7" s="3239"/>
      <c r="D7" s="3226"/>
      <c r="E7" s="138" t="s">
        <v>2116</v>
      </c>
      <c r="F7" s="2414"/>
      <c r="G7" s="2414"/>
      <c r="H7" s="2414"/>
      <c r="I7" s="1826"/>
    </row>
    <row r="8" spans="1:12" ht="12.75">
      <c r="A8" s="3208" t="s">
        <v>2117</v>
      </c>
      <c r="B8" s="3134">
        <v>15</v>
      </c>
      <c r="C8" s="3238"/>
      <c r="D8" s="3226"/>
      <c r="E8" s="138" t="s">
        <v>2118</v>
      </c>
      <c r="F8" s="2414"/>
      <c r="G8" s="2414"/>
      <c r="H8" s="2414"/>
      <c r="I8" s="1826"/>
    </row>
    <row r="9" spans="1:12" ht="12.75">
      <c r="A9" s="3208"/>
      <c r="B9" s="3134"/>
      <c r="C9" s="3239"/>
      <c r="D9" s="3226"/>
      <c r="E9" s="138" t="s">
        <v>2119</v>
      </c>
      <c r="F9" s="2414"/>
      <c r="G9" s="2414"/>
      <c r="H9" s="2414"/>
      <c r="I9" s="1826"/>
    </row>
    <row r="10" spans="1:12" ht="12.75">
      <c r="A10" s="3208" t="s">
        <v>2120</v>
      </c>
      <c r="B10" s="3134">
        <v>15</v>
      </c>
      <c r="C10" s="3238"/>
      <c r="D10" s="3226"/>
      <c r="E10" s="138" t="s">
        <v>2121</v>
      </c>
      <c r="F10" s="2414"/>
      <c r="G10" s="2414"/>
      <c r="H10" s="2414"/>
      <c r="I10" s="1826"/>
    </row>
    <row r="11" spans="1:12" ht="12.75">
      <c r="A11" s="3208"/>
      <c r="B11" s="3134"/>
      <c r="C11" s="3239"/>
      <c r="D11" s="3226"/>
      <c r="E11" s="138" t="s">
        <v>2122</v>
      </c>
      <c r="F11" s="2414"/>
      <c r="G11" s="2414"/>
      <c r="H11" s="2414"/>
      <c r="I11" s="1826"/>
    </row>
    <row r="12" spans="1:12" ht="12.75">
      <c r="A12" s="3208" t="s">
        <v>2123</v>
      </c>
      <c r="B12" s="3134">
        <v>15</v>
      </c>
      <c r="C12" s="3238"/>
      <c r="D12" s="3226"/>
      <c r="E12" s="138" t="s">
        <v>2124</v>
      </c>
      <c r="F12" s="2414"/>
      <c r="G12" s="2414"/>
      <c r="H12" s="2414"/>
      <c r="I12" s="1826"/>
    </row>
    <row r="13" spans="1:12" ht="12.75">
      <c r="A13" s="3208"/>
      <c r="B13" s="3134"/>
      <c r="C13" s="3239"/>
      <c r="D13" s="3226"/>
      <c r="E13" s="138" t="s">
        <v>2125</v>
      </c>
      <c r="F13" s="2414"/>
      <c r="G13" s="2414"/>
      <c r="H13" s="2414"/>
      <c r="I13" s="1826"/>
    </row>
    <row r="14" spans="1:12" ht="12.75">
      <c r="A14" s="3208" t="s">
        <v>2126</v>
      </c>
      <c r="B14" s="3134">
        <v>30</v>
      </c>
      <c r="C14" s="3238">
        <v>4</v>
      </c>
      <c r="D14" s="3226">
        <v>6</v>
      </c>
      <c r="E14" s="138" t="s">
        <v>2127</v>
      </c>
      <c r="F14" s="2414"/>
      <c r="G14" s="2414"/>
      <c r="H14" s="2414"/>
      <c r="I14" s="1826"/>
    </row>
    <row r="15" spans="1:12" ht="12.75">
      <c r="A15" s="3208"/>
      <c r="B15" s="3134"/>
      <c r="C15" s="3240"/>
      <c r="D15" s="3226"/>
      <c r="E15" s="138" t="s">
        <v>2128</v>
      </c>
      <c r="F15" s="2414"/>
      <c r="G15" s="2414"/>
      <c r="H15" s="2414"/>
      <c r="I15" s="1826"/>
    </row>
    <row r="16" spans="1:12" ht="12.75">
      <c r="A16" s="3208"/>
      <c r="B16" s="3134"/>
      <c r="C16" s="3239"/>
      <c r="D16" s="3226"/>
      <c r="E16" s="138" t="s">
        <v>2129</v>
      </c>
      <c r="F16" s="2414"/>
      <c r="G16" s="2414"/>
      <c r="H16" s="2414"/>
      <c r="I16" s="1826"/>
    </row>
    <row r="17" spans="1:35" ht="15">
      <c r="A17" s="2415" t="s">
        <v>2130</v>
      </c>
      <c r="B17" s="64"/>
      <c r="C17" s="139">
        <f>SUM(C5:C16)</f>
        <v>4</v>
      </c>
      <c r="D17" s="139">
        <f>SUM(D5:D16)</f>
        <v>6</v>
      </c>
      <c r="E17" s="136"/>
      <c r="F17" s="136"/>
      <c r="G17" s="136"/>
      <c r="H17" s="136"/>
      <c r="I17" s="136"/>
      <c r="K17" s="2413"/>
      <c r="L17" s="2416" t="s">
        <v>2131</v>
      </c>
      <c r="M17" s="2416" t="s">
        <v>2132</v>
      </c>
    </row>
    <row r="18" spans="1:35" ht="15.75" thickBot="1">
      <c r="A18" s="2417" t="s">
        <v>2133</v>
      </c>
      <c r="B18" s="2418"/>
      <c r="C18" s="140">
        <f>ROUND(C17/SUM(C17:D17),2)</f>
        <v>0.4</v>
      </c>
      <c r="D18" s="140">
        <f>1-C18</f>
        <v>0.6</v>
      </c>
      <c r="E18" s="136"/>
      <c r="F18" s="136"/>
      <c r="G18" s="136"/>
      <c r="H18" s="136"/>
      <c r="I18" s="136"/>
      <c r="K18" s="2413" t="s">
        <v>2134</v>
      </c>
      <c r="L18" s="2413">
        <f>IF(C1="",'数据-汇总表'!E3,SUMIF(项目类型,C1,'数据-汇总表'!E17:E26)+SUMIF(项目类型,C1,'数据-汇总表'!I17:I26))</f>
        <v>72085.949999999983</v>
      </c>
      <c r="M18" s="2413">
        <f>IF(C1="",'数据-汇总表'!E3,SUMIF(项目类型,C1,'数据-汇总表'!E17:E26))</f>
        <v>72085.949999999983</v>
      </c>
    </row>
    <row r="19" spans="1:35" ht="15">
      <c r="A19" s="2419" t="s">
        <v>2135</v>
      </c>
      <c r="B19" s="2420" t="s">
        <v>2136</v>
      </c>
      <c r="C19" s="141">
        <f ca="1">SUMIF(INDIRECT("'"&amp;C4&amp;"'"&amp;"!A:A"),结果表!B19,INDIRECT("'"&amp;C4&amp;"'"&amp;"!B:B"))</f>
        <v>17221</v>
      </c>
      <c r="D19" s="142">
        <f ca="1">SUMIF(INDIRECT("'"&amp;D4&amp;"'"&amp;"!A:A"),结果表!B19,INDIRECT("'"&amp;D4&amp;"'"&amp;"!B:B"))</f>
        <v>12809</v>
      </c>
      <c r="E19" s="2419" t="s">
        <v>2137</v>
      </c>
      <c r="F19" s="2420" t="s">
        <v>2136</v>
      </c>
      <c r="G19" s="143">
        <f ca="1">ROUND(C19*$C$18+D19*$D$18,0)</f>
        <v>14574</v>
      </c>
      <c r="H19" s="2421" t="s">
        <v>2138</v>
      </c>
      <c r="I19" s="136"/>
      <c r="K19" s="2413" t="s">
        <v>2139</v>
      </c>
      <c r="L19" s="2413">
        <f>IF(C1="",'数据-汇总表'!D3,SUMIF(项目类型,C1,'数据-汇总表'!D17:D26)+SUMIF(项目类型,C1,'数据-汇总表'!H17:H27))</f>
        <v>57352.9</v>
      </c>
      <c r="M19" s="2413">
        <f>IF(C1="",'数据-汇总表'!D3,SUMIF(项目类型,C1,'数据-汇总表'!D17:D26))</f>
        <v>57352.9</v>
      </c>
    </row>
    <row r="20" spans="1:35" ht="15">
      <c r="A20" s="2422"/>
      <c r="B20" s="1243" t="s">
        <v>2140</v>
      </c>
      <c r="C20" s="144">
        <f ca="1">SUMIF(INDIRECT("'"&amp;C4&amp;"'"&amp;"!A:A"),结果表!B20,INDIRECT("'"&amp;C4&amp;"'"&amp;"!B:B"))</f>
        <v>2389</v>
      </c>
      <c r="D20" s="145">
        <f ca="1">SUMIF(INDIRECT("'"&amp;D4&amp;"'"&amp;"!A:A"),结果表!B20,INDIRECT("'"&amp;D4&amp;"'"&amp;"!B:B"))</f>
        <v>1777</v>
      </c>
      <c r="E20" s="2422"/>
      <c r="F20" s="1243" t="s">
        <v>2140</v>
      </c>
      <c r="G20" s="146">
        <f ca="1">ROUND(C20*$C$18+D20*$D$18,0)</f>
        <v>2022</v>
      </c>
      <c r="H20" s="978" t="s">
        <v>2141</v>
      </c>
      <c r="I20" s="136"/>
    </row>
    <row r="21" spans="1:35" ht="15" customHeight="1" thickBot="1">
      <c r="A21" s="998"/>
      <c r="B21" s="2423" t="s">
        <v>2142</v>
      </c>
      <c r="C21" s="785">
        <f ca="1">ROUND(C19*10000/L19,0)</f>
        <v>3003</v>
      </c>
      <c r="D21" s="786">
        <f ca="1">ROUND(D19*10000/L19,0)</f>
        <v>2233</v>
      </c>
      <c r="E21" s="998"/>
      <c r="F21" s="2423" t="s">
        <v>2142</v>
      </c>
      <c r="G21" s="147">
        <f ca="1">ROUND(G19*10000/L19,0)</f>
        <v>2541</v>
      </c>
      <c r="H21" s="2424" t="s">
        <v>2141</v>
      </c>
      <c r="I21" s="136"/>
    </row>
    <row r="22" spans="1:35" ht="15" thickBot="1">
      <c r="A22" s="2269" t="s">
        <v>2143</v>
      </c>
      <c r="B22" s="2425"/>
      <c r="C22" s="2426"/>
      <c r="D22" s="787">
        <f ca="1">IF(C19&lt;D19,D19/C19-1,C19/D19-1)</f>
        <v>0.34444531189007721</v>
      </c>
      <c r="E22" s="136"/>
      <c r="F22" s="136"/>
      <c r="G22" s="136"/>
      <c r="H22" s="136"/>
      <c r="I22" s="136"/>
    </row>
    <row r="23" spans="1:35" ht="13.5" thickBot="1">
      <c r="A23" s="2403"/>
      <c r="B23" s="2403"/>
      <c r="C23" s="2403"/>
      <c r="D23" s="2403"/>
      <c r="E23" s="136"/>
      <c r="F23" s="136"/>
      <c r="G23" s="136"/>
      <c r="H23" s="136"/>
      <c r="I23" s="136"/>
    </row>
    <row r="24" spans="1:35" ht="14.25">
      <c r="A24" s="3247" t="s">
        <v>2144</v>
      </c>
      <c r="B24" s="2420" t="s">
        <v>2136</v>
      </c>
      <c r="C24" s="143">
        <f>IF(B30=0,0,D30)</f>
        <v>0</v>
      </c>
      <c r="D24" s="2427"/>
      <c r="E24" s="136"/>
      <c r="F24" s="136"/>
      <c r="G24" s="136"/>
      <c r="H24" s="136"/>
      <c r="I24" s="136"/>
    </row>
    <row r="25" spans="1:35" ht="14.25">
      <c r="A25" s="3248"/>
      <c r="B25" s="1243" t="s">
        <v>2140</v>
      </c>
      <c r="C25" s="148">
        <f>IF(B30=0,0,C30)</f>
        <v>0</v>
      </c>
      <c r="D25" s="2428"/>
      <c r="E25" s="136"/>
      <c r="F25" s="136"/>
      <c r="G25" s="136"/>
      <c r="H25" s="136"/>
      <c r="I25" s="136"/>
    </row>
    <row r="26" spans="1:35" ht="13.5" customHeight="1">
      <c r="A26" s="2429" t="s">
        <v>2145</v>
      </c>
      <c r="B26" s="149" t="s">
        <v>2146</v>
      </c>
      <c r="C26" s="149" t="s">
        <v>2147</v>
      </c>
      <c r="D26" s="150" t="s">
        <v>2148</v>
      </c>
      <c r="E26" s="136"/>
      <c r="F26" s="136"/>
      <c r="G26" s="136"/>
      <c r="H26" s="136"/>
      <c r="I26" s="136"/>
    </row>
    <row r="27" spans="1:35" ht="14.25">
      <c r="A27" s="2429"/>
      <c r="B27" s="149">
        <v>0</v>
      </c>
      <c r="C27" s="149">
        <v>0</v>
      </c>
      <c r="D27" s="150">
        <f>ROUND(C27*B27/10000,0)</f>
        <v>0</v>
      </c>
      <c r="E27" s="136"/>
      <c r="F27" s="136"/>
      <c r="G27" s="136"/>
      <c r="H27" s="136"/>
      <c r="I27" s="136"/>
    </row>
    <row r="28" spans="1:35" ht="14.25">
      <c r="A28" s="2429"/>
      <c r="B28" s="149"/>
      <c r="C28" s="149"/>
      <c r="D28" s="150"/>
      <c r="E28" s="136"/>
      <c r="F28" s="136"/>
      <c r="G28" s="136"/>
      <c r="H28" s="136"/>
      <c r="I28" s="136"/>
    </row>
    <row r="29" spans="1:35" ht="14.25">
      <c r="A29" s="2429"/>
      <c r="B29" s="149"/>
      <c r="C29" s="149"/>
      <c r="D29" s="150"/>
      <c r="E29" s="136"/>
      <c r="F29" s="136"/>
      <c r="G29" s="136"/>
      <c r="H29" s="136"/>
      <c r="I29" s="136"/>
    </row>
    <row r="30" spans="1:35" ht="14.25">
      <c r="A30" s="149" t="s">
        <v>2149</v>
      </c>
      <c r="B30" s="149"/>
      <c r="C30" s="149"/>
      <c r="D30" s="149"/>
      <c r="E30" s="2912" t="s">
        <v>3018</v>
      </c>
      <c r="F30" s="136"/>
      <c r="G30" s="136"/>
      <c r="H30" s="136"/>
      <c r="I30" s="136"/>
    </row>
    <row r="31" spans="1:35" s="2431" customFormat="1" ht="15" thickBot="1">
      <c r="A31" s="2430"/>
      <c r="B31" s="2430"/>
      <c r="C31" s="2430"/>
      <c r="D31" s="2430"/>
      <c r="E31" s="136"/>
      <c r="F31" s="136"/>
      <c r="G31" s="136"/>
      <c r="H31" s="136"/>
      <c r="I31" s="136"/>
      <c r="J31" s="791"/>
      <c r="K31" s="791"/>
      <c r="L31" s="791"/>
      <c r="M31" s="791"/>
      <c r="N31" s="791"/>
      <c r="O31" s="791"/>
      <c r="P31" s="791"/>
      <c r="Q31" s="791"/>
      <c r="R31" s="791"/>
      <c r="S31" s="791"/>
      <c r="T31" s="791"/>
      <c r="U31" s="791"/>
      <c r="V31" s="791"/>
      <c r="W31" s="791"/>
      <c r="X31" s="791"/>
      <c r="Y31" s="791"/>
      <c r="Z31" s="791"/>
      <c r="AA31" s="2408"/>
      <c r="AB31" s="2408"/>
      <c r="AC31" s="2408"/>
      <c r="AD31" s="2408"/>
      <c r="AE31" s="2408"/>
      <c r="AF31" s="2408"/>
      <c r="AG31" s="2408"/>
      <c r="AH31" s="2408"/>
      <c r="AI31" s="2408"/>
    </row>
    <row r="32" spans="1:35" ht="15.75" thickBot="1">
      <c r="A32" s="2432" t="s">
        <v>2150</v>
      </c>
      <c r="B32" s="2433"/>
      <c r="C32" s="151">
        <f ca="1">IF(D32="总价",G19-C24,G20-C25)</f>
        <v>14574</v>
      </c>
      <c r="D32" s="2434" t="s">
        <v>2151</v>
      </c>
      <c r="E32" s="136"/>
      <c r="F32" s="136"/>
      <c r="G32" s="136"/>
      <c r="H32" s="136"/>
      <c r="I32" s="136"/>
    </row>
    <row r="33" spans="1:15" ht="15">
      <c r="A33" s="955" t="s">
        <v>2152</v>
      </c>
      <c r="B33" s="2435"/>
      <c r="C33" s="2436" t="s">
        <v>3441</v>
      </c>
      <c r="D33" s="2437" t="s">
        <v>3440</v>
      </c>
      <c r="E33" s="2438" t="s">
        <v>2153</v>
      </c>
      <c r="F33" s="2439" t="str">
        <f>IF(D32="楼面单价","取值（单价）","取值（总价）")</f>
        <v>取值（总价）</v>
      </c>
      <c r="G33" s="136"/>
      <c r="H33" s="136"/>
      <c r="I33" s="136"/>
    </row>
    <row r="34" spans="1:15" ht="15">
      <c r="A34" s="2440"/>
      <c r="B34" s="2441" t="s">
        <v>2154</v>
      </c>
      <c r="C34" s="155">
        <f ca="1">IF(C33="自定义",F34,C32-C35)</f>
        <v>6077</v>
      </c>
      <c r="D34" s="1053">
        <f ca="1">IF(C33="自定义",ROUND(C34/C32,3),IF(C33="收益比率",SUMIF(INDIRECT("'"&amp;D33&amp;"'"&amp;"!b:b"),"土地收益比率",INDIRECT("'"&amp;D33&amp;"'"&amp;"!c:c")),SUMIF(INDIRECT("'"&amp;D33&amp;"'"&amp;"!b:b"),"土地成本比率",INDIRECT("'"&amp;D33&amp;"'"&amp;"!c:c"))))</f>
        <v>0.41700000000000004</v>
      </c>
      <c r="E34" s="2442" t="s">
        <v>2155</v>
      </c>
      <c r="F34" s="1731"/>
      <c r="G34" s="136"/>
      <c r="H34" s="136"/>
      <c r="I34" s="136"/>
    </row>
    <row r="35" spans="1:15" ht="15.75" thickBot="1">
      <c r="A35" s="2443"/>
      <c r="B35" s="2444" t="s">
        <v>2156</v>
      </c>
      <c r="C35" s="1437">
        <f ca="1">IF(C33="自定义",F35,ROUND(C32*D35,0))</f>
        <v>8497</v>
      </c>
      <c r="D35" s="1438">
        <f ca="1">IF(C33="自定义",ROUND(C35/C32,3),IF(C33="收益比率",SUMIF(INDIRECT("'"&amp;D33&amp;"'"&amp;"!b:b"),"建筑物收益比率",INDIRECT("'"&amp;D33&amp;"'"&amp;"!c:c")),SUMIF(INDIRECT("'"&amp;D33&amp;"'"&amp;"!b:b"),"建筑物成本比率",INDIRECT("'"&amp;D33&amp;"'"&amp;"!c:c"))))</f>
        <v>0.58299999999999996</v>
      </c>
      <c r="E35" s="2445" t="s">
        <v>2157</v>
      </c>
      <c r="F35" s="161"/>
      <c r="G35" s="136"/>
      <c r="H35" s="136"/>
      <c r="I35" s="136"/>
    </row>
    <row r="36" spans="1:15" ht="15.75" thickBot="1">
      <c r="A36" s="3227" t="s">
        <v>2158</v>
      </c>
      <c r="B36" s="2446" t="s">
        <v>2159</v>
      </c>
      <c r="C36" s="152"/>
      <c r="D36" s="2447"/>
      <c r="E36" s="2448"/>
      <c r="F36" s="2449"/>
      <c r="G36" s="136"/>
      <c r="H36" s="136"/>
      <c r="I36" s="136"/>
    </row>
    <row r="37" spans="1:15" ht="15.75" thickBot="1">
      <c r="A37" s="3228"/>
      <c r="B37" s="2255" t="s">
        <v>2160</v>
      </c>
      <c r="C37" s="154"/>
      <c r="D37" s="1388"/>
      <c r="E37" s="1388"/>
      <c r="F37" s="2449"/>
      <c r="G37" s="136"/>
      <c r="H37" s="136"/>
      <c r="I37" s="136"/>
    </row>
    <row r="38" spans="1:15" ht="15.75" thickBot="1">
      <c r="A38" s="3229"/>
      <c r="B38" s="2450" t="s">
        <v>2161</v>
      </c>
      <c r="C38" s="723"/>
      <c r="D38" s="2451" t="s">
        <v>2162</v>
      </c>
      <c r="E38" s="1388"/>
      <c r="F38" s="2449"/>
      <c r="G38" s="136"/>
      <c r="H38" s="136"/>
      <c r="I38" s="136"/>
    </row>
    <row r="39" spans="1:15" ht="15">
      <c r="A39" s="2422" t="s">
        <v>2163</v>
      </c>
      <c r="B39" s="2452" t="s">
        <v>2164</v>
      </c>
      <c r="C39" s="2453" t="s">
        <v>2165</v>
      </c>
      <c r="D39" s="2453" t="s">
        <v>2166</v>
      </c>
      <c r="E39" s="2454" t="s">
        <v>2167</v>
      </c>
      <c r="F39" s="2449"/>
      <c r="G39" s="136"/>
      <c r="H39" s="136"/>
      <c r="I39" s="136"/>
    </row>
    <row r="40" spans="1:15" ht="14.25">
      <c r="A40" s="2455" t="s">
        <v>2168</v>
      </c>
      <c r="B40" s="156"/>
      <c r="C40" s="157"/>
      <c r="D40" s="157"/>
      <c r="E40" s="158"/>
      <c r="F40" s="2449"/>
      <c r="G40" s="136"/>
      <c r="H40" s="136"/>
      <c r="I40" s="136"/>
    </row>
    <row r="41" spans="1:15" ht="14.25">
      <c r="A41" s="2455" t="s">
        <v>2169</v>
      </c>
      <c r="B41" s="156"/>
      <c r="C41" s="157"/>
      <c r="D41" s="157"/>
      <c r="E41" s="158"/>
      <c r="F41" s="2449"/>
      <c r="G41" s="136"/>
      <c r="H41" s="136"/>
      <c r="I41" s="136"/>
    </row>
    <row r="42" spans="1:15" ht="15" thickBot="1">
      <c r="A42" s="2456"/>
      <c r="B42" s="159"/>
      <c r="C42" s="160"/>
      <c r="D42" s="160"/>
      <c r="E42" s="161"/>
      <c r="F42" s="2449"/>
      <c r="G42" s="136"/>
      <c r="H42" s="136"/>
      <c r="I42" s="136"/>
    </row>
    <row r="43" spans="1:15" ht="12.75">
      <c r="A43" s="2154"/>
      <c r="B43" s="2154"/>
      <c r="C43" s="2154"/>
      <c r="D43" s="2154"/>
      <c r="E43" s="2154"/>
      <c r="F43" s="2457"/>
      <c r="G43" s="2457"/>
      <c r="H43" s="2457"/>
      <c r="I43" s="2458"/>
    </row>
    <row r="44" spans="1:15" ht="18.75">
      <c r="A44" s="2459" t="s">
        <v>2170</v>
      </c>
      <c r="B44" s="2460"/>
      <c r="C44" s="2460"/>
      <c r="D44" s="2461"/>
      <c r="E44" s="2461"/>
      <c r="F44" s="2462"/>
      <c r="G44" s="2462"/>
      <c r="H44" s="2462"/>
      <c r="I44" s="2462"/>
      <c r="J44" s="2463" t="s">
        <v>2171</v>
      </c>
      <c r="K44" s="2464"/>
      <c r="L44" s="2464"/>
      <c r="M44" s="2464"/>
      <c r="N44" s="2464"/>
      <c r="O44" s="2464"/>
    </row>
    <row r="45" spans="1:15" ht="14.25" customHeight="1" thickBot="1">
      <c r="A45" s="3244" t="s">
        <v>2172</v>
      </c>
      <c r="B45" s="3245"/>
      <c r="C45" s="3246"/>
      <c r="D45" s="162">
        <f ca="1">ROUND(H101*F45,0)</f>
        <v>14574</v>
      </c>
      <c r="E45" s="163" t="s">
        <v>2173</v>
      </c>
      <c r="F45" s="164">
        <v>1</v>
      </c>
      <c r="G45" s="165" t="s">
        <v>2174</v>
      </c>
      <c r="H45" s="136"/>
      <c r="I45" s="136"/>
      <c r="J45" s="3163" t="s">
        <v>2175</v>
      </c>
      <c r="K45" s="3163"/>
      <c r="L45" s="3163"/>
      <c r="M45" s="3163"/>
      <c r="N45" s="3163"/>
      <c r="O45" s="3163"/>
    </row>
    <row r="46" spans="1:15" ht="14.25" customHeight="1">
      <c r="A46" s="3241" t="s">
        <v>2176</v>
      </c>
      <c r="B46" s="3242"/>
      <c r="C46" s="3242"/>
      <c r="D46" s="3242"/>
      <c r="E46" s="3242"/>
      <c r="F46" s="3242"/>
      <c r="G46" s="3243"/>
      <c r="H46" s="2465"/>
      <c r="I46" s="166"/>
      <c r="J46" s="1804">
        <v>1</v>
      </c>
      <c r="K46" s="3163" t="s">
        <v>2177</v>
      </c>
      <c r="L46" s="3163"/>
      <c r="M46" s="3164"/>
      <c r="N46" s="3164"/>
      <c r="O46" s="3164"/>
    </row>
    <row r="47" spans="1:15" ht="12" customHeight="1">
      <c r="A47" s="167" t="s">
        <v>2178</v>
      </c>
      <c r="B47" s="168"/>
      <c r="C47" s="169"/>
      <c r="D47" s="170" t="s">
        <v>2179</v>
      </c>
      <c r="E47" s="24" t="s">
        <v>2180</v>
      </c>
      <c r="F47" s="171" t="s">
        <v>2181</v>
      </c>
      <c r="G47" s="172" t="s">
        <v>2182</v>
      </c>
      <c r="H47" s="2465"/>
      <c r="I47" s="166"/>
      <c r="J47" s="1804">
        <v>2</v>
      </c>
      <c r="K47" s="3163" t="s">
        <v>2183</v>
      </c>
      <c r="L47" s="3163"/>
      <c r="M47" s="3165">
        <f>'数据-取费表'!B2</f>
        <v>43207</v>
      </c>
      <c r="N47" s="3165"/>
      <c r="O47" s="3165"/>
    </row>
    <row r="48" spans="1:15" ht="25.5">
      <c r="A48" s="3231" t="s">
        <v>2184</v>
      </c>
      <c r="B48" s="3232"/>
      <c r="C48" s="3232"/>
      <c r="D48" s="138">
        <f>IF(H48="情况1",0,IF(H48="情况2",D52,IF(H48="情况3",D53,IF(H48="情况4",D54))))</f>
        <v>0</v>
      </c>
      <c r="E48" s="1793" t="str">
        <f>IF(H48="情况4","(销售额-原购置价)×税（费）率","销售额×税（费）率")</f>
        <v>销售额×税（费）率</v>
      </c>
      <c r="F48" s="173" t="str">
        <f>IF(H48="情况1","免征",'数据-取费表'!B41)</f>
        <v>免征</v>
      </c>
      <c r="G48" s="2466" t="s">
        <v>2185</v>
      </c>
      <c r="H48" s="2467" t="s">
        <v>2186</v>
      </c>
      <c r="I48" s="2465"/>
      <c r="J48" s="1804">
        <v>3</v>
      </c>
      <c r="K48" s="3163" t="s">
        <v>2187</v>
      </c>
      <c r="L48" s="3163"/>
      <c r="M48" s="3166">
        <f ca="1">H101</f>
        <v>14574</v>
      </c>
      <c r="N48" s="3166"/>
      <c r="O48" s="3166"/>
    </row>
    <row r="49" spans="1:35" ht="25.5" customHeight="1">
      <c r="A49" s="174" t="s">
        <v>2188</v>
      </c>
      <c r="B49" s="3211" t="s">
        <v>2189</v>
      </c>
      <c r="C49" s="3211"/>
      <c r="D49" s="175">
        <v>0</v>
      </c>
      <c r="E49" s="23" t="s">
        <v>2190</v>
      </c>
      <c r="F49" s="28" t="s">
        <v>34</v>
      </c>
      <c r="G49" s="3192"/>
      <c r="H49" s="136"/>
      <c r="I49" s="2468"/>
      <c r="J49" s="1804">
        <v>4</v>
      </c>
      <c r="K49" s="3163" t="str">
        <f>IF(项目基本情况!E8="房地产抵押价值","房地产抵押价值","抵押担保权已注销时的房地产抵押价值")</f>
        <v>房地产抵押价值</v>
      </c>
      <c r="L49" s="3163"/>
      <c r="M49" s="3166">
        <f ca="1">IF(项目基本情况!E8="房地产抵押价值",H107,H109)</f>
        <v>14574</v>
      </c>
      <c r="N49" s="3166"/>
      <c r="O49" s="3166"/>
    </row>
    <row r="50" spans="1:35" ht="25.5" customHeight="1">
      <c r="A50" s="176"/>
      <c r="B50" s="3211" t="s">
        <v>2191</v>
      </c>
      <c r="C50" s="3211"/>
      <c r="D50" s="177"/>
      <c r="E50" s="31"/>
      <c r="F50" s="178"/>
      <c r="G50" s="3193"/>
      <c r="H50" s="136"/>
      <c r="I50" s="2468"/>
      <c r="J50" s="3163" t="s">
        <v>2192</v>
      </c>
      <c r="K50" s="3163"/>
      <c r="L50" s="3163"/>
      <c r="M50" s="3163"/>
      <c r="N50" s="3163"/>
      <c r="O50" s="3163"/>
    </row>
    <row r="51" spans="1:35" ht="12" customHeight="1">
      <c r="A51" s="179"/>
      <c r="B51" s="3211" t="s">
        <v>2193</v>
      </c>
      <c r="C51" s="3211"/>
      <c r="D51" s="180"/>
      <c r="E51" s="30"/>
      <c r="F51" s="178"/>
      <c r="G51" s="3194"/>
      <c r="H51" s="136"/>
      <c r="I51" s="2468"/>
      <c r="J51" s="2469" t="s">
        <v>2194</v>
      </c>
      <c r="K51" s="3163" t="s">
        <v>2195</v>
      </c>
      <c r="L51" s="3163"/>
      <c r="M51" s="2469" t="s">
        <v>2196</v>
      </c>
      <c r="N51" s="2469" t="s">
        <v>2197</v>
      </c>
      <c r="O51" s="2469" t="s">
        <v>2198</v>
      </c>
    </row>
    <row r="52" spans="1:35" ht="24" customHeight="1">
      <c r="A52" s="181" t="s">
        <v>2199</v>
      </c>
      <c r="B52" s="3211" t="s">
        <v>2200</v>
      </c>
      <c r="C52" s="3211"/>
      <c r="D52" s="180">
        <f ca="1">ROUND(D45*'数据-取费表'!B41/(1+'数据-取费表'!C42),0)</f>
        <v>777</v>
      </c>
      <c r="E52" s="11" t="s">
        <v>2201</v>
      </c>
      <c r="F52" s="182">
        <f>'数据-取费表'!B41</f>
        <v>5.6000000000000001E-2</v>
      </c>
      <c r="G52" s="2470"/>
      <c r="H52" s="136"/>
      <c r="I52" s="2468"/>
      <c r="J52" s="1804">
        <v>1</v>
      </c>
      <c r="K52" s="3186" t="s">
        <v>2202</v>
      </c>
      <c r="L52" s="3186"/>
      <c r="M52" s="1746">
        <f>D48</f>
        <v>0</v>
      </c>
      <c r="N52" s="1804" t="str">
        <f>E48</f>
        <v>销售额×税（费）率</v>
      </c>
      <c r="O52" s="1747" t="str">
        <f>F48</f>
        <v>免征</v>
      </c>
    </row>
    <row r="53" spans="1:35" ht="12" customHeight="1">
      <c r="A53" s="181" t="s">
        <v>2203</v>
      </c>
      <c r="B53" s="3212" t="s">
        <v>2204</v>
      </c>
      <c r="C53" s="3213"/>
      <c r="D53" s="180">
        <f ca="1">ROUND(D45*'数据-取费表'!B41/(1+'数据-取费表'!C42),0)</f>
        <v>777</v>
      </c>
      <c r="E53" s="11" t="s">
        <v>2201</v>
      </c>
      <c r="F53" s="182">
        <f>'数据-取费表'!B41</f>
        <v>5.6000000000000001E-2</v>
      </c>
      <c r="G53" s="2470"/>
      <c r="H53" s="136"/>
      <c r="I53" s="2468"/>
      <c r="J53" s="1804">
        <v>2</v>
      </c>
      <c r="K53" s="3186" t="s">
        <v>2205</v>
      </c>
      <c r="L53" s="3186"/>
      <c r="M53" s="1746">
        <f t="shared" ref="M53:O54" ca="1" si="0">D55</f>
        <v>7</v>
      </c>
      <c r="N53" s="1804" t="str">
        <f t="shared" si="0"/>
        <v>销售额×税（费）率</v>
      </c>
      <c r="O53" s="1747">
        <f t="shared" si="0"/>
        <v>5.0000000000000001E-4</v>
      </c>
    </row>
    <row r="54" spans="1:35" ht="12" customHeight="1">
      <c r="A54" s="181" t="s">
        <v>2206</v>
      </c>
      <c r="B54" s="3212" t="s">
        <v>2207</v>
      </c>
      <c r="C54" s="3213"/>
      <c r="D54" s="180">
        <f ca="1">C68</f>
        <v>777</v>
      </c>
      <c r="E54" s="30" t="s">
        <v>2208</v>
      </c>
      <c r="F54" s="182">
        <f>'数据-取费表'!B41</f>
        <v>5.6000000000000001E-2</v>
      </c>
      <c r="G54" s="2470"/>
      <c r="H54" s="2471"/>
      <c r="I54" s="2468"/>
      <c r="J54" s="1804">
        <v>3</v>
      </c>
      <c r="K54" s="3186" t="s">
        <v>2209</v>
      </c>
      <c r="L54" s="3186"/>
      <c r="M54" s="1746">
        <f t="shared" ca="1" si="0"/>
        <v>8249</v>
      </c>
      <c r="N54" s="1804" t="str">
        <f t="shared" si="0"/>
        <v>增值额×税（费）率</v>
      </c>
      <c r="O54" s="1748" t="str">
        <f t="shared" si="0"/>
        <v>——</v>
      </c>
    </row>
    <row r="55" spans="1:35" ht="24" customHeight="1">
      <c r="A55" s="3250" t="s">
        <v>2210</v>
      </c>
      <c r="B55" s="3232"/>
      <c r="C55" s="3232"/>
      <c r="D55" s="183">
        <f ca="1">IF(H55="个人住宅",0,ROUND(D45*I55,0))</f>
        <v>7</v>
      </c>
      <c r="E55" s="11" t="s">
        <v>2211</v>
      </c>
      <c r="F55" s="182">
        <f>IF(H55="正常",I55,"免征")</f>
        <v>5.0000000000000001E-4</v>
      </c>
      <c r="G55" s="2470"/>
      <c r="H55" s="2467" t="s">
        <v>2212</v>
      </c>
      <c r="I55" s="184">
        <f>'数据-取费表'!B49</f>
        <v>5.0000000000000001E-4</v>
      </c>
      <c r="J55" s="1804" t="str">
        <f>IF(H59="非个人房产","",4)</f>
        <v/>
      </c>
      <c r="K55" s="3186" t="str">
        <f>IF(H59="非个人房产","——","个人所得税")</f>
        <v>——</v>
      </c>
      <c r="L55" s="3186"/>
      <c r="M55" s="1749" t="str">
        <f>D59</f>
        <v>——</v>
      </c>
      <c r="N55" s="1802" t="str">
        <f>E59</f>
        <v>——</v>
      </c>
      <c r="O55" s="1750" t="str">
        <f>F59</f>
        <v>——</v>
      </c>
    </row>
    <row r="56" spans="1:35" ht="24.75">
      <c r="A56" s="3250" t="s">
        <v>2213</v>
      </c>
      <c r="B56" s="3232"/>
      <c r="C56" s="3232"/>
      <c r="D56" s="183">
        <f ca="1">IF(H56="个人住宅",D57,D58)</f>
        <v>8249</v>
      </c>
      <c r="E56" s="11" t="s">
        <v>2214</v>
      </c>
      <c r="F56" s="182" t="str">
        <f>IF(H56="正常",F58,"免征")</f>
        <v>——</v>
      </c>
      <c r="G56" s="2472" t="s">
        <v>2215</v>
      </c>
      <c r="H56" s="2473" t="s">
        <v>2212</v>
      </c>
      <c r="I56" s="2474"/>
      <c r="J56" s="1804" t="str">
        <f>IF(项目基本情况!K6="上海银行",IF(J55="",4,J55+1),"")</f>
        <v/>
      </c>
      <c r="K56" s="3169" t="str">
        <f>IF(项目基本情况!K6="上海银行","其他处置费用","")</f>
        <v/>
      </c>
      <c r="L56" s="3170"/>
      <c r="M56" s="1746" t="str">
        <f>IF(项目基本情况!K6="上海银行",M69,"")</f>
        <v/>
      </c>
      <c r="N56" s="3172" t="str">
        <f>IF(项目基本情况!K6="上海银行","包含处置中涉及的律师、诉讼、拍卖、评估等费用","")</f>
        <v/>
      </c>
      <c r="O56" s="3173"/>
    </row>
    <row r="57" spans="1:35" ht="12.75">
      <c r="A57" s="181" t="s">
        <v>2188</v>
      </c>
      <c r="B57" s="3217" t="s">
        <v>2216</v>
      </c>
      <c r="C57" s="3218"/>
      <c r="D57" s="185">
        <v>0</v>
      </c>
      <c r="E57" s="23" t="s">
        <v>2190</v>
      </c>
      <c r="F57" s="153"/>
      <c r="G57" s="2470"/>
      <c r="H57" s="2474"/>
      <c r="I57" s="2474"/>
      <c r="J57" s="3186">
        <f>IF(AND(J55="",J56=""),4,IF(项目基本情况!K6="上海银行",结果表!J56+1,结果表!J55+1))</f>
        <v>4</v>
      </c>
      <c r="K57" s="3186" t="s">
        <v>2217</v>
      </c>
      <c r="L57" s="2475" t="s">
        <v>2218</v>
      </c>
      <c r="M57" s="1751"/>
      <c r="N57" s="1752">
        <f ca="1">SUMIF(M52:M56,"&lt;9e307")</f>
        <v>8256</v>
      </c>
      <c r="O57" s="2476"/>
      <c r="P57" s="1745">
        <f ca="1">N57/M49</f>
        <v>0.56648826677645125</v>
      </c>
    </row>
    <row r="58" spans="1:35" ht="24.75">
      <c r="A58" s="181" t="s">
        <v>2199</v>
      </c>
      <c r="B58" s="3217" t="s">
        <v>2219</v>
      </c>
      <c r="C58" s="3230"/>
      <c r="D58" s="183">
        <f ca="1">IF(H58="转让取得",C81,C97)</f>
        <v>8249</v>
      </c>
      <c r="E58" s="11" t="s">
        <v>2214</v>
      </c>
      <c r="F58" s="24" t="s">
        <v>34</v>
      </c>
      <c r="G58" s="2470"/>
      <c r="H58" s="2473" t="s">
        <v>2220</v>
      </c>
      <c r="I58" s="2474"/>
      <c r="J58" s="3186"/>
      <c r="K58" s="3186"/>
      <c r="L58" s="2475" t="s">
        <v>2221</v>
      </c>
      <c r="M58" s="1753"/>
      <c r="N58" s="2477" t="str">
        <f ca="1">NUMBERSTRING(INT(N57*10000),2)&amp;"元整"</f>
        <v>捌仟贰佰伍拾陆万元整</v>
      </c>
      <c r="O58" s="2478"/>
    </row>
    <row r="59" spans="1:35" ht="24.75" thickBot="1">
      <c r="A59" s="3190" t="s">
        <v>2222</v>
      </c>
      <c r="B59" s="3191"/>
      <c r="C59" s="3191"/>
      <c r="D59" s="186" t="str">
        <f>IF(H59="非个人房产","——",IF(H59="个人住宅",0,ROUND(D45*I59,0)))</f>
        <v>——</v>
      </c>
      <c r="E59" s="187" t="str">
        <f>IF(H59="非个人房产","——","销售额×税（费）率")</f>
        <v>——</v>
      </c>
      <c r="F59" s="188" t="str">
        <f>IF(H59="非个人房产","——",IF(H59="个人住宅","免征",I59))</f>
        <v>——</v>
      </c>
      <c r="G59" s="2479" t="s">
        <v>2215</v>
      </c>
      <c r="H59" s="2473" t="s">
        <v>2223</v>
      </c>
      <c r="I59" s="189">
        <v>0.01</v>
      </c>
      <c r="J59" s="3188">
        <f>J57+1</f>
        <v>5</v>
      </c>
      <c r="K59" s="3186" t="s">
        <v>2224</v>
      </c>
      <c r="L59" s="1804" t="s">
        <v>2218</v>
      </c>
      <c r="M59" s="1754"/>
      <c r="N59" s="1755">
        <f ca="1">M49-N57</f>
        <v>6318</v>
      </c>
      <c r="O59" s="2480"/>
    </row>
    <row r="60" spans="1:35" ht="12" customHeight="1">
      <c r="A60" s="2481"/>
      <c r="B60" s="2403"/>
      <c r="C60" s="2403"/>
      <c r="D60" s="2403"/>
      <c r="E60" s="2155"/>
      <c r="F60" s="2474"/>
      <c r="G60" s="2474"/>
      <c r="H60" s="2482"/>
      <c r="I60" s="136"/>
      <c r="J60" s="3189"/>
      <c r="K60" s="3186"/>
      <c r="L60" s="2475" t="s">
        <v>2221</v>
      </c>
      <c r="M60" s="1753"/>
      <c r="N60" s="2477" t="str">
        <f ca="1">NUMBERSTRING(INT(N59*10000),2)&amp;"元整"</f>
        <v>陆仟叁佰壹拾捌万元整</v>
      </c>
      <c r="O60" s="2478"/>
    </row>
    <row r="61" spans="1:35" ht="13.5" thickBot="1">
      <c r="A61" s="3249" t="s">
        <v>2225</v>
      </c>
      <c r="B61" s="3249"/>
      <c r="C61" s="3249"/>
      <c r="D61" s="3249"/>
      <c r="E61" s="3249"/>
      <c r="F61" s="2474"/>
      <c r="G61" s="2474"/>
      <c r="H61" s="2482"/>
      <c r="I61" s="136"/>
      <c r="J61" s="1804">
        <f>J59+1</f>
        <v>6</v>
      </c>
      <c r="K61" s="3186" t="s">
        <v>2226</v>
      </c>
      <c r="L61" s="3186"/>
      <c r="M61" s="1756"/>
      <c r="N61" s="1757">
        <f ca="1">ROUND(N59*10000/'数据-汇总表'!E3,0)</f>
        <v>876</v>
      </c>
      <c r="O61" s="2483"/>
    </row>
    <row r="62" spans="1:35" ht="12.75">
      <c r="A62" s="3206" t="s">
        <v>2227</v>
      </c>
      <c r="B62" s="3207"/>
      <c r="C62" s="1796"/>
      <c r="D62" s="1796" t="s">
        <v>2228</v>
      </c>
      <c r="E62" s="190" t="s">
        <v>2229</v>
      </c>
      <c r="F62" s="2474"/>
      <c r="G62" s="2474"/>
      <c r="H62" s="2482"/>
      <c r="I62" s="136"/>
    </row>
    <row r="63" spans="1:35" ht="12.75">
      <c r="A63" s="201" t="s">
        <v>775</v>
      </c>
      <c r="B63" s="191" t="s">
        <v>2230</v>
      </c>
      <c r="C63" s="192">
        <f ca="1">ROUND((C64+C65)/(1+'数据-取费表'!C42),0)</f>
        <v>13880</v>
      </c>
      <c r="D63" s="193"/>
      <c r="E63" s="194"/>
      <c r="F63" s="2474"/>
      <c r="G63" s="2474"/>
      <c r="H63" s="2482"/>
      <c r="I63" s="136"/>
      <c r="J63" s="3171" t="s">
        <v>2231</v>
      </c>
      <c r="K63" s="2484" t="s">
        <v>2232</v>
      </c>
      <c r="L63" s="1744">
        <f ca="1">IF(M49&gt;10000,M49*0.5%,IF(AND(M49&gt;1000,M49&lt;=10000),M49*1%,IF(AND(M49&gt;100,M49&lt;=1000),M49*3%,IF(AND(M49&gt;10,M49&lt;=100),M49*5%,M49*8%))))</f>
        <v>72.87</v>
      </c>
      <c r="M63" s="24">
        <f ca="1">ROUND(L63,1)</f>
        <v>72.900000000000006</v>
      </c>
      <c r="Z63" s="2408"/>
      <c r="AI63" s="2409"/>
    </row>
    <row r="64" spans="1:35" ht="14.25" customHeight="1">
      <c r="A64" s="195" t="s">
        <v>770</v>
      </c>
      <c r="B64" s="196" t="s">
        <v>2233</v>
      </c>
      <c r="C64" s="197">
        <f ca="1">D45</f>
        <v>14574</v>
      </c>
      <c r="D64" s="198" t="s">
        <v>32</v>
      </c>
      <c r="E64" s="199"/>
      <c r="F64" s="2474"/>
      <c r="G64" s="2474"/>
      <c r="H64" s="2482"/>
      <c r="I64" s="136"/>
      <c r="J64" s="3171"/>
      <c r="K64" s="2484" t="s">
        <v>2234</v>
      </c>
      <c r="L64" s="1744">
        <f ca="1">IF(M49&gt;2000,M49*0.5%,IF(AND(M49&gt;1000,M49&lt;=2000),M49*0.6%,IF(AND(M49&gt;500,M49&lt;=1000),M49*0.7%,IF(AND(M49&gt;200,M49&lt;=500),M49*0.8%,IF(AND(M49&gt;100,M49&lt;=200),M49*0.9%,IF(AND(M49&gt;50,M49&lt;=100),M49*1%,IF(AND(M49&gt;20,M49&lt;=50),M49*1.5%,IF(AND(M49&gt;10,M49&lt;=20),M49*2%,IF(AND(M49&gt;1,M49&lt;=10),M49*2.5%)))))))))</f>
        <v>72.87</v>
      </c>
      <c r="M64" s="24">
        <f t="shared" ref="M64:M65" ca="1" si="1">ROUND(L64,1)</f>
        <v>72.900000000000006</v>
      </c>
      <c r="N64" s="136" t="s">
        <v>2235</v>
      </c>
      <c r="Z64" s="2408"/>
      <c r="AI64" s="2409"/>
    </row>
    <row r="65" spans="1:35" ht="14.25" customHeight="1">
      <c r="A65" s="195" t="s">
        <v>771</v>
      </c>
      <c r="B65" s="196" t="s">
        <v>2236</v>
      </c>
      <c r="C65" s="200"/>
      <c r="D65" s="198"/>
      <c r="E65" s="199"/>
      <c r="F65" s="2474"/>
      <c r="G65" s="2474"/>
      <c r="H65" s="2482"/>
      <c r="I65" s="136"/>
      <c r="J65" s="3171"/>
      <c r="K65" s="2484" t="s">
        <v>2237</v>
      </c>
      <c r="L65" s="1744">
        <f ca="1">IF(M49&gt;1000,M49*0.1%,IF(AND(M49&gt;500,M49&lt;=1000),M49*0.5%,IF(AND(M49&gt;50,M49&lt;=500),M49*1%,IF(AND(M49&gt;1,M49&lt;=50),M49*1.5%))))</f>
        <v>14.574</v>
      </c>
      <c r="M65" s="24">
        <f t="shared" ca="1" si="1"/>
        <v>14.6</v>
      </c>
      <c r="N65" s="136" t="s">
        <v>2235</v>
      </c>
      <c r="Z65" s="2408"/>
      <c r="AI65" s="2409"/>
    </row>
    <row r="66" spans="1:35" ht="14.25" customHeight="1">
      <c r="A66" s="201" t="s">
        <v>772</v>
      </c>
      <c r="B66" s="202" t="s">
        <v>2238</v>
      </c>
      <c r="C66" s="203"/>
      <c r="D66" s="204" t="s">
        <v>32</v>
      </c>
      <c r="E66" s="1768" t="s">
        <v>1371</v>
      </c>
      <c r="F66" s="2474"/>
      <c r="G66" s="2474"/>
      <c r="H66" s="2482"/>
      <c r="I66" s="136"/>
      <c r="J66" s="3171"/>
      <c r="K66" s="2484" t="s">
        <v>2239</v>
      </c>
      <c r="L66" s="1744">
        <f ca="1">M49*0.5%</f>
        <v>72.87</v>
      </c>
      <c r="M66" s="24">
        <f ca="1">IF(L66&gt;0.5,0.5,ROUND(L66,0))</f>
        <v>0.5</v>
      </c>
      <c r="N66" s="136" t="s">
        <v>2240</v>
      </c>
      <c r="Z66" s="2408"/>
      <c r="AI66" s="2409"/>
    </row>
    <row r="67" spans="1:35" ht="14.25" customHeight="1">
      <c r="A67" s="201" t="s">
        <v>773</v>
      </c>
      <c r="B67" s="202" t="s">
        <v>2241</v>
      </c>
      <c r="C67" s="205">
        <f ca="1">C63-C66</f>
        <v>13880</v>
      </c>
      <c r="D67" s="198" t="s">
        <v>32</v>
      </c>
      <c r="E67" s="199"/>
      <c r="F67" s="2474"/>
      <c r="G67" s="2474"/>
      <c r="H67" s="2482"/>
      <c r="I67" s="136"/>
      <c r="J67" s="3171"/>
      <c r="K67" s="2484" t="s">
        <v>2242</v>
      </c>
      <c r="L67" s="1744">
        <f ca="1">IF(M49&gt;=10000,(8.25+(M49-10000)*0.01%),IF(AND(M49&gt;=8000,M49&lt;10000),(7.85+(M49-8000)*0.02%),IF(AND(M49&gt;=5000,M49&lt;8000),(6.65+(M49-5000)*0.04%),IF(AND(M49&gt;=2000,M49&lt;5000),(4.25+(PM49-2000)*0.08%),IF(AND(M49&gt;=1000,M49&lt;2000),(2.75+(M49-1000)*0.15%),IF(AND(M49&gt;=100,M49&lt;1000),(0.5+(M49-100)*0.25%),IF(AND(M49&gt;0,M49&lt;100),M49*0.5%)))))))</f>
        <v>8.7073999999999998</v>
      </c>
      <c r="M67" s="24">
        <f ca="1">ROUND(L67*0.9,1)</f>
        <v>7.8</v>
      </c>
      <c r="Z67" s="2408"/>
      <c r="AI67" s="2409"/>
    </row>
    <row r="68" spans="1:35" ht="14.25" customHeight="1" thickBot="1">
      <c r="A68" s="206" t="s">
        <v>774</v>
      </c>
      <c r="B68" s="207" t="s">
        <v>2243</v>
      </c>
      <c r="C68" s="208">
        <f ca="1">IF(C67&lt;=0,0,ROUND(C67*D68,0))</f>
        <v>777</v>
      </c>
      <c r="D68" s="209">
        <f>'数据-取费表'!B41</f>
        <v>5.6000000000000001E-2</v>
      </c>
      <c r="E68" s="210"/>
      <c r="F68" s="2474"/>
      <c r="G68" s="2474"/>
      <c r="H68" s="2482"/>
      <c r="I68" s="136"/>
      <c r="J68" s="3171"/>
      <c r="K68" s="2484" t="s">
        <v>2244</v>
      </c>
      <c r="L68" s="1744">
        <f ca="1">IF(M49&gt;10000,M49*0.5%,IF(AND(M49&gt;5000,M49&lt;=10000),M49*1%,IF(AND(M49&gt;1000,M49&lt;=5000),M49*2%,IF(AND(M49&gt;200,M49&lt;=1000),M49*3%,M49*5%))))</f>
        <v>72.87</v>
      </c>
      <c r="M68" s="24">
        <f ca="1">ROUND(L68,1)</f>
        <v>72.900000000000006</v>
      </c>
      <c r="Z68" s="2408"/>
      <c r="AI68" s="2409"/>
    </row>
    <row r="69" spans="1:35" s="2431" customFormat="1" ht="16.5" customHeight="1">
      <c r="A69" s="2485"/>
      <c r="B69" s="2486"/>
      <c r="C69" s="2487"/>
      <c r="D69" s="2488"/>
      <c r="E69" s="2489"/>
      <c r="F69" s="2155"/>
      <c r="G69" s="2155"/>
      <c r="H69" s="2154"/>
      <c r="I69" s="2403"/>
      <c r="J69" s="3171"/>
      <c r="K69" s="2484" t="s">
        <v>2245</v>
      </c>
      <c r="L69" s="2490"/>
      <c r="M69" s="24">
        <f ca="1">ROUND(SUM(M63:M68),0)</f>
        <v>242</v>
      </c>
      <c r="N69" s="1745">
        <f ca="1">M69/M49</f>
        <v>1.6604912858515165E-2</v>
      </c>
      <c r="O69" s="791"/>
      <c r="P69" s="791"/>
      <c r="Q69" s="791"/>
      <c r="R69" s="791"/>
      <c r="S69" s="791"/>
      <c r="T69" s="791"/>
      <c r="U69" s="791"/>
      <c r="V69" s="791"/>
      <c r="W69" s="791"/>
      <c r="X69" s="791"/>
      <c r="Y69" s="791"/>
      <c r="Z69" s="2408"/>
      <c r="AA69" s="2408"/>
      <c r="AB69" s="2408"/>
      <c r="AC69" s="2408"/>
      <c r="AD69" s="2408"/>
      <c r="AE69" s="2408"/>
      <c r="AF69" s="2408"/>
      <c r="AG69" s="2408"/>
      <c r="AH69" s="2408"/>
    </row>
    <row r="70" spans="1:35" s="2492" customFormat="1" ht="15" thickBot="1">
      <c r="A70" s="3215" t="s">
        <v>2246</v>
      </c>
      <c r="B70" s="3216"/>
      <c r="C70" s="3216"/>
      <c r="D70" s="3216"/>
      <c r="E70" s="3216"/>
      <c r="F70" s="3216"/>
      <c r="G70" s="3216"/>
      <c r="H70" s="3216"/>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206" t="s">
        <v>2227</v>
      </c>
      <c r="B71" s="3207"/>
      <c r="C71" s="1796"/>
      <c r="D71" s="1796" t="s">
        <v>2228</v>
      </c>
      <c r="E71" s="211" t="s">
        <v>2229</v>
      </c>
      <c r="F71" s="212"/>
      <c r="G71" s="212"/>
      <c r="H71" s="213"/>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1" t="s">
        <v>775</v>
      </c>
      <c r="B72" s="202" t="s">
        <v>2247</v>
      </c>
      <c r="C72" s="205">
        <f ca="1">ROUND(D45/(1+'数据-取费表'!C42),0)</f>
        <v>13880</v>
      </c>
      <c r="D72" s="198" t="s">
        <v>32</v>
      </c>
      <c r="E72" s="1795"/>
      <c r="F72" s="1789"/>
      <c r="G72" s="1789"/>
      <c r="H72" s="214"/>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1" t="s">
        <v>772</v>
      </c>
      <c r="B73" s="171" t="s">
        <v>2248</v>
      </c>
      <c r="C73" s="205">
        <f ca="1">C74+C78</f>
        <v>83</v>
      </c>
      <c r="D73" s="198" t="s">
        <v>32</v>
      </c>
      <c r="E73" s="1795"/>
      <c r="F73" s="1789"/>
      <c r="G73" s="1789"/>
      <c r="H73" s="214"/>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5" t="s">
        <v>770</v>
      </c>
      <c r="B74" s="196" t="s">
        <v>2249</v>
      </c>
      <c r="C74" s="198">
        <f>ROUND(IF(G77="2016年5月1日后购买",C75/(1+'数据-取费表'!C42)+C76+C77,C75+C76+C77),0)</f>
        <v>0</v>
      </c>
      <c r="D74" s="198" t="s">
        <v>32</v>
      </c>
      <c r="E74" s="1795"/>
      <c r="F74" s="1789"/>
      <c r="G74" s="1789"/>
      <c r="H74" s="214"/>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5" t="s">
        <v>776</v>
      </c>
      <c r="B75" s="196" t="s">
        <v>2250</v>
      </c>
      <c r="C75" s="216"/>
      <c r="D75" s="198" t="s">
        <v>32</v>
      </c>
      <c r="E75" s="217" t="s">
        <v>2251</v>
      </c>
      <c r="F75" s="2496" t="s">
        <v>2252</v>
      </c>
      <c r="G75" s="217" t="s">
        <v>2253</v>
      </c>
      <c r="H75" s="218"/>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5" t="s">
        <v>777</v>
      </c>
      <c r="B76" s="219" t="s">
        <v>2254</v>
      </c>
      <c r="C76" s="198">
        <f>IF(F75="购房发票",ROUND(C75*H75*D76,0),0)</f>
        <v>0</v>
      </c>
      <c r="D76" s="220">
        <v>0.05</v>
      </c>
      <c r="E76" s="3212" t="s">
        <v>2255</v>
      </c>
      <c r="F76" s="3211"/>
      <c r="G76" s="3211"/>
      <c r="H76" s="3214"/>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5" t="s">
        <v>778</v>
      </c>
      <c r="B77" s="196" t="s">
        <v>2256</v>
      </c>
      <c r="C77" s="198">
        <f>ROUND(IF(G77="个人住宅",0,IF(G77="2016年5月1日前购买",C75*D77,C75*D77/(1+'数据-取费表'!C42))),0)</f>
        <v>0</v>
      </c>
      <c r="D77" s="221">
        <f>'数据-取费表'!B48+'数据-取费表'!B49</f>
        <v>3.0499999999999999E-2</v>
      </c>
      <c r="E77" s="15" t="s">
        <v>2257</v>
      </c>
      <c r="F77" s="222"/>
      <c r="G77" s="2498" t="s">
        <v>2258</v>
      </c>
      <c r="H77" s="1800"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5" t="s">
        <v>771</v>
      </c>
      <c r="B78" s="196" t="s">
        <v>2259</v>
      </c>
      <c r="C78" s="223">
        <f ca="1">ROUND(D45*D78/(1+'数据-取费表'!C42),0)</f>
        <v>83</v>
      </c>
      <c r="D78" s="224">
        <f>'数据-取费表'!B43</f>
        <v>6.000000000000001E-3</v>
      </c>
      <c r="E78" s="3203" t="s">
        <v>2260</v>
      </c>
      <c r="F78" s="3204"/>
      <c r="G78" s="3204"/>
      <c r="H78" s="3205"/>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2" t="s">
        <v>2261</v>
      </c>
      <c r="C79" s="205">
        <f ca="1">C72-C73</f>
        <v>13797</v>
      </c>
      <c r="D79" s="198" t="s">
        <v>32</v>
      </c>
      <c r="E79" s="1795"/>
      <c r="F79" s="1789"/>
      <c r="G79" s="1789"/>
      <c r="H79" s="214"/>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2" t="s">
        <v>2262</v>
      </c>
      <c r="C80" s="225">
        <f ca="1">IF(C79&lt;=0,0,C79/C73)</f>
        <v>166.22891566265059</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4"/>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7" t="s">
        <v>2263</v>
      </c>
      <c r="C81" s="226">
        <f ca="1">ROUND(IF(C79&lt;=0,0,IF(C80&gt;=200%,C79*60%-C73*35%,IF(C80&gt;=100%,C79*50%-C73*15%,IF(C80&gt;=50%,C79*40%-C73*5%,IF(C80&lt;50%,C79*30%,0))))),0)</f>
        <v>8249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29"/>
      <c r="B82" s="730"/>
      <c r="C82" s="7"/>
      <c r="D82" s="7"/>
      <c r="E82" s="730"/>
      <c r="F82" s="730"/>
      <c r="G82" s="730"/>
      <c r="H82" s="731"/>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215" t="s">
        <v>2264</v>
      </c>
      <c r="B83" s="3216"/>
      <c r="C83" s="3216"/>
      <c r="D83" s="3216"/>
      <c r="E83" s="3216"/>
      <c r="F83" s="3216"/>
      <c r="G83" s="3216"/>
      <c r="H83" s="3216"/>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206" t="s">
        <v>2227</v>
      </c>
      <c r="B84" s="3207"/>
      <c r="C84" s="1796"/>
      <c r="D84" s="1796" t="s">
        <v>2228</v>
      </c>
      <c r="E84" s="211" t="s">
        <v>2229</v>
      </c>
      <c r="F84" s="212"/>
      <c r="G84" s="212"/>
      <c r="H84" s="231"/>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1" t="s">
        <v>775</v>
      </c>
      <c r="B85" s="202" t="s">
        <v>2247</v>
      </c>
      <c r="C85" s="205">
        <f ca="1">ROUND(D45/(1+'数据-取费表'!C42),0)</f>
        <v>13880</v>
      </c>
      <c r="D85" s="198" t="s">
        <v>32</v>
      </c>
      <c r="E85" s="1795"/>
      <c r="F85" s="1789"/>
      <c r="G85" s="1789"/>
      <c r="H85" s="232"/>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1" t="s">
        <v>772</v>
      </c>
      <c r="B86" s="171" t="s">
        <v>2248</v>
      </c>
      <c r="C86" s="205">
        <f ca="1">IF(H88="仅含出让金",C87+C90+C91+C92+C93+C94,C87+C91+C92+C93+C94)</f>
        <v>83</v>
      </c>
      <c r="D86" s="233"/>
      <c r="E86" s="1795"/>
      <c r="F86" s="1789"/>
      <c r="G86" s="1789"/>
      <c r="H86" s="232"/>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5" t="s">
        <v>770</v>
      </c>
      <c r="B87" s="196" t="s">
        <v>2265</v>
      </c>
      <c r="C87" s="223">
        <f>C88+C89</f>
        <v>0</v>
      </c>
      <c r="D87" s="224"/>
      <c r="E87" s="1791"/>
      <c r="F87" s="1792"/>
      <c r="G87" s="1792"/>
      <c r="H87" s="1794"/>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5" t="s">
        <v>776</v>
      </c>
      <c r="B88" s="196" t="s">
        <v>2266</v>
      </c>
      <c r="C88" s="234"/>
      <c r="D88" s="224"/>
      <c r="E88" s="235" t="s">
        <v>2267</v>
      </c>
      <c r="F88" s="1792"/>
      <c r="G88" s="236" t="s">
        <v>2268</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5" t="s">
        <v>777</v>
      </c>
      <c r="B89" s="196" t="s">
        <v>2256</v>
      </c>
      <c r="C89" s="223">
        <f>ROUND(C88*D89,0)</f>
        <v>0</v>
      </c>
      <c r="D89" s="224">
        <f>'数据-取费表'!B48+'数据-取费表'!B49</f>
        <v>3.0499999999999999E-2</v>
      </c>
      <c r="E89" s="235" t="s">
        <v>2269</v>
      </c>
      <c r="F89" s="1792"/>
      <c r="G89" s="1792"/>
      <c r="H89" s="1794"/>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5" t="s">
        <v>771</v>
      </c>
      <c r="B90" s="196" t="s">
        <v>2270</v>
      </c>
      <c r="C90" s="234"/>
      <c r="D90" s="224"/>
      <c r="E90" s="235" t="str">
        <f>IF(H88="-","土地取得成本中已包含该笔费用"," ")</f>
        <v xml:space="preserve"> </v>
      </c>
      <c r="F90" s="1792"/>
      <c r="G90" s="1792"/>
      <c r="H90" s="1794"/>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5" t="s">
        <v>2271</v>
      </c>
      <c r="B91" s="196" t="s">
        <v>2272</v>
      </c>
      <c r="C91" s="223">
        <f>IF(H91="——",成本法!C33,I91)</f>
        <v>0</v>
      </c>
      <c r="D91" s="224"/>
      <c r="E91" s="3203" t="s">
        <v>2273</v>
      </c>
      <c r="F91" s="3204"/>
      <c r="G91" s="3204"/>
      <c r="H91" s="2503" t="s">
        <v>2274</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5" t="s">
        <v>2275</v>
      </c>
      <c r="B92" s="196" t="s">
        <v>2276</v>
      </c>
      <c r="C92" s="223">
        <f>ROUND((C87+C90+C91)*D92,0)</f>
        <v>0</v>
      </c>
      <c r="D92" s="224">
        <v>0.1</v>
      </c>
      <c r="E92" s="3203" t="s">
        <v>2277</v>
      </c>
      <c r="F92" s="3204"/>
      <c r="G92" s="3204"/>
      <c r="H92" s="3205"/>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5" t="s">
        <v>2278</v>
      </c>
      <c r="B93" s="196" t="s">
        <v>2259</v>
      </c>
      <c r="C93" s="223">
        <f ca="1">ROUND(D45*D93/(1+'数据-取费表'!C42),0)</f>
        <v>83</v>
      </c>
      <c r="D93" s="224">
        <f>'数据-取费表'!B43</f>
        <v>6.000000000000001E-3</v>
      </c>
      <c r="E93" s="3203" t="s">
        <v>2260</v>
      </c>
      <c r="F93" s="3204"/>
      <c r="G93" s="3204"/>
      <c r="H93" s="3205"/>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5" t="s">
        <v>2279</v>
      </c>
      <c r="B94" s="196" t="s">
        <v>2280</v>
      </c>
      <c r="C94" s="234">
        <f>ROUND((C87+C90+C91)*D94,0)</f>
        <v>0</v>
      </c>
      <c r="D94" s="224">
        <v>0.2</v>
      </c>
      <c r="E94" s="3251" t="s">
        <v>2281</v>
      </c>
      <c r="F94" s="3252"/>
      <c r="G94" s="3252"/>
      <c r="H94" s="3253"/>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2" t="s">
        <v>2261</v>
      </c>
      <c r="C95" s="205">
        <f ca="1">ROUND(C85-C86,0)</f>
        <v>13797</v>
      </c>
      <c r="D95" s="198" t="s">
        <v>32</v>
      </c>
      <c r="E95" s="1795"/>
      <c r="F95" s="1789"/>
      <c r="G95" s="1789"/>
      <c r="H95" s="232"/>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2" t="s">
        <v>2262</v>
      </c>
      <c r="C96" s="225">
        <f ca="1">IF(C95&lt;=0,0,C95/C86)</f>
        <v>166.22891566265059</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2"/>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7" t="s">
        <v>2263</v>
      </c>
      <c r="C97" s="226">
        <f ca="1">ROUND(IF(C95&lt;=0,0,IF(C96&gt;=200%,C95*60%-C86*35%,IF(C96&gt;=100%,C95*50%-C86*15%,IF(C96&gt;=50%,C95*40%-C86*5%,IF(C96&lt;50%,C95*30%,0))))),0)</f>
        <v>8249</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5"/>
      <c r="F98" s="2155"/>
      <c r="G98" s="2155"/>
      <c r="H98" s="2154"/>
      <c r="I98" s="136"/>
    </row>
    <row r="99" spans="1:35" ht="21.75" customHeight="1" thickBot="1">
      <c r="A99" s="2459" t="s">
        <v>2282</v>
      </c>
      <c r="B99" s="2403"/>
      <c r="C99" s="2403"/>
      <c r="D99" s="2403"/>
      <c r="E99" s="2155"/>
      <c r="F99" s="2155"/>
      <c r="G99" s="2155"/>
      <c r="H99" s="2154"/>
      <c r="I99" s="136"/>
    </row>
    <row r="100" spans="1:35" ht="18.75" customHeight="1">
      <c r="A100" s="3155" t="s">
        <v>2283</v>
      </c>
      <c r="B100" s="3156"/>
      <c r="C100" s="3156"/>
      <c r="D100" s="3187"/>
      <c r="E100" s="3156" t="s">
        <v>2284</v>
      </c>
      <c r="F100" s="3156"/>
      <c r="G100" s="3156"/>
      <c r="H100" s="3187"/>
      <c r="I100" s="136"/>
    </row>
    <row r="101" spans="1:35" ht="18.75" customHeight="1">
      <c r="A101" s="3195" t="s">
        <v>2285</v>
      </c>
      <c r="B101" s="3196"/>
      <c r="C101" s="732" t="str">
        <f>C4</f>
        <v>成本法</v>
      </c>
      <c r="D101" s="733" t="str">
        <f>D4</f>
        <v>假设开发法</v>
      </c>
      <c r="E101" s="3167" t="s">
        <v>2286</v>
      </c>
      <c r="F101" s="3168"/>
      <c r="G101" s="2505" t="s">
        <v>2287</v>
      </c>
      <c r="H101" s="1043">
        <f ca="1">H118</f>
        <v>14574</v>
      </c>
      <c r="I101" s="136"/>
    </row>
    <row r="102" spans="1:35" ht="18.75" customHeight="1">
      <c r="A102" s="3197" t="s">
        <v>2288</v>
      </c>
      <c r="B102" s="2505" t="s">
        <v>2287</v>
      </c>
      <c r="C102" s="732">
        <f ca="1">C19</f>
        <v>17221</v>
      </c>
      <c r="D102" s="733">
        <f ca="1">D19</f>
        <v>12809</v>
      </c>
      <c r="E102" s="3167"/>
      <c r="F102" s="3168"/>
      <c r="G102" s="2505" t="s">
        <v>2289</v>
      </c>
      <c r="H102" s="369">
        <f ca="1">I118</f>
        <v>2022</v>
      </c>
      <c r="I102" s="136"/>
    </row>
    <row r="103" spans="1:35" ht="42.75" customHeight="1">
      <c r="A103" s="3197"/>
      <c r="B103" s="2505" t="s">
        <v>2289</v>
      </c>
      <c r="C103" s="734">
        <f ca="1">C20</f>
        <v>2389</v>
      </c>
      <c r="D103" s="735">
        <f ca="1">D20</f>
        <v>1777</v>
      </c>
      <c r="E103" s="3161" t="s">
        <v>2290</v>
      </c>
      <c r="F103" s="3162"/>
      <c r="G103" s="2506" t="s">
        <v>2291</v>
      </c>
      <c r="H103" s="1043">
        <f>IF(D36="正常操作",H104+H105+H106,H105+H106)</f>
        <v>0</v>
      </c>
      <c r="I103" s="136"/>
    </row>
    <row r="104" spans="1:35" ht="18.75" customHeight="1">
      <c r="A104" s="3197" t="s">
        <v>2292</v>
      </c>
      <c r="B104" s="2507" t="s">
        <v>2287</v>
      </c>
      <c r="C104" s="736">
        <f ca="1">H118</f>
        <v>14574</v>
      </c>
      <c r="D104" s="737"/>
      <c r="E104" s="2255" t="s">
        <v>2293</v>
      </c>
      <c r="F104" s="2247"/>
      <c r="G104" s="2506" t="s">
        <v>2291</v>
      </c>
      <c r="H104" s="1044">
        <f>IF(D36="同一抵押权人同一抵押物续贷",C36&amp;"（未扣减，详见特别提示）",C36)</f>
        <v>0</v>
      </c>
      <c r="I104" s="136"/>
    </row>
    <row r="105" spans="1:35" ht="18.75" customHeight="1" thickBot="1">
      <c r="A105" s="3209"/>
      <c r="B105" s="2508" t="s">
        <v>2289</v>
      </c>
      <c r="C105" s="738">
        <f ca="1">I118</f>
        <v>2022</v>
      </c>
      <c r="D105" s="739"/>
      <c r="E105" s="2255" t="s">
        <v>2294</v>
      </c>
      <c r="F105" s="2247"/>
      <c r="G105" s="2506" t="s">
        <v>2291</v>
      </c>
      <c r="H105" s="1044">
        <f>C37</f>
        <v>0</v>
      </c>
      <c r="I105" s="136"/>
    </row>
    <row r="106" spans="1:35" ht="18.75" customHeight="1">
      <c r="A106" s="2403" t="s">
        <v>2295</v>
      </c>
      <c r="B106" s="2403"/>
      <c r="C106" s="2403"/>
      <c r="D106" s="2403"/>
      <c r="E106" s="2509" t="s">
        <v>2296</v>
      </c>
      <c r="F106" s="2247"/>
      <c r="G106" s="2506" t="s">
        <v>2291</v>
      </c>
      <c r="H106" s="1044">
        <f>C38</f>
        <v>0</v>
      </c>
      <c r="I106" s="136"/>
    </row>
    <row r="107" spans="1:35" ht="18.75" customHeight="1">
      <c r="A107" s="136"/>
      <c r="B107" s="136"/>
      <c r="C107" s="136"/>
      <c r="D107" s="136"/>
      <c r="E107" s="3198" t="str">
        <f>IF(项目基本情况!E8="已注销","——","3.房地产抵押价值")</f>
        <v>3.房地产抵押价值</v>
      </c>
      <c r="F107" s="3168"/>
      <c r="G107" s="2505" t="s">
        <v>2287</v>
      </c>
      <c r="H107" s="1043">
        <f ca="1">IF(E107="——","——",H101-H103)</f>
        <v>14574</v>
      </c>
      <c r="I107" s="136"/>
    </row>
    <row r="108" spans="1:35" ht="18.75" customHeight="1">
      <c r="A108" s="136"/>
      <c r="B108" s="136"/>
      <c r="C108" s="136"/>
      <c r="D108" s="136"/>
      <c r="E108" s="3198"/>
      <c r="F108" s="3168"/>
      <c r="G108" s="2505" t="s">
        <v>2289</v>
      </c>
      <c r="H108" s="369">
        <f ca="1">ROUND(H107*10000/'数据-汇总表'!E3,0)</f>
        <v>2022</v>
      </c>
      <c r="I108" s="136"/>
    </row>
    <row r="109" spans="1:35" ht="18.75" customHeight="1">
      <c r="A109" s="136"/>
      <c r="B109" s="136"/>
      <c r="C109" s="136"/>
      <c r="D109" s="136"/>
      <c r="E109" s="3198" t="str">
        <f>IF(项目基本情况!E8="已注销及未注销","4.抵押担保权已注销时的房地产抵押价值",IF(项目基本情况!E8="已注销","3.抵押担保权已注销时的房地产抵押价值","——"))</f>
        <v>——</v>
      </c>
      <c r="F109" s="3168"/>
      <c r="G109" s="2505" t="s">
        <v>2287</v>
      </c>
      <c r="H109" s="346" t="str">
        <f>IF(E109="——","——",H101-H105-H106)</f>
        <v>——</v>
      </c>
      <c r="I109" s="136"/>
    </row>
    <row r="110" spans="1:35" ht="18.75" customHeight="1">
      <c r="A110" s="136"/>
      <c r="B110" s="136"/>
      <c r="C110" s="136"/>
      <c r="D110" s="136"/>
      <c r="E110" s="3198"/>
      <c r="F110" s="3168"/>
      <c r="G110" s="2505" t="s">
        <v>2289</v>
      </c>
      <c r="H110" s="369" t="str">
        <f>IF(H109="——","——",ROUND(H109*10000/'数据-汇总表'!E3,0))</f>
        <v>——</v>
      </c>
      <c r="I110" s="136"/>
    </row>
    <row r="111" spans="1:35" ht="18.75" customHeight="1">
      <c r="A111" s="136"/>
      <c r="B111" s="136"/>
      <c r="C111" s="136"/>
      <c r="D111" s="136"/>
      <c r="E111" s="3199" t="str">
        <f>IF(项目基本情况!E9="抵押净值",IF(OR(项目基本情况!E8="已注销",项目基本情况!E8="房地产抵押价值"),"4.抵押净值","5.抵押净值"),"——")</f>
        <v>——</v>
      </c>
      <c r="F111" s="3200"/>
      <c r="G111" s="2505" t="s">
        <v>2287</v>
      </c>
      <c r="H111" s="1043" t="str">
        <f>IF(E111="——","——",N59)</f>
        <v>——</v>
      </c>
      <c r="I111" s="136"/>
    </row>
    <row r="112" spans="1:35" ht="18.75" customHeight="1" thickBot="1">
      <c r="A112" s="136"/>
      <c r="B112" s="136"/>
      <c r="C112" s="136"/>
      <c r="D112" s="136"/>
      <c r="E112" s="3201"/>
      <c r="F112" s="3202"/>
      <c r="G112" s="2510" t="s">
        <v>2289</v>
      </c>
      <c r="H112" s="786" t="str">
        <f>IF(E111="——","——",N61)</f>
        <v>——</v>
      </c>
      <c r="I112" s="136"/>
    </row>
    <row r="113" spans="1:11" ht="18.75" customHeight="1">
      <c r="A113" s="136"/>
      <c r="B113" s="136"/>
      <c r="C113" s="136"/>
      <c r="D113" s="136"/>
      <c r="E113" s="3210" t="s">
        <v>2295</v>
      </c>
      <c r="F113" s="3210"/>
      <c r="G113" s="3210"/>
      <c r="H113" s="3210"/>
      <c r="I113" s="136"/>
    </row>
    <row r="114" spans="1:11" ht="3.75" customHeight="1">
      <c r="A114" s="2403"/>
      <c r="B114" s="2403"/>
      <c r="C114" s="2403"/>
      <c r="D114" s="2403"/>
      <c r="E114" s="2481"/>
      <c r="F114" s="2481"/>
      <c r="G114" s="2481"/>
      <c r="H114" s="2481"/>
      <c r="I114" s="2403"/>
    </row>
    <row r="115" spans="1:11" ht="18.75" customHeight="1">
      <c r="A115" s="3223" t="s">
        <v>2297</v>
      </c>
      <c r="B115" s="3224"/>
      <c r="C115" s="3224"/>
      <c r="D115" s="3224"/>
      <c r="E115" s="3224"/>
      <c r="F115" s="3224"/>
      <c r="G115" s="3224"/>
      <c r="H115" s="3224"/>
      <c r="I115" s="3225"/>
    </row>
    <row r="116" spans="1:11" ht="27" customHeight="1">
      <c r="A116" s="3134" t="s">
        <v>2298</v>
      </c>
      <c r="B116" s="3177" t="s">
        <v>2299</v>
      </c>
      <c r="C116" s="3177" t="s">
        <v>2300</v>
      </c>
      <c r="D116" s="3183" t="s">
        <v>2301</v>
      </c>
      <c r="E116" s="3184"/>
      <c r="F116" s="3219" t="s">
        <v>3147</v>
      </c>
      <c r="G116" s="3219"/>
      <c r="H116" s="3134" t="s">
        <v>2302</v>
      </c>
      <c r="I116" s="3134"/>
    </row>
    <row r="117" spans="1:11" ht="18.75" customHeight="1">
      <c r="A117" s="3134"/>
      <c r="B117" s="3178"/>
      <c r="C117" s="3178"/>
      <c r="D117" s="1790" t="s">
        <v>2303</v>
      </c>
      <c r="E117" s="1790" t="s">
        <v>2304</v>
      </c>
      <c r="F117" s="1790" t="s">
        <v>2303</v>
      </c>
      <c r="G117" s="1790" t="s">
        <v>2305</v>
      </c>
      <c r="H117" s="1790" t="s">
        <v>2303</v>
      </c>
      <c r="I117" s="1790" t="s">
        <v>2305</v>
      </c>
    </row>
    <row r="118" spans="1:11" ht="24.75" customHeight="1">
      <c r="A118" s="2511" t="str">
        <f>项目基本情况!S2</f>
        <v>山东省滨州市渤海十一路以东、盛华路以南出让国有建设用地使用权及在建建筑物房地产</v>
      </c>
      <c r="B118" s="1790">
        <f>M18</f>
        <v>72085.949999999983</v>
      </c>
      <c r="C118" s="1790">
        <f>M19</f>
        <v>57352.9</v>
      </c>
      <c r="D118" s="1790">
        <f ca="1">ROUND(IF(D32="总价",C34,E118*B118/10000),0)</f>
        <v>6077</v>
      </c>
      <c r="E118" s="1790">
        <f ca="1">ROUND(IF(C33="自定义",IF(D32="楼面单价",C34,D118*10000/B118),I118-G118),0)</f>
        <v>843</v>
      </c>
      <c r="F118" s="1790">
        <f ca="1">ROUND(IF(D32="总价",C35,G118*B118/10000),0)</f>
        <v>8497</v>
      </c>
      <c r="G118" s="1790">
        <f ca="1">ROUND(IF(D32="楼面单价",C35,F118*10000/B118),0)</f>
        <v>1179</v>
      </c>
      <c r="H118" s="1790">
        <f ca="1">ROUND(IF(D32="总价",C32,I118*B118/10000),0)</f>
        <v>14574</v>
      </c>
      <c r="I118" s="1790">
        <f ca="1">ROUND(IF(D32="楼面单价",C32,H118*10000/B118),0)</f>
        <v>2022</v>
      </c>
    </row>
    <row r="119" spans="1:11" ht="18.75" customHeight="1">
      <c r="A119" s="3134" t="s">
        <v>2306</v>
      </c>
      <c r="B119" s="3134"/>
      <c r="C119" s="3134"/>
      <c r="D119" s="3179" t="str">
        <f ca="1">NUMBERSTRING(INT(D118*10000),2)&amp;"元整"</f>
        <v>陆仟零柒拾柒万元整</v>
      </c>
      <c r="E119" s="3180"/>
      <c r="F119" s="3179" t="str">
        <f ca="1">NUMBERSTRING(INT(F118*10000),2)&amp;"元整"</f>
        <v>捌仟肆佰玖拾柒万元整</v>
      </c>
      <c r="G119" s="3180"/>
      <c r="H119" s="3179" t="str">
        <f ca="1">NUMBERSTRING(INT(H118*10000),2)&amp;"元整"</f>
        <v>壹亿肆仟伍佰柒拾肆万元整</v>
      </c>
      <c r="I119" s="3180"/>
    </row>
    <row r="120" spans="1:11" ht="18.75" customHeight="1">
      <c r="A120" s="3174" t="str">
        <f>IF(项目基本情况!B9="房地产市场价值","",MID(E103,3,LEN(E103)-2))</f>
        <v>估价师知悉的法定优先受偿款</v>
      </c>
      <c r="B120" s="3175"/>
      <c r="C120" s="3176"/>
      <c r="D120" s="3174">
        <f>H103</f>
        <v>0</v>
      </c>
      <c r="E120" s="3175"/>
      <c r="F120" s="3175"/>
      <c r="G120" s="3175"/>
      <c r="H120" s="3175"/>
      <c r="I120" s="3176"/>
      <c r="K120" s="2408" t="str">
        <f>IF(D120=0,"故，本次评估不存在"&amp;A120,"故，本次评估"&amp;A120&amp;"为人民币"&amp;D120&amp;"万元整。")</f>
        <v>故，本次评估不存在估价师知悉的法定优先受偿款</v>
      </c>
    </row>
    <row r="121" spans="1:11" ht="18.75" customHeight="1">
      <c r="A121" s="3220" t="s">
        <v>2306</v>
      </c>
      <c r="B121" s="3221"/>
      <c r="C121" s="3222"/>
      <c r="D121" s="3179" t="str">
        <f>IF(D120=0,"零元整",NUMBERSTRING(INT(D120*10000),2)&amp;"元整")</f>
        <v>零元整</v>
      </c>
      <c r="E121" s="3181"/>
      <c r="F121" s="3181"/>
      <c r="G121" s="3181"/>
      <c r="H121" s="3181"/>
      <c r="I121" s="3180"/>
    </row>
    <row r="122" spans="1:11" ht="18.75" customHeight="1">
      <c r="A122" s="3185" t="str">
        <f>IF(项目基本情况!B9="房地产市场价值","",MID(E107,3,LEN(E107)-2))</f>
        <v>房地产抵押价值</v>
      </c>
      <c r="B122" s="3185"/>
      <c r="C122" s="3185"/>
      <c r="D122" s="3174">
        <f ca="1">H107</f>
        <v>14574</v>
      </c>
      <c r="E122" s="3175"/>
      <c r="F122" s="3175"/>
      <c r="G122" s="3175"/>
      <c r="H122" s="3175"/>
      <c r="I122" s="3176"/>
    </row>
    <row r="123" spans="1:11" ht="18.75" customHeight="1">
      <c r="A123" s="3134" t="s">
        <v>2306</v>
      </c>
      <c r="B123" s="3134"/>
      <c r="C123" s="3134"/>
      <c r="D123" s="3179" t="str">
        <f ca="1">NUMBERSTRING(INT(D122*10000),2)&amp;"元整"</f>
        <v>壹亿肆仟伍佰柒拾肆万元整</v>
      </c>
      <c r="E123" s="3181"/>
      <c r="F123" s="3181"/>
      <c r="G123" s="3181"/>
      <c r="H123" s="3181"/>
      <c r="I123" s="3180"/>
    </row>
    <row r="124" spans="1:11" ht="18.75" customHeight="1">
      <c r="A124" s="3185" t="str">
        <f>IF(项目基本情况!B9="房地产市场价值","",MID(E109,3,LEN(E109)-2))</f>
        <v/>
      </c>
      <c r="B124" s="3185"/>
      <c r="C124" s="3185"/>
      <c r="D124" s="3174" t="str">
        <f>H109</f>
        <v>——</v>
      </c>
      <c r="E124" s="3175"/>
      <c r="F124" s="3175"/>
      <c r="G124" s="3175"/>
      <c r="H124" s="3175"/>
      <c r="I124" s="3176"/>
    </row>
    <row r="125" spans="1:11" ht="18.75" customHeight="1">
      <c r="A125" s="3134" t="s">
        <v>2306</v>
      </c>
      <c r="B125" s="3134"/>
      <c r="C125" s="3134"/>
      <c r="D125" s="3179" t="e">
        <f>NUMBERSTRING(INT(D124*10000),2)&amp;"元整"</f>
        <v>#VALUE!</v>
      </c>
      <c r="E125" s="3181"/>
      <c r="F125" s="3181"/>
      <c r="G125" s="3181"/>
      <c r="H125" s="3181"/>
      <c r="I125" s="3180"/>
    </row>
    <row r="126" spans="1:11" ht="18.75" customHeight="1">
      <c r="A126" s="3185" t="str">
        <f>IF(项目基本情况!B9="房地产市场价值","",MID(E111,3,LEN(E111)-2))</f>
        <v/>
      </c>
      <c r="B126" s="3185"/>
      <c r="C126" s="3185"/>
      <c r="D126" s="3174" t="str">
        <f>H111</f>
        <v>——</v>
      </c>
      <c r="E126" s="3175"/>
      <c r="F126" s="3175"/>
      <c r="G126" s="3175"/>
      <c r="H126" s="3175"/>
      <c r="I126" s="3176"/>
    </row>
    <row r="127" spans="1:11" ht="18.75" customHeight="1">
      <c r="A127" s="3134" t="s">
        <v>2306</v>
      </c>
      <c r="B127" s="3134"/>
      <c r="C127" s="3134"/>
      <c r="D127" s="3179" t="e">
        <f>NUMBERSTRING(INT(D126*10000),2)&amp;"元整"</f>
        <v>#VALUE!</v>
      </c>
      <c r="E127" s="3181"/>
      <c r="F127" s="3181"/>
      <c r="G127" s="3181"/>
      <c r="H127" s="3181"/>
      <c r="I127" s="3180"/>
    </row>
    <row r="128" spans="1:11" ht="21.75" customHeight="1">
      <c r="A128" s="3182" t="s">
        <v>2307</v>
      </c>
      <c r="B128" s="3182"/>
      <c r="C128" s="3182"/>
      <c r="D128" s="3182"/>
      <c r="E128" s="3182"/>
      <c r="F128" s="3182"/>
      <c r="G128" s="3182"/>
      <c r="H128" s="3182"/>
      <c r="I128" s="3182"/>
    </row>
    <row r="129" spans="1:35" ht="21.75" customHeight="1">
      <c r="A129" s="2512" t="s">
        <v>2308</v>
      </c>
      <c r="B129" s="2513"/>
      <c r="C129" s="2514" t="s">
        <v>2309</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3067" t="s">
        <v>3537</v>
      </c>
      <c r="B134" s="2519"/>
      <c r="C134" s="2519"/>
      <c r="D134" s="2520"/>
      <c r="E134" s="2520"/>
      <c r="F134" s="2520"/>
      <c r="G134" s="2520"/>
      <c r="H134" s="2521"/>
      <c r="I134" s="791"/>
    </row>
    <row r="135" spans="1:35" ht="21.75" customHeight="1">
      <c r="A135" s="791" t="s">
        <v>3538</v>
      </c>
      <c r="B135" s="791"/>
      <c r="C135" s="791"/>
      <c r="D135" s="791"/>
      <c r="E135" s="791"/>
      <c r="F135" s="2528" t="s">
        <v>2310</v>
      </c>
      <c r="G135" s="2529"/>
      <c r="H135" s="2529"/>
      <c r="I135" s="2530" t="s">
        <v>2311</v>
      </c>
    </row>
    <row r="136" spans="1:35" ht="21.75" customHeight="1">
      <c r="A136" s="791"/>
      <c r="B136" s="2531"/>
      <c r="C136" s="791"/>
      <c r="D136" s="791"/>
      <c r="E136" s="791"/>
      <c r="F136" s="791"/>
      <c r="G136" s="791"/>
      <c r="H136" s="791"/>
      <c r="I136" s="791"/>
    </row>
    <row r="137" spans="1:35" ht="21.75" customHeight="1">
      <c r="A137" s="791" t="s">
        <v>3539</v>
      </c>
      <c r="B137" s="791"/>
      <c r="C137" s="791"/>
      <c r="D137" s="791"/>
      <c r="E137" s="791"/>
      <c r="F137" s="791"/>
      <c r="G137" s="791"/>
      <c r="H137" s="791"/>
      <c r="I137" s="791"/>
    </row>
    <row r="138" spans="1:35" ht="21.75" customHeight="1">
      <c r="A138" s="791" t="s">
        <v>3541</v>
      </c>
      <c r="B138" s="2529"/>
      <c r="C138" s="2529"/>
      <c r="D138" s="2529"/>
      <c r="E138" s="2529"/>
      <c r="F138" s="2529"/>
      <c r="G138" s="2529"/>
      <c r="H138" s="2529"/>
      <c r="I138" s="2530" t="s">
        <v>2312</v>
      </c>
    </row>
    <row r="139" spans="1:35" ht="21.75" customHeight="1">
      <c r="A139" s="791" t="s">
        <v>3540</v>
      </c>
      <c r="B139" s="2531"/>
      <c r="C139" s="791"/>
      <c r="D139" s="791"/>
      <c r="E139" s="791"/>
      <c r="F139" s="791"/>
      <c r="G139" s="791"/>
      <c r="H139" s="791"/>
      <c r="I139" s="791"/>
    </row>
    <row r="140" spans="1:35" ht="21.75" customHeight="1">
      <c r="A140" s="791"/>
      <c r="B140" s="2531"/>
      <c r="C140" s="791"/>
      <c r="D140" s="791"/>
      <c r="E140" s="791"/>
      <c r="F140" s="791"/>
      <c r="G140" s="791"/>
      <c r="H140" s="791"/>
      <c r="I140" s="791"/>
    </row>
    <row r="141" spans="1:35" ht="21.75" customHeight="1">
      <c r="A141" s="791"/>
      <c r="B141" s="2529"/>
      <c r="C141" s="2529"/>
      <c r="D141" s="2529"/>
      <c r="E141" s="2529"/>
      <c r="F141" s="2529"/>
      <c r="G141" s="2529"/>
      <c r="H141" s="2529"/>
      <c r="I141" s="2530" t="s">
        <v>2312</v>
      </c>
    </row>
    <row r="142" spans="1:35" ht="21.75" customHeight="1">
      <c r="A142" s="791"/>
      <c r="B142" s="2531"/>
      <c r="C142" s="2532"/>
      <c r="D142" s="2533"/>
      <c r="E142" s="2533"/>
      <c r="F142" s="2329"/>
      <c r="G142" s="791"/>
      <c r="H142" s="791"/>
      <c r="I142" s="791"/>
    </row>
    <row r="143" spans="1:35" s="137" customFormat="1" ht="21.75" customHeight="1">
      <c r="A143" s="791"/>
      <c r="B143" s="2531"/>
      <c r="C143" s="2532"/>
      <c r="D143" s="2533"/>
      <c r="E143" s="2533"/>
      <c r="F143" s="2329"/>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7"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7"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08"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08"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08"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08"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08"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08"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08"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08"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08"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08"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08"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08"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08"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08"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08"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08"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08"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08"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08"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08"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08"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08"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08"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08"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08"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08"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08"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08"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08"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08"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08"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08"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08"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08"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08"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08"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08"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08"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08"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08"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08"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08"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08"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08"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08"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08"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08"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08"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08"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08"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08"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08"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08"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08"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08"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08"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08"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08"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08"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08"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08"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08"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08"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08"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08"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08"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08"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08"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08"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08"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08"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08"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08"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08"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08"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08"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08"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08"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08"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08"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08"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08"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08"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08"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08"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08"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08"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08"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08"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08"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08"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08"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08"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08"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08"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08"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08"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08"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08"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08"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08"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08"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08"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08"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A44" sqref="A44"/>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2313</v>
      </c>
      <c r="B1" s="1932"/>
      <c r="C1" s="240"/>
      <c r="D1" s="240"/>
      <c r="E1" s="240"/>
      <c r="F1" s="240"/>
      <c r="G1" s="1375">
        <f>MATCH(B1,'数据-取费表'!A6:A16,0)+5</f>
        <v>9</v>
      </c>
    </row>
    <row r="2" spans="1:9" s="242" customFormat="1" ht="18" customHeight="1">
      <c r="A2" s="243" t="s">
        <v>2314</v>
      </c>
      <c r="B2" s="244">
        <f ca="1">IF(D2="——",C52,C52-E2)</f>
        <v>17221</v>
      </c>
      <c r="C2" s="241" t="s">
        <v>2315</v>
      </c>
      <c r="D2" s="2534" t="s">
        <v>70</v>
      </c>
      <c r="E2" s="1436" t="e">
        <f ca="1">SUMIF(INDIRECT("'"&amp;G2&amp;"'"&amp;"!A:A"),"承租人权益价值",INDIRECT("'"&amp;G2&amp;"'"&amp;"!c:c"))</f>
        <v>#REF!</v>
      </c>
      <c r="F2" s="2535" t="s">
        <v>2315</v>
      </c>
      <c r="G2" s="2536"/>
    </row>
    <row r="3" spans="1:9" s="242" customFormat="1" ht="18" customHeight="1" thickBot="1">
      <c r="A3" s="245" t="s">
        <v>2316</v>
      </c>
      <c r="B3" s="246">
        <f ca="1">ROUND(B2*10000/(IF(B1="",'数据-汇总表'!E3,INDIRECT("'数据-取费表'!k"&amp;$G$1))),0)</f>
        <v>2389</v>
      </c>
      <c r="C3" s="241" t="s">
        <v>2317</v>
      </c>
      <c r="D3" s="241"/>
      <c r="E3" s="241"/>
      <c r="F3" s="241"/>
      <c r="G3" s="241"/>
    </row>
    <row r="4" spans="1:9" s="250" customFormat="1" ht="15.75">
      <c r="A4" s="247" t="s">
        <v>2318</v>
      </c>
      <c r="B4" s="248"/>
      <c r="C4" s="248"/>
      <c r="D4" s="248"/>
      <c r="E4" s="248"/>
      <c r="F4" s="248"/>
      <c r="G4" s="249"/>
    </row>
    <row r="5" spans="1:9" s="256" customFormat="1" ht="13.5" customHeight="1">
      <c r="A5" s="297" t="s">
        <v>2319</v>
      </c>
      <c r="B5" s="252" t="s">
        <v>2320</v>
      </c>
      <c r="C5" s="253">
        <f>C6+C7+C8</f>
        <v>13407</v>
      </c>
      <c r="D5" s="253" t="s">
        <v>2321</v>
      </c>
      <c r="E5" s="254" t="s">
        <v>2322</v>
      </c>
      <c r="F5" s="254" t="s">
        <v>2323</v>
      </c>
      <c r="G5" s="255"/>
    </row>
    <row r="6" spans="1:9" s="256" customFormat="1" ht="13.5" customHeight="1">
      <c r="A6" s="947" t="s">
        <v>2324</v>
      </c>
      <c r="B6" s="257" t="s">
        <v>2325</v>
      </c>
      <c r="C6" s="3055">
        <f>'土地比较法-住宅、综合'!B2</f>
        <v>12185</v>
      </c>
      <c r="D6" s="259"/>
      <c r="E6" s="260"/>
      <c r="F6" s="260"/>
      <c r="G6" s="261"/>
    </row>
    <row r="7" spans="1:9" s="256" customFormat="1" ht="13.5" customHeight="1">
      <c r="A7" s="947" t="s">
        <v>2326</v>
      </c>
      <c r="B7" s="257" t="s">
        <v>2327</v>
      </c>
      <c r="C7" s="262">
        <f>ROUND(C6*F7,0)</f>
        <v>372</v>
      </c>
      <c r="D7" s="262"/>
      <c r="E7" s="260"/>
      <c r="F7" s="263">
        <f>'数据-取费表'!B48+'数据-取费表'!B49</f>
        <v>3.0499999999999999E-2</v>
      </c>
      <c r="G7" s="261"/>
    </row>
    <row r="8" spans="1:9" s="265" customFormat="1">
      <c r="A8" s="947" t="s">
        <v>2328</v>
      </c>
      <c r="B8" s="257" t="s">
        <v>2329</v>
      </c>
      <c r="C8" s="262">
        <f>IF(G8="已包含在土地购买价格中","0",IF(B1="",'数据-取费表'!B29,IF(G9="全部缴纳",C9+C10,H9)))</f>
        <v>850</v>
      </c>
      <c r="D8" s="264"/>
      <c r="E8" s="262"/>
      <c r="F8" s="263"/>
      <c r="G8" s="2537" t="s">
        <v>3438</v>
      </c>
    </row>
    <row r="9" spans="1:9" s="256" customFormat="1" ht="13.5" customHeight="1">
      <c r="A9" s="948" t="s">
        <v>800</v>
      </c>
      <c r="B9" s="266" t="s">
        <v>2330</v>
      </c>
      <c r="C9" s="267">
        <f ca="1">ROUND(D9*E9/10000,0)</f>
        <v>603</v>
      </c>
      <c r="D9" s="1030">
        <f ca="1">IF(B1="",'数据-汇总表'!E5,IF(INDIRECT("'数据-取费表'!c"&amp;$G$1)="住宅",INDIRECT("'数据-取费表'!k"&amp;$G$1),0))</f>
        <v>46364.71</v>
      </c>
      <c r="E9" s="267">
        <f>'数据-取费表'!B27</f>
        <v>130</v>
      </c>
      <c r="F9" s="263"/>
      <c r="G9" s="2538" t="s">
        <v>3527</v>
      </c>
      <c r="H9" s="1386"/>
      <c r="I9" s="2539" t="s">
        <v>2331</v>
      </c>
    </row>
    <row r="10" spans="1:9" s="256" customFormat="1" ht="13.5" customHeight="1">
      <c r="A10" s="948" t="s">
        <v>801</v>
      </c>
      <c r="B10" s="266" t="s">
        <v>2332</v>
      </c>
      <c r="C10" s="267">
        <f ca="1">ROUND(D10*E10/10000,0)</f>
        <v>334</v>
      </c>
      <c r="D10" s="1030">
        <f ca="1">IF(B1="",'数据-汇总表'!E6,IF(INDIRECT("'数据-取费表'!c"&amp;$G$1)="住宅",INDIRECT("'数据-取费表'!s"&amp;$G$1),INDIRECT("'数据-取费表'!k"&amp;$G$1)+INDIRECT("'数据-取费表'!s"&amp;$G$1)))</f>
        <v>25721.239999999983</v>
      </c>
      <c r="E10" s="267">
        <f>'数据-取费表'!B28</f>
        <v>130</v>
      </c>
      <c r="F10" s="263"/>
      <c r="G10" s="268"/>
    </row>
    <row r="11" spans="1:9" s="256" customFormat="1" ht="13.5" hidden="1" customHeight="1">
      <c r="A11" s="269" t="s">
        <v>7</v>
      </c>
      <c r="B11" s="257" t="s">
        <v>2333</v>
      </c>
      <c r="C11" s="253"/>
      <c r="D11" s="1032"/>
      <c r="E11" s="260"/>
      <c r="F11" s="260"/>
      <c r="G11" s="261"/>
    </row>
    <row r="12" spans="1:9" s="256" customFormat="1" ht="13.5" hidden="1" customHeight="1">
      <c r="A12" s="269" t="s">
        <v>8</v>
      </c>
      <c r="B12" s="257" t="s">
        <v>2334</v>
      </c>
      <c r="C12" s="253">
        <v>0</v>
      </c>
      <c r="D12" s="1032"/>
      <c r="E12" s="270"/>
      <c r="F12" s="263">
        <v>3.0499999999999999E-2</v>
      </c>
      <c r="G12" s="261"/>
    </row>
    <row r="13" spans="1:9" s="256" customFormat="1" ht="13.5" hidden="1" customHeight="1">
      <c r="A13" s="269" t="s">
        <v>9</v>
      </c>
      <c r="B13" s="257" t="s">
        <v>2335</v>
      </c>
      <c r="C13" s="253"/>
      <c r="D13" s="1032"/>
      <c r="E13" s="260"/>
      <c r="F13" s="260"/>
      <c r="G13" s="261"/>
    </row>
    <row r="14" spans="1:9" s="256" customFormat="1" ht="13.5" hidden="1" customHeight="1">
      <c r="A14" s="269" t="s">
        <v>10</v>
      </c>
      <c r="B14" s="257" t="s">
        <v>2336</v>
      </c>
      <c r="C14" s="253"/>
      <c r="D14" s="1032"/>
      <c r="E14" s="260"/>
      <c r="F14" s="260"/>
      <c r="G14" s="261" t="s">
        <v>2337</v>
      </c>
    </row>
    <row r="15" spans="1:9" s="256" customFormat="1" ht="13.5" hidden="1" customHeight="1">
      <c r="A15" s="269" t="s">
        <v>11</v>
      </c>
      <c r="B15" s="257" t="s">
        <v>2338</v>
      </c>
      <c r="C15" s="262"/>
      <c r="D15" s="1032"/>
      <c r="E15" s="260"/>
      <c r="F15" s="260"/>
      <c r="G15" s="261" t="s">
        <v>2339</v>
      </c>
    </row>
    <row r="16" spans="1:9" s="256" customFormat="1" ht="13.5" hidden="1" customHeight="1">
      <c r="A16" s="269" t="s">
        <v>12</v>
      </c>
      <c r="B16" s="257" t="s">
        <v>2336</v>
      </c>
      <c r="C16" s="262"/>
      <c r="D16" s="1032"/>
      <c r="E16" s="260"/>
      <c r="F16" s="260"/>
      <c r="G16" s="261"/>
    </row>
    <row r="17" spans="1:7" s="256" customFormat="1" ht="13.5" hidden="1" customHeight="1">
      <c r="A17" s="269" t="s">
        <v>13</v>
      </c>
      <c r="B17" s="257" t="s">
        <v>2340</v>
      </c>
      <c r="C17" s="271"/>
      <c r="D17" s="1033"/>
      <c r="E17" s="271"/>
      <c r="F17" s="271"/>
      <c r="G17" s="261" t="s">
        <v>2339</v>
      </c>
    </row>
    <row r="18" spans="1:7" s="256" customFormat="1" ht="13.5" hidden="1" customHeight="1">
      <c r="A18" s="269" t="s">
        <v>14</v>
      </c>
      <c r="B18" s="257" t="s">
        <v>2341</v>
      </c>
      <c r="C18" s="262">
        <v>0</v>
      </c>
      <c r="D18" s="1032"/>
      <c r="E18" s="260"/>
      <c r="F18" s="263">
        <v>3.0499999999999999E-2</v>
      </c>
      <c r="G18" s="261" t="s">
        <v>2342</v>
      </c>
    </row>
    <row r="19" spans="1:7" s="265" customFormat="1" ht="13.5" customHeight="1">
      <c r="A19" s="297" t="s">
        <v>2343</v>
      </c>
      <c r="B19" s="252" t="s">
        <v>2344</v>
      </c>
      <c r="C19" s="253" t="str">
        <f>IF(G19="已包含在土地取得成本中","0",ROUND(D19*E19/10000,0))</f>
        <v>0</v>
      </c>
      <c r="D19" s="1034">
        <f ca="1">D9+D10</f>
        <v>72085.949999999983</v>
      </c>
      <c r="E19" s="253">
        <f>'数据-取费表'!B31</f>
        <v>200</v>
      </c>
      <c r="F19" s="273"/>
      <c r="G19" s="2537" t="s">
        <v>3439</v>
      </c>
    </row>
    <row r="20" spans="1:7" s="256" customFormat="1" ht="13.5" customHeight="1">
      <c r="A20" s="297" t="s">
        <v>2345</v>
      </c>
      <c r="B20" s="252" t="s">
        <v>2346</v>
      </c>
      <c r="C20" s="274">
        <f>ROUND((C5+C19)*F20,0)</f>
        <v>268</v>
      </c>
      <c r="D20" s="274"/>
      <c r="E20" s="274"/>
      <c r="F20" s="275">
        <f>'数据-取费表'!B37</f>
        <v>0.02</v>
      </c>
      <c r="G20" s="276" t="s">
        <v>2347</v>
      </c>
    </row>
    <row r="21" spans="1:7" s="256" customFormat="1" ht="13.5" customHeight="1">
      <c r="A21" s="297" t="s">
        <v>2348</v>
      </c>
      <c r="B21" s="252" t="s">
        <v>2349</v>
      </c>
      <c r="C21" s="277">
        <f>F21</f>
        <v>0.02</v>
      </c>
      <c r="D21" s="278" t="s">
        <v>2350</v>
      </c>
      <c r="E21" s="274"/>
      <c r="F21" s="275">
        <f>'数据-取费表'!B38</f>
        <v>0.02</v>
      </c>
      <c r="G21" s="276" t="s">
        <v>2351</v>
      </c>
    </row>
    <row r="22" spans="1:7" s="256" customFormat="1" ht="13.5" customHeight="1">
      <c r="A22" s="297" t="s">
        <v>2352</v>
      </c>
      <c r="B22" s="252" t="s">
        <v>2353</v>
      </c>
      <c r="C22" s="1350">
        <f ca="1">ROUND(SUM(C23:C25),0)</f>
        <v>318</v>
      </c>
      <c r="D22" s="277">
        <f ca="1">C26</f>
        <v>2.0000000000000001E-4</v>
      </c>
      <c r="E22" s="278" t="s">
        <v>2350</v>
      </c>
      <c r="F22" s="279">
        <f ca="1">'数据-取费表'!B40</f>
        <v>4.7500000000000001E-2</v>
      </c>
      <c r="G22" s="276" t="str">
        <f>IF('数据-取费表'!B22&lt;=1,"单利计息","复利计息")</f>
        <v>复利计息</v>
      </c>
    </row>
    <row r="23" spans="1:7" s="256" customFormat="1" ht="13.5" customHeight="1">
      <c r="A23" s="949" t="s">
        <v>2354</v>
      </c>
      <c r="B23" s="257" t="s">
        <v>2355</v>
      </c>
      <c r="C23" s="1351">
        <f ca="1">ROUND(IF('数据-取费表'!B22&lt;=1,C5*F22*'数据-取费表'!B23,C5*(POWER((1+F22),'数据-取费表'!B23)-1)),0)</f>
        <v>315</v>
      </c>
      <c r="D23" s="280"/>
      <c r="E23" s="280"/>
      <c r="F23" s="281"/>
      <c r="G23" s="282" t="s">
        <v>2356</v>
      </c>
    </row>
    <row r="24" spans="1:7" s="256" customFormat="1" ht="13.5" customHeight="1">
      <c r="A24" s="949" t="s">
        <v>2357</v>
      </c>
      <c r="B24" s="257" t="s">
        <v>2358</v>
      </c>
      <c r="C24" s="1351">
        <f ca="1">ROUND(IF('数据-取费表'!B22&lt;=1,C19*F22*('数据-取费表'!B19/2+'数据-取费表'!B21),C19*(POWER((1+F22),('数据-取费表'!B19/2+'数据-取费表'!B21))-1)),0)</f>
        <v>0</v>
      </c>
      <c r="D24" s="280"/>
      <c r="E24" s="280"/>
      <c r="F24" s="281"/>
      <c r="G24" s="282" t="s">
        <v>2359</v>
      </c>
    </row>
    <row r="25" spans="1:7" s="256" customFormat="1" ht="24">
      <c r="A25" s="949" t="s">
        <v>2360</v>
      </c>
      <c r="B25" s="257" t="s">
        <v>2361</v>
      </c>
      <c r="C25" s="1351">
        <f ca="1">ROUND(IF('数据-取费表'!B22&lt;=1,C20*F22*'数据-取费表'!B23/2,C20*(POWER((1+F22),'数据-取费表'!B23/2)-1)),0)</f>
        <v>3</v>
      </c>
      <c r="D25" s="280"/>
      <c r="E25" s="283"/>
      <c r="F25" s="281"/>
      <c r="G25" s="284" t="s">
        <v>2362</v>
      </c>
    </row>
    <row r="26" spans="1:7" s="256" customFormat="1">
      <c r="A26" s="949" t="s">
        <v>795</v>
      </c>
      <c r="B26" s="257" t="s">
        <v>2363</v>
      </c>
      <c r="C26" s="280">
        <f ca="1">ROUND(IF('数据-取费表'!B22&lt;=1,F21*F22*'数据-取费表'!B23/2,F21*(POWER((1+F22),'数据-取费表'!B23/2)-1)),4)</f>
        <v>2.0000000000000001E-4</v>
      </c>
      <c r="D26" s="280"/>
      <c r="E26" s="283"/>
      <c r="F26" s="281"/>
      <c r="G26" s="285"/>
    </row>
    <row r="27" spans="1:7" s="256" customFormat="1" ht="24.75">
      <c r="A27" s="297" t="s">
        <v>2364</v>
      </c>
      <c r="B27" s="286" t="s">
        <v>2365</v>
      </c>
      <c r="C27" s="287">
        <f ca="1">C28</f>
        <v>718</v>
      </c>
      <c r="D27" s="277">
        <f ca="1">C29</f>
        <v>1.1000000000000001E-3</v>
      </c>
      <c r="E27" s="278" t="s">
        <v>2366</v>
      </c>
      <c r="F27" s="288">
        <f ca="1">IF(B1="",'数据-取费表'!Q16,INDIRECT("'数据-取费表'!q"&amp;$G$1))</f>
        <v>0.21</v>
      </c>
      <c r="G27" s="289" t="s">
        <v>2367</v>
      </c>
    </row>
    <row r="28" spans="1:7" s="256" customFormat="1" ht="13.5" customHeight="1">
      <c r="A28" s="949" t="s">
        <v>791</v>
      </c>
      <c r="B28" s="290" t="s">
        <v>2368</v>
      </c>
      <c r="C28" s="291">
        <f ca="1">ROUND((C5+C19+C20)*F27*'数据-取费表'!B21/'数据-取费表'!B20,0)</f>
        <v>718</v>
      </c>
      <c r="D28" s="277"/>
      <c r="E28" s="278"/>
      <c r="F28" s="288"/>
      <c r="G28" s="289"/>
    </row>
    <row r="29" spans="1:7" s="256" customFormat="1" ht="13.5" customHeight="1">
      <c r="A29" s="949" t="s">
        <v>792</v>
      </c>
      <c r="B29" s="290" t="s">
        <v>2369</v>
      </c>
      <c r="C29" s="280">
        <f ca="1">ROUND(C21*F27*'数据-取费表'!B21/'数据-取费表'!B20,4)</f>
        <v>1.1000000000000001E-3</v>
      </c>
      <c r="D29" s="277"/>
      <c r="E29" s="278"/>
      <c r="F29" s="288"/>
      <c r="G29" s="289"/>
    </row>
    <row r="30" spans="1:7" s="256" customFormat="1" ht="13.5" customHeight="1">
      <c r="A30" s="297" t="s">
        <v>2370</v>
      </c>
      <c r="B30" s="252" t="s">
        <v>2371</v>
      </c>
      <c r="C30" s="277">
        <f>ROUND(F30/(1+'数据-取费表'!C42),4)</f>
        <v>5.33E-2</v>
      </c>
      <c r="D30" s="278" t="s">
        <v>2366</v>
      </c>
      <c r="E30" s="283"/>
      <c r="F30" s="279">
        <f>'数据-取费表'!B41</f>
        <v>5.6000000000000001E-2</v>
      </c>
      <c r="G30" s="276" t="s">
        <v>2372</v>
      </c>
    </row>
    <row r="31" spans="1:7" ht="16.5" customHeight="1">
      <c r="A31" s="251">
        <v>1</v>
      </c>
      <c r="B31" s="252" t="s">
        <v>2373</v>
      </c>
      <c r="C31" s="253">
        <f ca="1">ROUND((C5+C19+C20+C22+C27)/(1-C21-D22-D27-C30),0)</f>
        <v>15897</v>
      </c>
      <c r="D31" s="272"/>
      <c r="E31" s="253"/>
      <c r="F31" s="292"/>
      <c r="G31" s="276" t="s">
        <v>2374</v>
      </c>
    </row>
    <row r="32" spans="1:7" s="250" customFormat="1" ht="15.75">
      <c r="A32" s="294" t="s">
        <v>2375</v>
      </c>
      <c r="B32" s="295"/>
      <c r="C32" s="295"/>
      <c r="D32" s="295"/>
      <c r="E32" s="295"/>
      <c r="F32" s="295"/>
      <c r="G32" s="296"/>
    </row>
    <row r="33" spans="1:7" s="256" customFormat="1" ht="13.5" customHeight="1">
      <c r="A33" s="297" t="s">
        <v>782</v>
      </c>
      <c r="B33" s="252" t="s">
        <v>2376</v>
      </c>
      <c r="C33" s="298">
        <f ca="1">SUM(C34:C38)</f>
        <v>980</v>
      </c>
      <c r="D33" s="274"/>
      <c r="E33" s="254"/>
      <c r="F33" s="283"/>
      <c r="G33" s="276"/>
    </row>
    <row r="34" spans="1:7" s="300" customFormat="1" ht="13.5" customHeight="1">
      <c r="A34" s="949" t="s">
        <v>791</v>
      </c>
      <c r="B34" s="257" t="s">
        <v>2377</v>
      </c>
      <c r="C34" s="262">
        <f ca="1">IF(B1="",IF(F34=100%,'数据-取费表'!M16,'数据-取费表'!O16),IF(F34=100%,INDIRECT("'数据-取费表'!m"&amp;$G$1)+INDIRECT("'数据-取费表'!t"&amp;$G$1),INDIRECT("'数据-取费表'!o"&amp;$G$1)+INDIRECT("'数据-取费表'!aq"&amp;$G$1)))</f>
        <v>840</v>
      </c>
      <c r="D34" s="259"/>
      <c r="E34" s="262"/>
      <c r="F34" s="299">
        <f ca="1">IF('数据-取费表'!B24=0,1,IF(B1="",'数据-取费表'!N16,INDIRECT("'数据-取费表'!n"&amp;$G$1)))</f>
        <v>0.05</v>
      </c>
      <c r="G34" s="261" t="s">
        <v>2378</v>
      </c>
    </row>
    <row r="35" spans="1:7" ht="13.5" customHeight="1">
      <c r="A35" s="949" t="s">
        <v>796</v>
      </c>
      <c r="B35" s="257" t="s">
        <v>2379</v>
      </c>
      <c r="C35" s="262">
        <f ca="1">ROUND(C34*F35,0)</f>
        <v>25</v>
      </c>
      <c r="D35" s="262"/>
      <c r="E35" s="262"/>
      <c r="F35" s="301">
        <f>'数据-取费表'!B33</f>
        <v>0.03</v>
      </c>
      <c r="G35" s="261" t="s">
        <v>2380</v>
      </c>
    </row>
    <row r="36" spans="1:7" ht="24">
      <c r="A36" s="949" t="s">
        <v>797</v>
      </c>
      <c r="B36" s="257" t="s">
        <v>2381</v>
      </c>
      <c r="C36" s="262">
        <f ca="1">ROUND(IF(B1="",SUMIF('数据-取费表'!C:C,"住宅",IF(F34=100%,'数据-取费表'!M:M,'数据-取费表'!O:O))*F36,IF(INDIRECT("'数据-取费表'!c"&amp;$G$1)="住宅",IF(F34=100%,INDIRECT("'数据-取费表'!m"&amp;$G$1)*F36,INDIRECT("'数据-取费表'!o"&amp;$G$1)*F36),0)),0)</f>
        <v>30</v>
      </c>
      <c r="D36" s="262"/>
      <c r="E36" s="262"/>
      <c r="F36" s="301">
        <f>'数据-取费表'!B34</f>
        <v>0.05</v>
      </c>
      <c r="G36" s="302" t="s">
        <v>2382</v>
      </c>
    </row>
    <row r="37" spans="1:7" s="300" customFormat="1" ht="13.5" customHeight="1">
      <c r="A37" s="949" t="s">
        <v>798</v>
      </c>
      <c r="B37" s="257" t="s">
        <v>2383</v>
      </c>
      <c r="C37" s="291">
        <f ca="1">ROUND(E37*D37*F34/10000,0)</f>
        <v>72</v>
      </c>
      <c r="D37" s="259">
        <f ca="1">D19</f>
        <v>72085.949999999983</v>
      </c>
      <c r="E37" s="291">
        <f>'数据-取费表'!B35</f>
        <v>200</v>
      </c>
      <c r="F37" s="301"/>
      <c r="G37" s="303" t="s">
        <v>2384</v>
      </c>
    </row>
    <row r="38" spans="1:7" ht="13.5" customHeight="1">
      <c r="A38" s="949" t="s">
        <v>799</v>
      </c>
      <c r="B38" s="257" t="s">
        <v>2385</v>
      </c>
      <c r="C38" s="262">
        <f ca="1">ROUND(C34*F38,0)</f>
        <v>13</v>
      </c>
      <c r="D38" s="262"/>
      <c r="E38" s="262"/>
      <c r="F38" s="301">
        <f>'数据-取费表'!B36</f>
        <v>1.4999999999999999E-2</v>
      </c>
      <c r="G38" s="261" t="s">
        <v>2380</v>
      </c>
    </row>
    <row r="39" spans="1:7" s="256" customFormat="1" ht="13.5" customHeight="1">
      <c r="A39" s="297" t="s">
        <v>2386</v>
      </c>
      <c r="B39" s="252" t="s">
        <v>2387</v>
      </c>
      <c r="C39" s="274">
        <f ca="1">ROUND(C33*F20,0)</f>
        <v>20</v>
      </c>
      <c r="D39" s="274"/>
      <c r="E39" s="274"/>
      <c r="F39" s="275"/>
      <c r="G39" s="276" t="s">
        <v>2388</v>
      </c>
    </row>
    <row r="40" spans="1:7" s="256" customFormat="1" ht="13.5" customHeight="1">
      <c r="A40" s="297" t="s">
        <v>2389</v>
      </c>
      <c r="B40" s="252" t="s">
        <v>2390</v>
      </c>
      <c r="C40" s="1723">
        <f>F21</f>
        <v>0.02</v>
      </c>
      <c r="D40" s="278" t="s">
        <v>2391</v>
      </c>
      <c r="E40" s="274"/>
      <c r="F40" s="275"/>
      <c r="G40" s="276" t="s">
        <v>2392</v>
      </c>
    </row>
    <row r="41" spans="1:7" s="256" customFormat="1" ht="13.5" customHeight="1">
      <c r="A41" s="297" t="s">
        <v>2393</v>
      </c>
      <c r="B41" s="252" t="s">
        <v>2394</v>
      </c>
      <c r="C41" s="274">
        <f ca="1">ROUND(SUM(C42:C43),0)</f>
        <v>11</v>
      </c>
      <c r="D41" s="277">
        <f ca="1">C44</f>
        <v>2.0000000000000001E-4</v>
      </c>
      <c r="E41" s="278" t="s">
        <v>2391</v>
      </c>
      <c r="F41" s="279"/>
      <c r="G41" s="276" t="str">
        <f>IF('数据-取费表'!B22&lt;=1,"单利计息","复利计息")</f>
        <v>复利计息</v>
      </c>
    </row>
    <row r="42" spans="1:7" ht="13.5" customHeight="1">
      <c r="A42" s="949" t="s">
        <v>791</v>
      </c>
      <c r="B42" s="257" t="s">
        <v>2395</v>
      </c>
      <c r="C42" s="280">
        <f ca="1">ROUND(IF('数据-取费表'!B22&lt;=1,C33*F22*'数据-取费表'!B21/2,C33*(POWER((1+F22),'数据-取费表'!B21/2)-1)),0)</f>
        <v>11</v>
      </c>
      <c r="D42" s="280"/>
      <c r="E42" s="280"/>
      <c r="F42" s="281"/>
      <c r="G42" s="3254" t="s">
        <v>2396</v>
      </c>
    </row>
    <row r="43" spans="1:7" ht="13.5" customHeight="1">
      <c r="A43" s="949" t="s">
        <v>792</v>
      </c>
      <c r="B43" s="257" t="s">
        <v>2397</v>
      </c>
      <c r="C43" s="280">
        <f ca="1">ROUND(IF('数据-取费表'!B22&lt;=1,C39*F22*'数据-取费表'!B21/2,C39*(POWER((1+F22),'数据-取费表'!B21/2)-1)),0)</f>
        <v>0</v>
      </c>
      <c r="D43" s="280"/>
      <c r="E43" s="280"/>
      <c r="F43" s="281"/>
      <c r="G43" s="3255"/>
    </row>
    <row r="44" spans="1:7" ht="13.5" customHeight="1">
      <c r="A44" s="949" t="s">
        <v>793</v>
      </c>
      <c r="B44" s="257" t="s">
        <v>2398</v>
      </c>
      <c r="C44" s="280">
        <f ca="1">ROUND(IF('数据-取费表'!B22&lt;=1,C40*F22*'数据-取费表'!B21/2,C40*(POWER((1+F22),'数据-取费表'!B21/2)-1)),4)</f>
        <v>2.0000000000000001E-4</v>
      </c>
      <c r="D44" s="280"/>
      <c r="E44" s="280"/>
      <c r="F44" s="281"/>
      <c r="G44" s="3256"/>
    </row>
    <row r="45" spans="1:7" s="256" customFormat="1" ht="13.5" customHeight="1">
      <c r="A45" s="297" t="s">
        <v>2399</v>
      </c>
      <c r="B45" s="286" t="s">
        <v>2365</v>
      </c>
      <c r="C45" s="287">
        <f ca="1">C46</f>
        <v>210</v>
      </c>
      <c r="D45" s="277">
        <f ca="1">C47</f>
        <v>4.1999999999999997E-3</v>
      </c>
      <c r="E45" s="278" t="s">
        <v>2391</v>
      </c>
      <c r="F45" s="288"/>
      <c r="G45" s="289" t="s">
        <v>2400</v>
      </c>
    </row>
    <row r="46" spans="1:7" s="256" customFormat="1" ht="13.5" customHeight="1">
      <c r="A46" s="949" t="s">
        <v>791</v>
      </c>
      <c r="B46" s="290" t="s">
        <v>2401</v>
      </c>
      <c r="C46" s="291">
        <f ca="1">ROUND((C33+C39)*F27,0)</f>
        <v>210</v>
      </c>
      <c r="D46" s="305"/>
      <c r="E46" s="278"/>
      <c r="F46" s="288"/>
      <c r="G46" s="289"/>
    </row>
    <row r="47" spans="1:7" s="256" customFormat="1" ht="13.5" customHeight="1">
      <c r="A47" s="949" t="s">
        <v>792</v>
      </c>
      <c r="B47" s="290" t="s">
        <v>2402</v>
      </c>
      <c r="C47" s="280">
        <f ca="1">ROUND(C40*F27,4)</f>
        <v>4.1999999999999997E-3</v>
      </c>
      <c r="D47" s="305"/>
      <c r="E47" s="278"/>
      <c r="F47" s="288"/>
      <c r="G47" s="289"/>
    </row>
    <row r="48" spans="1:7" s="256" customFormat="1" ht="13.5" customHeight="1">
      <c r="A48" s="297" t="s">
        <v>2364</v>
      </c>
      <c r="B48" s="252" t="s">
        <v>2403</v>
      </c>
      <c r="C48" s="1723">
        <f>ROUND(F30/(1+'数据-取费表'!C42),4)</f>
        <v>5.33E-2</v>
      </c>
      <c r="D48" s="278" t="s">
        <v>2391</v>
      </c>
      <c r="E48" s="274"/>
      <c r="F48" s="279"/>
      <c r="G48" s="276" t="s">
        <v>2404</v>
      </c>
    </row>
    <row r="49" spans="1:7" ht="16.5" customHeight="1">
      <c r="A49" s="297" t="s">
        <v>2370</v>
      </c>
      <c r="B49" s="252" t="s">
        <v>2405</v>
      </c>
      <c r="C49" s="274">
        <f ca="1">ROUND((C33+C39+C41+C45)/(1-C40-D41-D45-C48),0)</f>
        <v>1324</v>
      </c>
      <c r="D49" s="274"/>
      <c r="E49" s="274"/>
      <c r="F49" s="306"/>
      <c r="G49" s="276" t="s">
        <v>2406</v>
      </c>
    </row>
    <row r="50" spans="1:7" s="300" customFormat="1" ht="24">
      <c r="A50" s="297" t="s">
        <v>2407</v>
      </c>
      <c r="B50" s="252" t="s">
        <v>2408</v>
      </c>
      <c r="C50" s="274"/>
      <c r="D50" s="274"/>
      <c r="E50" s="274"/>
      <c r="F50" s="306">
        <f>IF('数据-取费表'!B24=0,'数据-取费表'!N16,1)</f>
        <v>1</v>
      </c>
      <c r="G50" s="289" t="s">
        <v>2409</v>
      </c>
    </row>
    <row r="51" spans="1:7" ht="16.5" customHeight="1">
      <c r="A51" s="297" t="s">
        <v>2410</v>
      </c>
      <c r="B51" s="252" t="s">
        <v>2411</v>
      </c>
      <c r="C51" s="274">
        <f ca="1">ROUND(C49*F50,0)</f>
        <v>1324</v>
      </c>
      <c r="D51" s="274"/>
      <c r="E51" s="274"/>
      <c r="F51" s="306"/>
      <c r="G51" s="276" t="s">
        <v>2412</v>
      </c>
    </row>
    <row r="52" spans="1:7" s="250" customFormat="1" ht="16.5" thickBot="1">
      <c r="A52" s="307" t="s">
        <v>2413</v>
      </c>
      <c r="B52" s="308"/>
      <c r="C52" s="309">
        <f ca="1">C31+C51</f>
        <v>17221</v>
      </c>
      <c r="D52" s="308"/>
      <c r="E52" s="308"/>
      <c r="F52" s="308"/>
      <c r="G52" s="310"/>
    </row>
    <row r="55" spans="1:7" ht="15">
      <c r="B55" s="312" t="s">
        <v>2414</v>
      </c>
      <c r="C55" s="313"/>
    </row>
    <row r="56" spans="1:7">
      <c r="B56" s="315" t="s">
        <v>1513</v>
      </c>
      <c r="C56" s="317">
        <f ca="1">1-C57</f>
        <v>0.92300000000000004</v>
      </c>
    </row>
    <row r="57" spans="1:7">
      <c r="B57" s="315" t="s">
        <v>1514</v>
      </c>
      <c r="C57" s="316">
        <f ca="1">ROUND(C51/C52,3)</f>
        <v>7.6999999999999999E-2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4"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68" t="str">
        <f>项目基本情况!B1</f>
        <v>山东省滨州市渤海十一路以东、盛华路以南出让国有建设用地使用权及在建建筑物房地产抵押价值预评估</v>
      </c>
      <c r="C37" s="3068"/>
      <c r="D37" s="3068"/>
      <c r="E37" s="3068"/>
      <c r="F37" s="3068"/>
      <c r="G37" s="3068"/>
      <c r="H37" s="3068"/>
      <c r="I37" s="3068"/>
    </row>
    <row r="38" spans="1:9">
      <c r="A38" s="1014"/>
      <c r="B38" s="1014"/>
    </row>
    <row r="39" spans="1:9">
      <c r="A39" s="1012" t="s">
        <v>818</v>
      </c>
      <c r="B39" s="1012" t="s">
        <v>820</v>
      </c>
    </row>
    <row r="40" spans="1:9">
      <c r="A40" s="1012"/>
      <c r="B40" s="1937" t="str">
        <f>项目基本情况!B5</f>
        <v>滨州新湖房地产开发有限公司</v>
      </c>
    </row>
    <row r="41" spans="1:9">
      <c r="A41" s="1012"/>
      <c r="B41" s="1012"/>
    </row>
    <row r="42" spans="1:9">
      <c r="A42" s="1012" t="s">
        <v>818</v>
      </c>
      <c r="B42" s="1012" t="s">
        <v>821</v>
      </c>
    </row>
    <row r="43" spans="1:9">
      <c r="A43" s="1012"/>
      <c r="B43" s="1937" t="s">
        <v>822</v>
      </c>
    </row>
    <row r="44" spans="1:9">
      <c r="A44" s="1012"/>
      <c r="B44" s="1012"/>
    </row>
    <row r="45" spans="1:9">
      <c r="A45" s="1012" t="s">
        <v>818</v>
      </c>
      <c r="B45" s="1012" t="s">
        <v>823</v>
      </c>
    </row>
    <row r="46" spans="1:9" s="1012" customFormat="1" ht="12.75">
      <c r="B46" s="1937" t="str">
        <f ca="1">项目基本情况!K4</f>
        <v>刘梅（注册号：1120140022)、吴薇（注册号：1419970001)</v>
      </c>
    </row>
    <row r="47" spans="1:9">
      <c r="A47" s="1012"/>
      <c r="B47" s="1012" t="str">
        <f>项目基本情况!K5</f>
        <v/>
      </c>
    </row>
    <row r="48" spans="1:9">
      <c r="A48" s="1012" t="s">
        <v>818</v>
      </c>
      <c r="B48" s="1012"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26" sqref="E25:E26"/>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2313</v>
      </c>
      <c r="B1" s="1932"/>
      <c r="C1" s="2540" t="s">
        <v>2415</v>
      </c>
      <c r="D1" s="240"/>
      <c r="E1" s="240"/>
      <c r="F1" s="240"/>
      <c r="G1" s="1375">
        <f>MATCH(B1,'数据-取费表'!A6:A16,0)+5</f>
        <v>9</v>
      </c>
      <c r="H1" s="1278" t="str">
        <f>IF(ISERROR(FIND("住宅",B1)),"非住宅","住宅")</f>
        <v>非住宅</v>
      </c>
    </row>
    <row r="2" spans="1:8" s="242" customFormat="1" ht="18" customHeight="1">
      <c r="A2" s="243" t="s">
        <v>2314</v>
      </c>
      <c r="B2" s="244">
        <f ca="1">ROUND(IF(D2="——",C52/10000,C52/10000-E2),0)</f>
        <v>46800</v>
      </c>
      <c r="C2" s="241" t="s">
        <v>2315</v>
      </c>
      <c r="D2" s="2534" t="s">
        <v>70</v>
      </c>
      <c r="E2" s="1436" t="e">
        <f ca="1">SUMIF(INDIRECT("'"&amp;G2&amp;"'"&amp;"!A:A"),"承租人权益价值",INDIRECT("'"&amp;G2&amp;"'"&amp;"!c:c"))</f>
        <v>#REF!</v>
      </c>
      <c r="F2" s="2535" t="s">
        <v>2315</v>
      </c>
      <c r="G2" s="2536"/>
    </row>
    <row r="3" spans="1:8" s="242" customFormat="1" ht="18" customHeight="1" thickBot="1">
      <c r="A3" s="245" t="s">
        <v>2316</v>
      </c>
      <c r="B3" s="246">
        <f ca="1">ROUND(B2*10000/(IF(B1="",'数据-汇总表'!E3,INDIRECT("'数据-取费表'!k"&amp;$G$1))),0)</f>
        <v>6492</v>
      </c>
      <c r="C3" s="241" t="s">
        <v>2317</v>
      </c>
      <c r="D3" s="241"/>
      <c r="E3" s="241"/>
      <c r="F3" s="241"/>
      <c r="G3" s="241"/>
    </row>
    <row r="4" spans="1:8" s="250" customFormat="1" ht="15.75">
      <c r="A4" s="247" t="s">
        <v>2318</v>
      </c>
      <c r="B4" s="248"/>
      <c r="C4" s="248"/>
      <c r="D4" s="248"/>
      <c r="E4" s="248"/>
      <c r="F4" s="248"/>
      <c r="G4" s="249"/>
    </row>
    <row r="5" spans="1:8" s="256" customFormat="1" ht="13.5" customHeight="1">
      <c r="A5" s="297" t="s">
        <v>2319</v>
      </c>
      <c r="B5" s="252" t="s">
        <v>2320</v>
      </c>
      <c r="C5" s="253">
        <f ca="1">C6+C7+C8</f>
        <v>134937598</v>
      </c>
      <c r="D5" s="253" t="s">
        <v>2321</v>
      </c>
      <c r="E5" s="254" t="s">
        <v>2322</v>
      </c>
      <c r="F5" s="254" t="s">
        <v>2323</v>
      </c>
      <c r="G5" s="255"/>
    </row>
    <row r="6" spans="1:8" s="256" customFormat="1" ht="13.5" customHeight="1">
      <c r="A6" s="947" t="s">
        <v>2324</v>
      </c>
      <c r="B6" s="257" t="s">
        <v>2325</v>
      </c>
      <c r="C6" s="258">
        <f>'土地比较法-住宅、综合'!B2*10000</f>
        <v>121850000</v>
      </c>
      <c r="D6" s="259"/>
      <c r="E6" s="260"/>
      <c r="F6" s="260"/>
      <c r="G6" s="261"/>
    </row>
    <row r="7" spans="1:8" s="256" customFormat="1" ht="13.5" customHeight="1">
      <c r="A7" s="947" t="s">
        <v>2326</v>
      </c>
      <c r="B7" s="257" t="s">
        <v>2327</v>
      </c>
      <c r="C7" s="262">
        <f>ROUND(C6*F7,0)</f>
        <v>3716425</v>
      </c>
      <c r="D7" s="262"/>
      <c r="E7" s="260"/>
      <c r="F7" s="263">
        <f>'数据-取费表'!B48+'数据-取费表'!B49</f>
        <v>3.0499999999999999E-2</v>
      </c>
      <c r="G7" s="261"/>
    </row>
    <row r="8" spans="1:8" s="265" customFormat="1">
      <c r="A8" s="947" t="s">
        <v>2328</v>
      </c>
      <c r="B8" s="257" t="s">
        <v>2329</v>
      </c>
      <c r="C8" s="262">
        <f ca="1">IF(G8="已包含在土地购买价格中",0,C9+C10)</f>
        <v>9371173</v>
      </c>
      <c r="D8" s="264"/>
      <c r="E8" s="262"/>
      <c r="F8" s="263"/>
      <c r="G8" s="2537" t="s">
        <v>3438</v>
      </c>
    </row>
    <row r="9" spans="1:8" s="256" customFormat="1" ht="13.5" customHeight="1">
      <c r="A9" s="948" t="s">
        <v>800</v>
      </c>
      <c r="B9" s="266" t="s">
        <v>2330</v>
      </c>
      <c r="C9" s="267">
        <f ca="1">ROUND(D9*E9,0)</f>
        <v>6027412</v>
      </c>
      <c r="D9" s="1030">
        <f ca="1">IF(B1="",'数据-汇总表'!E5,IF(INDIRECT("'数据-取费表'!c"&amp;$G$1)="住宅",INDIRECT("'数据-取费表'!k"&amp;$G$1),0))</f>
        <v>46364.71</v>
      </c>
      <c r="E9" s="267">
        <f>'数据-取费表'!B27</f>
        <v>130</v>
      </c>
      <c r="F9" s="263"/>
      <c r="G9" s="268"/>
    </row>
    <row r="10" spans="1:8" s="256" customFormat="1" ht="13.5" customHeight="1">
      <c r="A10" s="948" t="s">
        <v>801</v>
      </c>
      <c r="B10" s="266" t="s">
        <v>2332</v>
      </c>
      <c r="C10" s="267">
        <f ca="1">ROUND(D10*E10,0)</f>
        <v>3343761</v>
      </c>
      <c r="D10" s="1030">
        <f ca="1">IF(B1="",'数据-汇总表'!E6,IF(INDIRECT("'数据-取费表'!c"&amp;$G$1)="住宅",INDIRECT("'数据-取费表'!s"&amp;$G$1),INDIRECT("'数据-取费表'!k"&amp;$G$1)+INDIRECT("'数据-取费表'!s"&amp;$G$1)))</f>
        <v>25721.239999999983</v>
      </c>
      <c r="E10" s="267">
        <f>'数据-取费表'!B28</f>
        <v>130</v>
      </c>
      <c r="F10" s="263"/>
      <c r="G10" s="268"/>
    </row>
    <row r="11" spans="1:8" s="256" customFormat="1" ht="13.5" hidden="1" customHeight="1">
      <c r="A11" s="269" t="s">
        <v>7</v>
      </c>
      <c r="B11" s="257" t="s">
        <v>2333</v>
      </c>
      <c r="C11" s="253"/>
      <c r="D11" s="1032"/>
      <c r="E11" s="260"/>
      <c r="F11" s="260"/>
      <c r="G11" s="261"/>
    </row>
    <row r="12" spans="1:8" s="256" customFormat="1" ht="13.5" hidden="1" customHeight="1">
      <c r="A12" s="269" t="s">
        <v>8</v>
      </c>
      <c r="B12" s="257" t="s">
        <v>2416</v>
      </c>
      <c r="C12" s="253">
        <v>0</v>
      </c>
      <c r="D12" s="1032"/>
      <c r="E12" s="270"/>
      <c r="F12" s="263">
        <v>3.0499999999999999E-2</v>
      </c>
      <c r="G12" s="261"/>
    </row>
    <row r="13" spans="1:8" s="256" customFormat="1" ht="13.5" hidden="1" customHeight="1">
      <c r="A13" s="269" t="s">
        <v>9</v>
      </c>
      <c r="B13" s="257" t="s">
        <v>2417</v>
      </c>
      <c r="C13" s="253"/>
      <c r="D13" s="1032"/>
      <c r="E13" s="260"/>
      <c r="F13" s="260"/>
      <c r="G13" s="261"/>
    </row>
    <row r="14" spans="1:8" s="256" customFormat="1" ht="13.5" hidden="1" customHeight="1">
      <c r="A14" s="269" t="s">
        <v>10</v>
      </c>
      <c r="B14" s="257" t="s">
        <v>2329</v>
      </c>
      <c r="C14" s="253"/>
      <c r="D14" s="1032"/>
      <c r="E14" s="260"/>
      <c r="F14" s="260"/>
      <c r="G14" s="261" t="s">
        <v>2418</v>
      </c>
    </row>
    <row r="15" spans="1:8" s="256" customFormat="1" ht="13.5" hidden="1" customHeight="1">
      <c r="A15" s="269" t="s">
        <v>11</v>
      </c>
      <c r="B15" s="257" t="s">
        <v>2419</v>
      </c>
      <c r="C15" s="262"/>
      <c r="D15" s="1032"/>
      <c r="E15" s="260"/>
      <c r="F15" s="260"/>
      <c r="G15" s="261" t="s">
        <v>2420</v>
      </c>
    </row>
    <row r="16" spans="1:8" s="256" customFormat="1" ht="13.5" hidden="1" customHeight="1">
      <c r="A16" s="269" t="s">
        <v>12</v>
      </c>
      <c r="B16" s="257" t="s">
        <v>2329</v>
      </c>
      <c r="C16" s="262"/>
      <c r="D16" s="1032"/>
      <c r="E16" s="260"/>
      <c r="F16" s="260"/>
      <c r="G16" s="261"/>
    </row>
    <row r="17" spans="1:7" s="256" customFormat="1" ht="13.5" hidden="1" customHeight="1">
      <c r="A17" s="269" t="s">
        <v>13</v>
      </c>
      <c r="B17" s="257" t="s">
        <v>2421</v>
      </c>
      <c r="C17" s="271"/>
      <c r="D17" s="1033"/>
      <c r="E17" s="271"/>
      <c r="F17" s="271"/>
      <c r="G17" s="261" t="s">
        <v>2420</v>
      </c>
    </row>
    <row r="18" spans="1:7" s="256" customFormat="1" ht="13.5" hidden="1" customHeight="1">
      <c r="A18" s="269" t="s">
        <v>14</v>
      </c>
      <c r="B18" s="257" t="s">
        <v>2422</v>
      </c>
      <c r="C18" s="262">
        <v>0</v>
      </c>
      <c r="D18" s="1032"/>
      <c r="E18" s="260"/>
      <c r="F18" s="263">
        <v>3.0499999999999999E-2</v>
      </c>
      <c r="G18" s="261" t="s">
        <v>2423</v>
      </c>
    </row>
    <row r="19" spans="1:7" s="265" customFormat="1" ht="13.5" customHeight="1">
      <c r="A19" s="297" t="s">
        <v>2424</v>
      </c>
      <c r="B19" s="252" t="s">
        <v>2425</v>
      </c>
      <c r="C19" s="253" t="str">
        <f>IF(G19="已包含在土地取得成本中","0",ROUND(D19*E19,0))</f>
        <v>0</v>
      </c>
      <c r="D19" s="1034">
        <f ca="1">D9+D10</f>
        <v>72085.949999999983</v>
      </c>
      <c r="E19" s="253">
        <f>'数据-取费表'!B31</f>
        <v>200</v>
      </c>
      <c r="F19" s="273"/>
      <c r="G19" s="2537" t="s">
        <v>3439</v>
      </c>
    </row>
    <row r="20" spans="1:7" s="256" customFormat="1" ht="13.5" customHeight="1">
      <c r="A20" s="297" t="s">
        <v>2426</v>
      </c>
      <c r="B20" s="252" t="s">
        <v>2427</v>
      </c>
      <c r="C20" s="274">
        <f ca="1">ROUND((C5+C19)*F20,0)</f>
        <v>2698752</v>
      </c>
      <c r="D20" s="274"/>
      <c r="E20" s="274"/>
      <c r="F20" s="275">
        <f>'数据-取费表'!B37</f>
        <v>0.02</v>
      </c>
      <c r="G20" s="276" t="s">
        <v>2428</v>
      </c>
    </row>
    <row r="21" spans="1:7" s="256" customFormat="1" ht="13.5" customHeight="1">
      <c r="A21" s="297" t="s">
        <v>2429</v>
      </c>
      <c r="B21" s="252" t="s">
        <v>2430</v>
      </c>
      <c r="C21" s="277">
        <f>F21</f>
        <v>0.02</v>
      </c>
      <c r="D21" s="278" t="s">
        <v>2431</v>
      </c>
      <c r="E21" s="274"/>
      <c r="F21" s="275">
        <f>'数据-取费表'!B38</f>
        <v>0.02</v>
      </c>
      <c r="G21" s="276" t="s">
        <v>2432</v>
      </c>
    </row>
    <row r="22" spans="1:7" s="256" customFormat="1" ht="13.5" customHeight="1">
      <c r="A22" s="297" t="s">
        <v>2433</v>
      </c>
      <c r="B22" s="252" t="s">
        <v>2434</v>
      </c>
      <c r="C22" s="1376">
        <f ca="1">ROUND(SUM(C23:C25),0)</f>
        <v>13251716</v>
      </c>
      <c r="D22" s="277">
        <f ca="1">C26</f>
        <v>1E-3</v>
      </c>
      <c r="E22" s="278" t="s">
        <v>2431</v>
      </c>
      <c r="F22" s="279">
        <f ca="1">'数据-取费表'!B40</f>
        <v>4.7500000000000001E-2</v>
      </c>
      <c r="G22" s="276" t="str">
        <f>IF('数据-取费表'!B22&lt;=1,"单利计息","复利计息")</f>
        <v>复利计息</v>
      </c>
    </row>
    <row r="23" spans="1:7" s="256" customFormat="1" ht="13.5" customHeight="1">
      <c r="A23" s="949" t="s">
        <v>2324</v>
      </c>
      <c r="B23" s="257" t="s">
        <v>2435</v>
      </c>
      <c r="C23" s="1377">
        <f ca="1">ROUND(IF('数据-取费表'!B22&lt;=1,C5*F22*'数据-取费表'!B22,C5*(POWER((1+F22),'数据-取费表'!B22)-1)),0)</f>
        <v>13123525</v>
      </c>
      <c r="D23" s="280"/>
      <c r="E23" s="280"/>
      <c r="F23" s="281"/>
      <c r="G23" s="282" t="s">
        <v>2436</v>
      </c>
    </row>
    <row r="24" spans="1:7" s="256" customFormat="1" ht="13.5" customHeight="1">
      <c r="A24" s="949" t="s">
        <v>2326</v>
      </c>
      <c r="B24" s="257" t="s">
        <v>2437</v>
      </c>
      <c r="C24" s="1377">
        <f ca="1">ROUND(IF('数据-取费表'!B22&lt;=1,C19*F22*('数据-取费表'!B19/2+'数据-取费表'!B20),C19*(POWER((1+F22),('数据-取费表'!B19/2+'数据-取费表'!B20))-1)),0)</f>
        <v>0</v>
      </c>
      <c r="D24" s="280"/>
      <c r="E24" s="280"/>
      <c r="F24" s="281"/>
      <c r="G24" s="282" t="s">
        <v>2438</v>
      </c>
    </row>
    <row r="25" spans="1:7" s="256" customFormat="1" ht="24">
      <c r="A25" s="949" t="s">
        <v>2328</v>
      </c>
      <c r="B25" s="257" t="s">
        <v>2439</v>
      </c>
      <c r="C25" s="1377">
        <f ca="1">ROUND(IF('数据-取费表'!B22&lt;=1,C20*F22*'数据-取费表'!B22/2,C20*(POWER((1+F22),'数据-取费表'!B22/2)-1)),0)</f>
        <v>128191</v>
      </c>
      <c r="D25" s="280"/>
      <c r="E25" s="283"/>
      <c r="F25" s="281"/>
      <c r="G25" s="284" t="s">
        <v>2440</v>
      </c>
    </row>
    <row r="26" spans="1:7" s="256" customFormat="1">
      <c r="A26" s="949" t="s">
        <v>795</v>
      </c>
      <c r="B26" s="257" t="s">
        <v>2363</v>
      </c>
      <c r="C26" s="280">
        <f ca="1">ROUND(IF('数据-取费表'!B22&lt;=1,F21*F22*'数据-取费表'!B22/2,F21*(POWER((1+F22),'数据-取费表'!B22/2)-1)),4)</f>
        <v>1E-3</v>
      </c>
      <c r="D26" s="280"/>
      <c r="E26" s="283"/>
      <c r="F26" s="281"/>
      <c r="G26" s="285"/>
    </row>
    <row r="27" spans="1:7" s="256" customFormat="1" ht="24.75">
      <c r="A27" s="297" t="s">
        <v>2364</v>
      </c>
      <c r="B27" s="286" t="s">
        <v>2365</v>
      </c>
      <c r="C27" s="287">
        <f ca="1">C28</f>
        <v>28903634</v>
      </c>
      <c r="D27" s="277">
        <f ca="1">C29</f>
        <v>4.1999999999999997E-3</v>
      </c>
      <c r="E27" s="278" t="s">
        <v>2366</v>
      </c>
      <c r="F27" s="288">
        <f ca="1">IF(B1="",'数据-取费表'!Q16,INDIRECT("'数据-取费表'!q"&amp;$G$1))</f>
        <v>0.21</v>
      </c>
      <c r="G27" s="289" t="s">
        <v>2367</v>
      </c>
    </row>
    <row r="28" spans="1:7" s="256" customFormat="1" ht="13.5" customHeight="1">
      <c r="A28" s="949" t="s">
        <v>791</v>
      </c>
      <c r="B28" s="290" t="s">
        <v>2368</v>
      </c>
      <c r="C28" s="291">
        <f ca="1">ROUND((C5+C19+C20)*F27,0)</f>
        <v>28903634</v>
      </c>
      <c r="D28" s="277"/>
      <c r="E28" s="278"/>
      <c r="F28" s="288"/>
      <c r="G28" s="289"/>
    </row>
    <row r="29" spans="1:7" s="256" customFormat="1" ht="13.5" customHeight="1">
      <c r="A29" s="949" t="s">
        <v>792</v>
      </c>
      <c r="B29" s="290" t="s">
        <v>2369</v>
      </c>
      <c r="C29" s="280">
        <f ca="1">ROUND(C21*F27,4)</f>
        <v>4.1999999999999997E-3</v>
      </c>
      <c r="D29" s="277"/>
      <c r="E29" s="278"/>
      <c r="F29" s="288"/>
      <c r="G29" s="289"/>
    </row>
    <row r="30" spans="1:7" s="256" customFormat="1" ht="13.5" customHeight="1">
      <c r="A30" s="297" t="s">
        <v>2370</v>
      </c>
      <c r="B30" s="252" t="s">
        <v>2371</v>
      </c>
      <c r="C30" s="277">
        <f>ROUND(F30/(1+'数据-取费表'!C42),4)</f>
        <v>5.33E-2</v>
      </c>
      <c r="D30" s="278" t="s">
        <v>2366</v>
      </c>
      <c r="E30" s="283"/>
      <c r="F30" s="279">
        <f>'数据-取费表'!B41</f>
        <v>5.6000000000000001E-2</v>
      </c>
      <c r="G30" s="276" t="s">
        <v>2372</v>
      </c>
    </row>
    <row r="31" spans="1:7" ht="16.5" customHeight="1">
      <c r="A31" s="251">
        <v>1</v>
      </c>
      <c r="B31" s="252" t="s">
        <v>2373</v>
      </c>
      <c r="C31" s="253">
        <f ca="1">ROUND((C5+C19+C20+C22+C27)/(1-C21-D22-D27-C30),0)</f>
        <v>195107651</v>
      </c>
      <c r="D31" s="272"/>
      <c r="E31" s="253"/>
      <c r="F31" s="292"/>
      <c r="G31" s="276" t="s">
        <v>2374</v>
      </c>
    </row>
    <row r="32" spans="1:7" s="250" customFormat="1" ht="15.75">
      <c r="A32" s="294" t="s">
        <v>2441</v>
      </c>
      <c r="B32" s="295"/>
      <c r="C32" s="295"/>
      <c r="D32" s="295"/>
      <c r="E32" s="295"/>
      <c r="F32" s="295"/>
      <c r="G32" s="296"/>
    </row>
    <row r="33" spans="1:7" s="256" customFormat="1" ht="13.5" customHeight="1">
      <c r="A33" s="297" t="s">
        <v>782</v>
      </c>
      <c r="B33" s="252" t="s">
        <v>2442</v>
      </c>
      <c r="C33" s="298">
        <f ca="1">SUM(C34:C38)</f>
        <v>196058591</v>
      </c>
      <c r="D33" s="274"/>
      <c r="E33" s="254"/>
      <c r="F33" s="283"/>
      <c r="G33" s="276"/>
    </row>
    <row r="34" spans="1:7" s="300" customFormat="1" ht="13.5" customHeight="1">
      <c r="A34" s="949" t="s">
        <v>791</v>
      </c>
      <c r="B34" s="257" t="s">
        <v>2377</v>
      </c>
      <c r="C34" s="262">
        <f ca="1">ROUND(IF(B1="",SUMPRODUCT('数据-取费表'!K6:K14,'数据-取费表'!L6:L14),INDIRECT("'数据-取费表'!l"&amp;$G$1)*INDIRECT("'数据-取费表'!k"&amp;$G$1)+'数据-取费表'!L14*INDIRECT("'数据-取费表'!S"&amp;$G$1)),0)</f>
        <v>168051664</v>
      </c>
      <c r="D34" s="259"/>
      <c r="E34" s="262"/>
      <c r="F34" s="299"/>
      <c r="G34" s="261"/>
    </row>
    <row r="35" spans="1:7" ht="13.5" customHeight="1">
      <c r="A35" s="949" t="s">
        <v>796</v>
      </c>
      <c r="B35" s="257" t="s">
        <v>2379</v>
      </c>
      <c r="C35" s="262">
        <f ca="1">ROUND(C34*F35,0)</f>
        <v>5041550</v>
      </c>
      <c r="D35" s="262"/>
      <c r="E35" s="262"/>
      <c r="F35" s="301">
        <f>'数据-取费表'!B33</f>
        <v>0.03</v>
      </c>
      <c r="G35" s="261" t="s">
        <v>2380</v>
      </c>
    </row>
    <row r="36" spans="1:7" ht="24">
      <c r="A36" s="949" t="s">
        <v>797</v>
      </c>
      <c r="B36" s="257" t="s">
        <v>2381</v>
      </c>
      <c r="C36" s="262">
        <f ca="1">ROUND(IF(B1="",SUM('数据-取费表'!AP6:AP13)*F36,IF(INDIRECT("'数据-取费表'!c"&amp;$G$1)="住宅",INDIRECT("'数据-取费表'!k"&amp;$G$1)*INDIRECT("'数据-取费表'!l"&amp;$G$1)*F36,0)),0)</f>
        <v>6027412</v>
      </c>
      <c r="D36" s="262"/>
      <c r="E36" s="262"/>
      <c r="F36" s="301">
        <f>'数据-取费表'!B34</f>
        <v>0.05</v>
      </c>
      <c r="G36" s="302" t="s">
        <v>2382</v>
      </c>
    </row>
    <row r="37" spans="1:7" s="300" customFormat="1" ht="13.5" customHeight="1">
      <c r="A37" s="949" t="s">
        <v>798</v>
      </c>
      <c r="B37" s="257" t="s">
        <v>2383</v>
      </c>
      <c r="C37" s="291">
        <f ca="1">ROUND(E37*D37,0)</f>
        <v>14417190</v>
      </c>
      <c r="D37" s="259">
        <f ca="1">D19</f>
        <v>72085.949999999983</v>
      </c>
      <c r="E37" s="291">
        <f>'数据-取费表'!B35</f>
        <v>200</v>
      </c>
      <c r="F37" s="301"/>
      <c r="G37" s="303"/>
    </row>
    <row r="38" spans="1:7" ht="13.5" customHeight="1">
      <c r="A38" s="949" t="s">
        <v>799</v>
      </c>
      <c r="B38" s="257" t="s">
        <v>2385</v>
      </c>
      <c r="C38" s="262">
        <f ca="1">ROUND(C34*F38,0)</f>
        <v>2520775</v>
      </c>
      <c r="D38" s="262"/>
      <c r="E38" s="262"/>
      <c r="F38" s="301">
        <f>'数据-取费表'!B36</f>
        <v>1.4999999999999999E-2</v>
      </c>
      <c r="G38" s="261" t="s">
        <v>2380</v>
      </c>
    </row>
    <row r="39" spans="1:7" s="256" customFormat="1" ht="13.5" customHeight="1">
      <c r="A39" s="297" t="s">
        <v>2386</v>
      </c>
      <c r="B39" s="252" t="s">
        <v>2387</v>
      </c>
      <c r="C39" s="274">
        <f ca="1">ROUND(C33*F20,0)</f>
        <v>3921172</v>
      </c>
      <c r="D39" s="274"/>
      <c r="E39" s="274"/>
      <c r="F39" s="275"/>
      <c r="G39" s="276" t="s">
        <v>2388</v>
      </c>
    </row>
    <row r="40" spans="1:7" s="256" customFormat="1" ht="13.5" customHeight="1">
      <c r="A40" s="297" t="s">
        <v>2389</v>
      </c>
      <c r="B40" s="252" t="s">
        <v>2390</v>
      </c>
      <c r="C40" s="1723">
        <f>F21</f>
        <v>0.02</v>
      </c>
      <c r="D40" s="278" t="s">
        <v>2391</v>
      </c>
      <c r="E40" s="274"/>
      <c r="F40" s="275"/>
      <c r="G40" s="276" t="s">
        <v>2392</v>
      </c>
    </row>
    <row r="41" spans="1:7" s="256" customFormat="1" ht="13.5" customHeight="1">
      <c r="A41" s="297" t="s">
        <v>2393</v>
      </c>
      <c r="B41" s="252" t="s">
        <v>2394</v>
      </c>
      <c r="C41" s="274">
        <f ca="1">ROUND(SUM(C42:C43),0)</f>
        <v>9499039</v>
      </c>
      <c r="D41" s="277">
        <f ca="1">C44</f>
        <v>1E-3</v>
      </c>
      <c r="E41" s="278" t="s">
        <v>2391</v>
      </c>
      <c r="F41" s="279"/>
      <c r="G41" s="276" t="str">
        <f>IF('数据-取费表'!B22&lt;=1,"单利计息","复利计息")</f>
        <v>复利计息</v>
      </c>
    </row>
    <row r="42" spans="1:7" ht="13.5" customHeight="1">
      <c r="A42" s="949" t="s">
        <v>791</v>
      </c>
      <c r="B42" s="257" t="s">
        <v>2395</v>
      </c>
      <c r="C42" s="280">
        <f ca="1">ROUND(IF('数据-取费表'!B22&lt;=1,C33*F22*'数据-取费表'!B20/2,C33*(POWER((1+F22),'数据-取费表'!B20/2)-1)),0)</f>
        <v>9312783</v>
      </c>
      <c r="D42" s="280"/>
      <c r="E42" s="280"/>
      <c r="F42" s="281"/>
      <c r="G42" s="3254" t="s">
        <v>2443</v>
      </c>
    </row>
    <row r="43" spans="1:7" ht="13.5" customHeight="1">
      <c r="A43" s="949" t="s">
        <v>792</v>
      </c>
      <c r="B43" s="257" t="s">
        <v>2397</v>
      </c>
      <c r="C43" s="280">
        <f ca="1">ROUND(IF('数据-取费表'!B22&lt;=1,C39*F22*'数据-取费表'!B20/2,C39*(POWER((1+F22),'数据-取费表'!B20/2)-1)),0)</f>
        <v>186256</v>
      </c>
      <c r="D43" s="280"/>
      <c r="E43" s="280"/>
      <c r="F43" s="281"/>
      <c r="G43" s="3255"/>
    </row>
    <row r="44" spans="1:7" ht="13.5" customHeight="1">
      <c r="A44" s="949" t="s">
        <v>793</v>
      </c>
      <c r="B44" s="257" t="s">
        <v>2398</v>
      </c>
      <c r="C44" s="280">
        <f ca="1">ROUND(IF('数据-取费表'!B22&lt;=1,C40*F22*'数据-取费表'!B20/2,C40*(POWER((1+F22),'数据-取费表'!B20/2)-1)),4)</f>
        <v>1E-3</v>
      </c>
      <c r="D44" s="280"/>
      <c r="E44" s="280"/>
      <c r="F44" s="281"/>
      <c r="G44" s="3256"/>
    </row>
    <row r="45" spans="1:7" s="256" customFormat="1" ht="13.5" customHeight="1">
      <c r="A45" s="297" t="s">
        <v>2399</v>
      </c>
      <c r="B45" s="286" t="s">
        <v>2365</v>
      </c>
      <c r="C45" s="287">
        <f ca="1">C46</f>
        <v>41995750</v>
      </c>
      <c r="D45" s="277">
        <f ca="1">C47</f>
        <v>4.1999999999999997E-3</v>
      </c>
      <c r="E45" s="278" t="s">
        <v>2391</v>
      </c>
      <c r="F45" s="288"/>
      <c r="G45" s="289" t="s">
        <v>2400</v>
      </c>
    </row>
    <row r="46" spans="1:7" s="256" customFormat="1" ht="13.5" customHeight="1">
      <c r="A46" s="949" t="s">
        <v>791</v>
      </c>
      <c r="B46" s="290" t="s">
        <v>2401</v>
      </c>
      <c r="C46" s="291">
        <f ca="1">ROUND((C33+C39)*F27,0)</f>
        <v>41995750</v>
      </c>
      <c r="D46" s="305"/>
      <c r="E46" s="278"/>
      <c r="F46" s="288"/>
      <c r="G46" s="289"/>
    </row>
    <row r="47" spans="1:7" s="256" customFormat="1" ht="13.5" customHeight="1">
      <c r="A47" s="949" t="s">
        <v>792</v>
      </c>
      <c r="B47" s="290" t="s">
        <v>2402</v>
      </c>
      <c r="C47" s="280">
        <f ca="1">ROUND(C40*F27,4)</f>
        <v>4.1999999999999997E-3</v>
      </c>
      <c r="D47" s="305"/>
      <c r="E47" s="278"/>
      <c r="F47" s="288"/>
      <c r="G47" s="289"/>
    </row>
    <row r="48" spans="1:7" s="256" customFormat="1" ht="13.5" customHeight="1">
      <c r="A48" s="297" t="s">
        <v>2364</v>
      </c>
      <c r="B48" s="252" t="s">
        <v>2403</v>
      </c>
      <c r="C48" s="304">
        <f>ROUND(F30/(1+'数据-取费表'!C42),4)</f>
        <v>5.33E-2</v>
      </c>
      <c r="D48" s="278" t="s">
        <v>2391</v>
      </c>
      <c r="E48" s="274"/>
      <c r="F48" s="279"/>
      <c r="G48" s="276" t="s">
        <v>2404</v>
      </c>
    </row>
    <row r="49" spans="1:7" ht="16.5" customHeight="1">
      <c r="A49" s="297" t="s">
        <v>2370</v>
      </c>
      <c r="B49" s="252" t="s">
        <v>2444</v>
      </c>
      <c r="C49" s="274">
        <f ca="1">ROUND((C33+C39+C41+C45)/(1-C40-D41-D45-C48),0)</f>
        <v>272896964</v>
      </c>
      <c r="D49" s="274"/>
      <c r="E49" s="274"/>
      <c r="F49" s="306"/>
      <c r="G49" s="276" t="s">
        <v>2406</v>
      </c>
    </row>
    <row r="50" spans="1:7" s="300" customFormat="1">
      <c r="A50" s="297" t="s">
        <v>2407</v>
      </c>
      <c r="B50" s="252" t="s">
        <v>2408</v>
      </c>
      <c r="C50" s="274"/>
      <c r="D50" s="274"/>
      <c r="E50" s="274"/>
      <c r="F50" s="306">
        <f>IF('数据-取费表'!B24=0,'数据-取费表'!N16,1)</f>
        <v>1</v>
      </c>
      <c r="G50" s="289"/>
    </row>
    <row r="51" spans="1:7" ht="16.5" customHeight="1">
      <c r="A51" s="297" t="s">
        <v>2410</v>
      </c>
      <c r="B51" s="252" t="s">
        <v>2445</v>
      </c>
      <c r="C51" s="274">
        <f ca="1">ROUND(C49*F50,0)</f>
        <v>272896964</v>
      </c>
      <c r="D51" s="274"/>
      <c r="E51" s="274"/>
      <c r="F51" s="306"/>
      <c r="G51" s="276" t="s">
        <v>2412</v>
      </c>
    </row>
    <row r="52" spans="1:7" s="250" customFormat="1" ht="16.5" thickBot="1">
      <c r="A52" s="307" t="s">
        <v>2413</v>
      </c>
      <c r="B52" s="308"/>
      <c r="C52" s="309">
        <f ca="1">C31+C51</f>
        <v>468004615</v>
      </c>
      <c r="D52" s="308"/>
      <c r="E52" s="308"/>
      <c r="F52" s="308"/>
      <c r="G52" s="310"/>
    </row>
    <row r="55" spans="1:7" ht="15">
      <c r="B55" s="312" t="s">
        <v>2414</v>
      </c>
      <c r="C55" s="313"/>
    </row>
    <row r="56" spans="1:7">
      <c r="B56" s="315" t="s">
        <v>1513</v>
      </c>
      <c r="C56" s="317">
        <f ca="1">1-C57</f>
        <v>0.41700000000000004</v>
      </c>
    </row>
    <row r="57" spans="1:7">
      <c r="B57" s="315" t="s">
        <v>1514</v>
      </c>
      <c r="C57" s="316">
        <f ca="1">ROUND(C51/C52,3)</f>
        <v>0.58299999999999996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32" sqref="G32"/>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5.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2728</v>
      </c>
      <c r="B1" s="393"/>
      <c r="C1" s="394" t="s">
        <v>2729</v>
      </c>
      <c r="D1" s="751"/>
      <c r="E1" s="751"/>
      <c r="F1" s="750" t="s">
        <v>2627</v>
      </c>
      <c r="G1" s="751"/>
      <c r="H1" s="751"/>
      <c r="I1" s="751"/>
      <c r="J1" s="751"/>
      <c r="K1" s="752"/>
      <c r="L1" s="753"/>
      <c r="M1" s="754"/>
      <c r="N1" s="754"/>
      <c r="O1" s="754"/>
      <c r="P1" s="764"/>
      <c r="Q1" s="764"/>
      <c r="R1" s="764"/>
      <c r="S1" s="764"/>
      <c r="T1" s="764"/>
      <c r="U1" s="764"/>
      <c r="V1" s="764"/>
      <c r="W1" s="764"/>
      <c r="X1" s="764"/>
      <c r="Y1" s="764"/>
      <c r="Z1" s="764"/>
      <c r="AA1" s="764"/>
      <c r="AB1" s="764"/>
      <c r="AC1" s="765"/>
      <c r="AD1" s="395"/>
    </row>
    <row r="2" spans="1:30" s="396" customFormat="1" ht="28.5" customHeight="1">
      <c r="A2" s="243" t="s">
        <v>2314</v>
      </c>
      <c r="B2" s="669">
        <f>F66</f>
        <v>12185</v>
      </c>
      <c r="C2" s="1122"/>
      <c r="D2" s="1122"/>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c r="AD2" s="395"/>
    </row>
    <row r="3" spans="1:30" s="396" customFormat="1" ht="28.5" customHeight="1" thickBot="1">
      <c r="A3" s="245" t="s">
        <v>2316</v>
      </c>
      <c r="B3" s="607">
        <f>ROUND(IF(D3="",B2*10000/'数据-汇总表'!E3,B2*10000/D3),0)</f>
        <v>1690</v>
      </c>
      <c r="C3" s="245" t="s">
        <v>2730</v>
      </c>
      <c r="D3" s="1578"/>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30" ht="15">
      <c r="A4" s="399" t="s">
        <v>2629</v>
      </c>
      <c r="B4" s="400"/>
      <c r="C4" s="3275" t="s">
        <v>2630</v>
      </c>
      <c r="D4" s="3276"/>
      <c r="E4" s="3277" t="s">
        <v>2631</v>
      </c>
      <c r="F4" s="3278"/>
      <c r="G4" s="3275" t="s">
        <v>2632</v>
      </c>
      <c r="H4" s="3276"/>
      <c r="I4" s="3275" t="s">
        <v>2633</v>
      </c>
      <c r="J4" s="3276"/>
      <c r="K4" s="608" t="s">
        <v>2634</v>
      </c>
      <c r="L4" s="1128"/>
      <c r="M4" s="1129"/>
      <c r="N4" s="1129"/>
      <c r="O4" s="1129"/>
      <c r="P4" s="3279" t="s">
        <v>2635</v>
      </c>
      <c r="Q4" s="3280"/>
      <c r="R4" s="3262" t="s">
        <v>2631</v>
      </c>
      <c r="S4" s="3263"/>
      <c r="T4" s="3262" t="s">
        <v>2632</v>
      </c>
      <c r="U4" s="3263"/>
      <c r="V4" s="3287" t="s">
        <v>2633</v>
      </c>
      <c r="W4" s="3287"/>
      <c r="X4" s="1808"/>
      <c r="Y4" s="3262" t="s">
        <v>2635</v>
      </c>
      <c r="Z4" s="3263"/>
      <c r="AA4" s="3257" t="s">
        <v>2631</v>
      </c>
      <c r="AB4" s="3258" t="s">
        <v>2632</v>
      </c>
      <c r="AC4" s="3257" t="s">
        <v>2633</v>
      </c>
    </row>
    <row r="5" spans="1:30" ht="15">
      <c r="A5" s="402"/>
      <c r="B5" s="403"/>
      <c r="C5" s="3268" t="s">
        <v>2526</v>
      </c>
      <c r="D5" s="3269"/>
      <c r="E5" s="3266" t="str">
        <f>Sheet4!A7</f>
        <v>黄河十五路以北、渤海四路以东</v>
      </c>
      <c r="F5" s="3267"/>
      <c r="G5" s="3268" t="str">
        <f>Sheet4!A10</f>
        <v>黄河四路以北、渤海九路以西</v>
      </c>
      <c r="H5" s="3269"/>
      <c r="I5" s="3268" t="str">
        <f>Sheet4!A13</f>
        <v>黄河十路以南、渤海十二路以东</v>
      </c>
      <c r="J5" s="3269"/>
      <c r="K5" s="608"/>
      <c r="L5" s="1128"/>
      <c r="M5" s="1129"/>
      <c r="N5" s="1129"/>
      <c r="O5" s="1129"/>
      <c r="P5" s="3281"/>
      <c r="Q5" s="3282"/>
      <c r="R5" s="3264"/>
      <c r="S5" s="3265"/>
      <c r="T5" s="3264"/>
      <c r="U5" s="3265"/>
      <c r="V5" s="3287"/>
      <c r="W5" s="3287"/>
      <c r="X5" s="1808"/>
      <c r="Y5" s="3264"/>
      <c r="Z5" s="3265"/>
      <c r="AA5" s="3258"/>
      <c r="AB5" s="3258"/>
      <c r="AC5" s="3258"/>
    </row>
    <row r="6" spans="1:30" ht="15.75" thickBot="1">
      <c r="A6" s="404"/>
      <c r="B6" s="405"/>
      <c r="C6" s="3270" t="s">
        <v>2530</v>
      </c>
      <c r="D6" s="3271"/>
      <c r="E6" s="3272" t="s">
        <v>2530</v>
      </c>
      <c r="F6" s="3273"/>
      <c r="G6" s="3270" t="s">
        <v>2530</v>
      </c>
      <c r="H6" s="3271"/>
      <c r="I6" s="3270"/>
      <c r="J6" s="3271"/>
      <c r="K6" s="608" t="s">
        <v>2531</v>
      </c>
      <c r="L6" s="1128"/>
      <c r="M6" s="1129"/>
      <c r="N6" s="1129"/>
      <c r="O6" s="1129"/>
      <c r="P6" s="3283"/>
      <c r="Q6" s="3284"/>
      <c r="R6" s="3264"/>
      <c r="S6" s="3265"/>
      <c r="T6" s="3285"/>
      <c r="U6" s="3286"/>
      <c r="V6" s="3287"/>
      <c r="W6" s="3287"/>
      <c r="X6" s="1808"/>
      <c r="Y6" s="3285"/>
      <c r="Z6" s="3286"/>
      <c r="AA6" s="3259"/>
      <c r="AB6" s="3259"/>
      <c r="AC6" s="3259"/>
    </row>
    <row r="7" spans="1:30" s="116" customFormat="1" ht="15.75" thickBot="1">
      <c r="A7" s="406" t="s">
        <v>2532</v>
      </c>
      <c r="B7" s="407"/>
      <c r="C7" s="408">
        <f>'数据-取费表'!B2</f>
        <v>43207</v>
      </c>
      <c r="D7" s="409">
        <v>100</v>
      </c>
      <c r="E7" s="410" t="str">
        <f>Sheet4!H7</f>
        <v>2017-11-13</v>
      </c>
      <c r="F7" s="411">
        <f>SUMIF(70:70,YEAR(E7)&amp;"-"&amp;INT((MONTH(E7)+2)/3),71:71)</f>
        <v>98</v>
      </c>
      <c r="G7" s="2683" t="str">
        <f>Sheet4!H10</f>
        <v>2017-10-19</v>
      </c>
      <c r="H7" s="409">
        <f>SUMIF(70:70,YEAR(G7)&amp;"-"&amp;INT((MONTH(G7)+2)/3),71:71)</f>
        <v>98</v>
      </c>
      <c r="I7" s="2683" t="str">
        <f>Sheet4!H13</f>
        <v>2017-10-19</v>
      </c>
      <c r="J7" s="409">
        <f>SUMIF(70:70,YEAR(I7)&amp;"-"&amp;INT((MONTH(I7)+2)/3),71:71)</f>
        <v>98</v>
      </c>
      <c r="K7" s="609"/>
      <c r="L7" s="1130"/>
      <c r="M7" s="1131"/>
      <c r="N7" s="1131"/>
      <c r="O7" s="1131"/>
      <c r="P7" s="3260" t="s">
        <v>2533</v>
      </c>
      <c r="Q7" s="3288"/>
      <c r="R7" s="766" t="s">
        <v>17</v>
      </c>
      <c r="S7" s="767">
        <f t="shared" ref="S7:S15" si="0">F7</f>
        <v>98</v>
      </c>
      <c r="T7" s="766" t="s">
        <v>17</v>
      </c>
      <c r="U7" s="767">
        <f t="shared" ref="U7:U15" si="1">H7</f>
        <v>98</v>
      </c>
      <c r="V7" s="766" t="s">
        <v>17</v>
      </c>
      <c r="W7" s="767">
        <f t="shared" ref="W7:W15" si="2">J7</f>
        <v>98</v>
      </c>
      <c r="X7" s="768"/>
      <c r="Y7" s="3260" t="s">
        <v>2533</v>
      </c>
      <c r="Z7" s="3261"/>
      <c r="AA7" s="769">
        <f>D7/F7</f>
        <v>1.0204081632653061</v>
      </c>
      <c r="AB7" s="769">
        <f>D7/H7</f>
        <v>1.0204081632653061</v>
      </c>
      <c r="AC7" s="769">
        <f>D7/J7</f>
        <v>1.0204081632653061</v>
      </c>
    </row>
    <row r="8" spans="1:30" s="116" customFormat="1" ht="15.75" thickBot="1">
      <c r="A8" s="406" t="s">
        <v>2534</v>
      </c>
      <c r="B8" s="407"/>
      <c r="C8" s="412" t="s">
        <v>2535</v>
      </c>
      <c r="D8" s="409">
        <v>100</v>
      </c>
      <c r="E8" s="412" t="s">
        <v>3048</v>
      </c>
      <c r="F8" s="411">
        <f>SUMIF(73:73,E8,74:74)-SUMIF(73:73,C8,74:74)+100</f>
        <v>100</v>
      </c>
      <c r="G8" s="412" t="s">
        <v>3048</v>
      </c>
      <c r="H8" s="409">
        <f>SUMIF(73:73,G8,74:74)-SUMIF(73:73,C8,74:74)+100</f>
        <v>100</v>
      </c>
      <c r="I8" s="412" t="s">
        <v>3048</v>
      </c>
      <c r="J8" s="409">
        <f>SUMIF(73:73,I8,74:74)-SUMIF(73:73,C8,74:74)+100</f>
        <v>100</v>
      </c>
      <c r="K8" s="609"/>
      <c r="L8" s="1130"/>
      <c r="M8" s="1131"/>
      <c r="N8" s="1131"/>
      <c r="O8" s="1131"/>
      <c r="P8" s="3260" t="s">
        <v>2536</v>
      </c>
      <c r="Q8" s="3261"/>
      <c r="R8" s="766" t="s">
        <v>17</v>
      </c>
      <c r="S8" s="767">
        <f t="shared" si="0"/>
        <v>100</v>
      </c>
      <c r="T8" s="766" t="s">
        <v>17</v>
      </c>
      <c r="U8" s="767">
        <f t="shared" si="1"/>
        <v>100</v>
      </c>
      <c r="V8" s="766" t="s">
        <v>17</v>
      </c>
      <c r="W8" s="767">
        <f t="shared" si="2"/>
        <v>100</v>
      </c>
      <c r="X8" s="768"/>
      <c r="Y8" s="3260" t="s">
        <v>2536</v>
      </c>
      <c r="Z8" s="3261"/>
      <c r="AA8" s="769">
        <f t="shared" ref="AA8:AA45" si="3">D8/F8</f>
        <v>1</v>
      </c>
      <c r="AB8" s="769">
        <f t="shared" ref="AB8:AB45" si="4">D8/H8</f>
        <v>1</v>
      </c>
      <c r="AC8" s="769">
        <f t="shared" ref="AC8:AC45" si="5">D8/J8</f>
        <v>1</v>
      </c>
    </row>
    <row r="9" spans="1:30" s="116" customFormat="1">
      <c r="A9" s="413" t="s">
        <v>2537</v>
      </c>
      <c r="B9" s="71" t="s">
        <v>2538</v>
      </c>
      <c r="C9" s="2686" t="s">
        <v>3162</v>
      </c>
      <c r="D9" s="133">
        <v>100</v>
      </c>
      <c r="E9" s="2686" t="s">
        <v>3162</v>
      </c>
      <c r="F9" s="133">
        <f>SUMIF(75:75,E9,76:76)-SUMIF(75:75,C9,76:76)+100</f>
        <v>100</v>
      </c>
      <c r="G9" s="2686" t="s">
        <v>3162</v>
      </c>
      <c r="H9" s="133">
        <f>SUMIF(75:75,G9,76:76)-SUMIF(75:75,C9,76:76)+100</f>
        <v>100</v>
      </c>
      <c r="I9" s="2686" t="s">
        <v>3411</v>
      </c>
      <c r="J9" s="133">
        <f>SUMIF(75:75,I9,76:76)-SUMIF(75:75,C9,76:76)+100</f>
        <v>105</v>
      </c>
      <c r="K9" s="609"/>
      <c r="L9" s="1130"/>
      <c r="M9" s="1131"/>
      <c r="N9" s="1131"/>
      <c r="O9" s="1132"/>
      <c r="P9" s="3274" t="s">
        <v>2539</v>
      </c>
      <c r="Q9" s="1790" t="str">
        <f t="shared" ref="Q9:Q15" si="6">B9</f>
        <v>用途</v>
      </c>
      <c r="R9" s="766" t="s">
        <v>17</v>
      </c>
      <c r="S9" s="767">
        <f t="shared" si="0"/>
        <v>100</v>
      </c>
      <c r="T9" s="766" t="s">
        <v>17</v>
      </c>
      <c r="U9" s="767">
        <f t="shared" si="1"/>
        <v>100</v>
      </c>
      <c r="V9" s="766" t="s">
        <v>17</v>
      </c>
      <c r="W9" s="767">
        <f t="shared" si="2"/>
        <v>105</v>
      </c>
      <c r="X9" s="768"/>
      <c r="Y9" s="3134" t="s">
        <v>2540</v>
      </c>
      <c r="Z9" s="55" t="str">
        <f t="shared" ref="Z9:Z15" si="7">Q9</f>
        <v>用途</v>
      </c>
      <c r="AA9" s="769">
        <f t="shared" si="3"/>
        <v>1</v>
      </c>
      <c r="AB9" s="769">
        <f t="shared" si="4"/>
        <v>1</v>
      </c>
      <c r="AC9" s="769">
        <f t="shared" si="5"/>
        <v>0.95238095238095233</v>
      </c>
    </row>
    <row r="10" spans="1:30" s="425" customFormat="1" ht="27">
      <c r="A10" s="419"/>
      <c r="B10" s="420" t="s">
        <v>2541</v>
      </c>
      <c r="C10" s="430">
        <f>项目基本情况!D15</f>
        <v>60.97</v>
      </c>
      <c r="D10" s="134">
        <v>100</v>
      </c>
      <c r="E10" s="463" t="s">
        <v>3432</v>
      </c>
      <c r="F10" s="134">
        <f>ROUND(100/'数据-取费表'!G16,0)</f>
        <v>104</v>
      </c>
      <c r="G10" s="461" t="s">
        <v>3432</v>
      </c>
      <c r="H10" s="134">
        <f>ROUND(100/'数据-取费表'!G16,0)</f>
        <v>104</v>
      </c>
      <c r="I10" s="461" t="s">
        <v>3433</v>
      </c>
      <c r="J10" s="134">
        <f>ROUND(100/'数据-取费表'!G16,0)</f>
        <v>104</v>
      </c>
      <c r="K10" s="670"/>
      <c r="L10" s="1133"/>
      <c r="M10" s="1134"/>
      <c r="N10" s="1134"/>
      <c r="O10" s="1135"/>
      <c r="P10" s="3274"/>
      <c r="Q10" s="1790" t="str">
        <f t="shared" si="6"/>
        <v>土地使用年限（年）</v>
      </c>
      <c r="R10" s="766" t="s">
        <v>17</v>
      </c>
      <c r="S10" s="767">
        <f t="shared" si="0"/>
        <v>104</v>
      </c>
      <c r="T10" s="766" t="s">
        <v>17</v>
      </c>
      <c r="U10" s="767">
        <f t="shared" si="1"/>
        <v>104</v>
      </c>
      <c r="V10" s="766" t="s">
        <v>17</v>
      </c>
      <c r="W10" s="767">
        <f t="shared" si="2"/>
        <v>104</v>
      </c>
      <c r="X10" s="768"/>
      <c r="Y10" s="3134"/>
      <c r="Z10" s="55" t="str">
        <f t="shared" si="7"/>
        <v>土地使用年限（年）</v>
      </c>
      <c r="AA10" s="769">
        <f t="shared" si="3"/>
        <v>0.96153846153846156</v>
      </c>
      <c r="AB10" s="769">
        <f t="shared" si="4"/>
        <v>0.96153846153846156</v>
      </c>
      <c r="AC10" s="769">
        <f t="shared" si="5"/>
        <v>0.96153846153846156</v>
      </c>
    </row>
    <row r="11" spans="1:30" ht="15">
      <c r="A11" s="426"/>
      <c r="B11" s="420" t="s">
        <v>2542</v>
      </c>
      <c r="C11" s="3056">
        <v>1.21</v>
      </c>
      <c r="D11" s="134">
        <v>100</v>
      </c>
      <c r="E11" s="427">
        <v>3</v>
      </c>
      <c r="F11" s="134">
        <f>LOOKUP(E11,80:80,81:81)-LOOKUP(C11,80:80,81:81)+100</f>
        <v>90</v>
      </c>
      <c r="G11" s="428">
        <v>2.6</v>
      </c>
      <c r="H11" s="134">
        <f>LOOKUP(G11,80:80,81:81)-LOOKUP(C11,80:80,81:81)+100</f>
        <v>95</v>
      </c>
      <c r="I11" s="427">
        <v>3</v>
      </c>
      <c r="J11" s="134">
        <f>LOOKUP(I11,80:80,81:81)-LOOKUP(C11,80:80,81:81)+100</f>
        <v>90</v>
      </c>
      <c r="K11" s="3057">
        <v>5</v>
      </c>
      <c r="L11" s="1136"/>
      <c r="M11" s="1129"/>
      <c r="N11" s="1129"/>
      <c r="O11" s="1137"/>
      <c r="P11" s="3274"/>
      <c r="Q11" s="1790" t="str">
        <f t="shared" si="6"/>
        <v>容积率</v>
      </c>
      <c r="R11" s="766" t="s">
        <v>17</v>
      </c>
      <c r="S11" s="767">
        <f t="shared" si="0"/>
        <v>90</v>
      </c>
      <c r="T11" s="766" t="s">
        <v>17</v>
      </c>
      <c r="U11" s="767">
        <f t="shared" si="1"/>
        <v>95</v>
      </c>
      <c r="V11" s="766" t="s">
        <v>17</v>
      </c>
      <c r="W11" s="767">
        <f t="shared" si="2"/>
        <v>90</v>
      </c>
      <c r="X11" s="768"/>
      <c r="Y11" s="3134"/>
      <c r="Z11" s="55" t="str">
        <f t="shared" si="7"/>
        <v>容积率</v>
      </c>
      <c r="AA11" s="769">
        <f t="shared" si="3"/>
        <v>1.1111111111111112</v>
      </c>
      <c r="AB11" s="769">
        <f t="shared" si="4"/>
        <v>1.0526315789473684</v>
      </c>
      <c r="AC11" s="769">
        <f t="shared" si="5"/>
        <v>1.1111111111111112</v>
      </c>
    </row>
    <row r="12" spans="1:30" s="116" customFormat="1" ht="15">
      <c r="A12" s="429"/>
      <c r="B12" s="2587" t="s">
        <v>2731</v>
      </c>
      <c r="C12" s="430"/>
      <c r="D12" s="431">
        <v>100</v>
      </c>
      <c r="E12" s="463"/>
      <c r="F12" s="134">
        <f>SUMIF(82:82,E12,83:83)-SUMIF(82:82,C12,83:83)+100</f>
        <v>100</v>
      </c>
      <c r="G12" s="461"/>
      <c r="H12" s="134">
        <f>SUMIF(82:82,G12,83:83)-SUMIF(82:82,C12,83:83)+100</f>
        <v>100</v>
      </c>
      <c r="I12" s="463"/>
      <c r="J12" s="134">
        <f>SUMIF(82:82,I12,83:83)-SUMIF(82:82,C12,83:83)+100</f>
        <v>100</v>
      </c>
      <c r="K12" s="670"/>
      <c r="L12" s="1130"/>
      <c r="M12" s="1131"/>
      <c r="N12" s="1131"/>
      <c r="O12" s="1132"/>
      <c r="P12" s="3274"/>
      <c r="Q12" s="1790" t="str">
        <f t="shared" si="6"/>
        <v>配建</v>
      </c>
      <c r="R12" s="766" t="s">
        <v>17</v>
      </c>
      <c r="S12" s="767">
        <f t="shared" si="0"/>
        <v>100</v>
      </c>
      <c r="T12" s="766" t="s">
        <v>17</v>
      </c>
      <c r="U12" s="767">
        <f t="shared" si="1"/>
        <v>100</v>
      </c>
      <c r="V12" s="766" t="s">
        <v>17</v>
      </c>
      <c r="W12" s="767">
        <f t="shared" si="2"/>
        <v>100</v>
      </c>
      <c r="X12" s="768"/>
      <c r="Y12" s="3134"/>
      <c r="Z12" s="55" t="str">
        <f t="shared" si="7"/>
        <v>配建</v>
      </c>
      <c r="AA12" s="769">
        <f>D12/F12</f>
        <v>1</v>
      </c>
      <c r="AB12" s="769">
        <f>D12/H12</f>
        <v>1</v>
      </c>
      <c r="AC12" s="769">
        <f>D12/J12</f>
        <v>1</v>
      </c>
    </row>
    <row r="13" spans="1:30" ht="15">
      <c r="A13" s="426"/>
      <c r="B13" s="2587">
        <v>111</v>
      </c>
      <c r="C13" s="432"/>
      <c r="D13" s="433">
        <v>100</v>
      </c>
      <c r="E13" s="547"/>
      <c r="F13" s="134">
        <f>SUMIF(84:84,E13,85:85)-SUMIF(84:84,C13,85:85)+100</f>
        <v>100</v>
      </c>
      <c r="G13" s="672"/>
      <c r="H13" s="433">
        <f>SUMIF(84:84,G13,85:85)-SUMIF(84:84,C13,85:85)+100</f>
        <v>100</v>
      </c>
      <c r="I13" s="672"/>
      <c r="J13" s="433">
        <f>SUMIF(84:84,I13,85:85)-SUMIF(84:84,C13,85:85)+100</f>
        <v>100</v>
      </c>
      <c r="K13" s="670"/>
      <c r="L13" s="1138"/>
      <c r="M13" s="1129"/>
      <c r="N13" s="1129"/>
      <c r="O13" s="1137"/>
      <c r="P13" s="3274"/>
      <c r="Q13" s="1790">
        <f t="shared" si="6"/>
        <v>111</v>
      </c>
      <c r="R13" s="766" t="s">
        <v>17</v>
      </c>
      <c r="S13" s="767">
        <f t="shared" si="0"/>
        <v>100</v>
      </c>
      <c r="T13" s="766" t="s">
        <v>17</v>
      </c>
      <c r="U13" s="767">
        <f t="shared" si="1"/>
        <v>100</v>
      </c>
      <c r="V13" s="766" t="s">
        <v>17</v>
      </c>
      <c r="W13" s="767">
        <f t="shared" si="2"/>
        <v>100</v>
      </c>
      <c r="X13" s="768"/>
      <c r="Y13" s="3134"/>
      <c r="Z13" s="55">
        <f t="shared" si="7"/>
        <v>111</v>
      </c>
      <c r="AA13" s="769">
        <f>D13/F13</f>
        <v>1</v>
      </c>
      <c r="AB13" s="769">
        <f>D13/H13</f>
        <v>1</v>
      </c>
      <c r="AC13" s="769">
        <f>D13/J13</f>
        <v>1</v>
      </c>
    </row>
    <row r="14" spans="1:30" ht="15.75" thickBot="1">
      <c r="A14" s="434"/>
      <c r="B14" s="2589">
        <v>111</v>
      </c>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274"/>
      <c r="Q14" s="1790">
        <f t="shared" si="6"/>
        <v>111</v>
      </c>
      <c r="R14" s="766" t="s">
        <v>17</v>
      </c>
      <c r="S14" s="767">
        <f t="shared" si="0"/>
        <v>100</v>
      </c>
      <c r="T14" s="766" t="s">
        <v>17</v>
      </c>
      <c r="U14" s="767">
        <f t="shared" si="1"/>
        <v>100</v>
      </c>
      <c r="V14" s="766" t="s">
        <v>17</v>
      </c>
      <c r="W14" s="767">
        <f t="shared" si="2"/>
        <v>100</v>
      </c>
      <c r="X14" s="768"/>
      <c r="Y14" s="3134"/>
      <c r="Z14" s="55">
        <f t="shared" si="7"/>
        <v>111</v>
      </c>
      <c r="AA14" s="769">
        <f>D14/F14</f>
        <v>1</v>
      </c>
      <c r="AB14" s="769">
        <f>D14/H14</f>
        <v>1</v>
      </c>
      <c r="AC14" s="769">
        <f>D14/J14</f>
        <v>1</v>
      </c>
    </row>
    <row r="15" spans="1:30" ht="15">
      <c r="A15" s="438" t="s">
        <v>2543</v>
      </c>
      <c r="B15" s="69" t="s">
        <v>2083</v>
      </c>
      <c r="C15" s="2590">
        <f>估价对象房地状况!C15</f>
        <v>0</v>
      </c>
      <c r="D15" s="439">
        <v>100</v>
      </c>
      <c r="E15" s="440"/>
      <c r="F15" s="439">
        <f>SUMIF(88:88,E16,89:89)-SUMIF(88:88,C16,89:89)+100</f>
        <v>102</v>
      </c>
      <c r="G15" s="440"/>
      <c r="H15" s="439">
        <f>SUMIF(88:88,G16,89:89)-SUMIF(88:88,C16,89:89)+100</f>
        <v>102</v>
      </c>
      <c r="I15" s="442"/>
      <c r="J15" s="439">
        <f>SUMIF(88:88,I16,89:89)-SUMIF(88:88,C16,89:89)+100</f>
        <v>102</v>
      </c>
      <c r="K15" s="3057">
        <v>1</v>
      </c>
      <c r="L15" s="1138"/>
      <c r="M15" s="1129"/>
      <c r="N15" s="1129"/>
      <c r="O15" s="1137"/>
      <c r="P15" s="3289" t="s">
        <v>2544</v>
      </c>
      <c r="Q15" s="1805" t="str">
        <f t="shared" si="6"/>
        <v>居住社区成熟度</v>
      </c>
      <c r="R15" s="770" t="s">
        <v>17</v>
      </c>
      <c r="S15" s="771">
        <f t="shared" si="0"/>
        <v>102</v>
      </c>
      <c r="T15" s="770" t="s">
        <v>17</v>
      </c>
      <c r="U15" s="771">
        <f t="shared" si="1"/>
        <v>102</v>
      </c>
      <c r="V15" s="770" t="s">
        <v>17</v>
      </c>
      <c r="W15" s="771">
        <f t="shared" si="2"/>
        <v>102</v>
      </c>
      <c r="X15" s="1808"/>
      <c r="Y15" s="3289" t="s">
        <v>2544</v>
      </c>
      <c r="Z15" s="1809" t="str">
        <f t="shared" si="7"/>
        <v>居住社区成熟度</v>
      </c>
      <c r="AA15" s="1806">
        <f t="shared" si="3"/>
        <v>0.98039215686274506</v>
      </c>
      <c r="AB15" s="1806">
        <f t="shared" si="4"/>
        <v>0.98039215686274506</v>
      </c>
      <c r="AC15" s="1806">
        <f t="shared" si="5"/>
        <v>0.98039215686274506</v>
      </c>
    </row>
    <row r="16" spans="1:30" ht="15">
      <c r="A16" s="426"/>
      <c r="B16" s="444"/>
      <c r="C16" s="3058" t="s">
        <v>3273</v>
      </c>
      <c r="D16" s="446"/>
      <c r="E16" s="2592" t="s">
        <v>3055</v>
      </c>
      <c r="F16" s="446"/>
      <c r="G16" s="2592" t="s">
        <v>3055</v>
      </c>
      <c r="H16" s="448"/>
      <c r="I16" s="2591" t="s">
        <v>3055</v>
      </c>
      <c r="J16" s="446"/>
      <c r="K16" s="670"/>
      <c r="L16" s="1138"/>
      <c r="M16" s="1129"/>
      <c r="N16" s="1129"/>
      <c r="O16" s="1137"/>
      <c r="P16" s="3290"/>
      <c r="Q16" s="1805"/>
      <c r="R16" s="770"/>
      <c r="S16" s="771"/>
      <c r="T16" s="770"/>
      <c r="U16" s="771"/>
      <c r="V16" s="770"/>
      <c r="W16" s="771"/>
      <c r="X16" s="1808"/>
      <c r="Y16" s="3290"/>
      <c r="Z16" s="1809"/>
      <c r="AA16" s="1806">
        <v>1</v>
      </c>
      <c r="AB16" s="1806">
        <v>1</v>
      </c>
      <c r="AC16" s="1806">
        <v>1</v>
      </c>
    </row>
    <row r="17" spans="1:29" ht="15">
      <c r="A17" s="426"/>
      <c r="B17" s="449" t="s">
        <v>2637</v>
      </c>
      <c r="C17" s="2651">
        <f>估价对象房地状况!C16</f>
        <v>0</v>
      </c>
      <c r="D17" s="448">
        <v>100</v>
      </c>
      <c r="E17" s="450"/>
      <c r="F17" s="448">
        <f>SUMIF(90:90,E18,91:91)-SUMIF(90:90,C18,91:91)+100</f>
        <v>100</v>
      </c>
      <c r="G17" s="450"/>
      <c r="H17" s="453">
        <f>SUMIF(90:90,G18,91:91)-SUMIF(90:90,C18,91:91)+100</f>
        <v>100</v>
      </c>
      <c r="I17" s="452"/>
      <c r="J17" s="453">
        <f>SUMIF(90:90,I18,91:91)-SUMIF(90:90,C18,91:91)+100</f>
        <v>100</v>
      </c>
      <c r="K17" s="671">
        <v>0</v>
      </c>
      <c r="L17" s="1138"/>
      <c r="M17" s="1129"/>
      <c r="N17" s="1129"/>
      <c r="O17" s="1137"/>
      <c r="P17" s="3290"/>
      <c r="Q17" s="1805" t="str">
        <f>B17</f>
        <v>商业繁华度</v>
      </c>
      <c r="R17" s="770" t="s">
        <v>17</v>
      </c>
      <c r="S17" s="771">
        <f>F17</f>
        <v>100</v>
      </c>
      <c r="T17" s="770" t="s">
        <v>17</v>
      </c>
      <c r="U17" s="771">
        <f>H17</f>
        <v>100</v>
      </c>
      <c r="V17" s="770" t="s">
        <v>17</v>
      </c>
      <c r="W17" s="771">
        <f>J17</f>
        <v>100</v>
      </c>
      <c r="X17" s="1808"/>
      <c r="Y17" s="3290"/>
      <c r="Z17" s="1809" t="str">
        <f>Q17</f>
        <v>商业繁华度</v>
      </c>
      <c r="AA17" s="1806">
        <f t="shared" si="3"/>
        <v>1</v>
      </c>
      <c r="AB17" s="1806">
        <f t="shared" si="4"/>
        <v>1</v>
      </c>
      <c r="AC17" s="1806">
        <f t="shared" si="5"/>
        <v>1</v>
      </c>
    </row>
    <row r="18" spans="1:29" ht="15">
      <c r="A18" s="426"/>
      <c r="B18" s="454"/>
      <c r="C18" s="2595"/>
      <c r="D18" s="448"/>
      <c r="E18" s="2597"/>
      <c r="F18" s="448"/>
      <c r="G18" s="2597"/>
      <c r="H18" s="446"/>
      <c r="I18" s="2596"/>
      <c r="J18" s="446"/>
      <c r="K18" s="670"/>
      <c r="L18" s="1138"/>
      <c r="M18" s="1129"/>
      <c r="N18" s="1129"/>
      <c r="O18" s="1137"/>
      <c r="P18" s="3290"/>
      <c r="Q18" s="1805"/>
      <c r="R18" s="770"/>
      <c r="S18" s="771"/>
      <c r="T18" s="770"/>
      <c r="U18" s="771"/>
      <c r="V18" s="770"/>
      <c r="W18" s="771"/>
      <c r="X18" s="1808"/>
      <c r="Y18" s="3290"/>
      <c r="Z18" s="1809"/>
      <c r="AA18" s="1806">
        <v>1</v>
      </c>
      <c r="AB18" s="1806">
        <v>1</v>
      </c>
      <c r="AC18" s="1806">
        <v>1</v>
      </c>
    </row>
    <row r="19" spans="1:29" ht="15">
      <c r="A19" s="426"/>
      <c r="B19" s="449" t="s">
        <v>2671</v>
      </c>
      <c r="C19" s="2651">
        <f>估价对象房地状况!C17</f>
        <v>0</v>
      </c>
      <c r="D19" s="453">
        <v>100</v>
      </c>
      <c r="E19" s="455"/>
      <c r="F19" s="453">
        <f>SUMIF(92:92,E20,93:93)-SUMIF(92:92,C20,93:93)+100</f>
        <v>100</v>
      </c>
      <c r="G19" s="455"/>
      <c r="H19" s="448">
        <f>SUMIF(92:92,G20,93:93)-SUMIF(92:92,C20,93:93)+100</f>
        <v>100</v>
      </c>
      <c r="I19" s="457"/>
      <c r="J19" s="448">
        <f>SUMIF(92:92,I20,93:93)-SUMIF(92:92,C20,93:93)+100</f>
        <v>100</v>
      </c>
      <c r="K19" s="671">
        <v>0</v>
      </c>
      <c r="L19" s="1138"/>
      <c r="M19" s="1129"/>
      <c r="N19" s="1129"/>
      <c r="O19" s="1137"/>
      <c r="P19" s="3290"/>
      <c r="Q19" s="1805" t="str">
        <f>B19</f>
        <v>办公集聚程度</v>
      </c>
      <c r="R19" s="770" t="s">
        <v>17</v>
      </c>
      <c r="S19" s="771">
        <f>F19</f>
        <v>100</v>
      </c>
      <c r="T19" s="770" t="s">
        <v>17</v>
      </c>
      <c r="U19" s="771">
        <f>H19</f>
        <v>100</v>
      </c>
      <c r="V19" s="770" t="s">
        <v>17</v>
      </c>
      <c r="W19" s="771">
        <f>J19</f>
        <v>100</v>
      </c>
      <c r="X19" s="1808"/>
      <c r="Y19" s="3290"/>
      <c r="Z19" s="1809" t="str">
        <f>Q19</f>
        <v>办公集聚程度</v>
      </c>
      <c r="AA19" s="1806">
        <f t="shared" si="3"/>
        <v>1</v>
      </c>
      <c r="AB19" s="1806">
        <f t="shared" si="4"/>
        <v>1</v>
      </c>
      <c r="AC19" s="1806">
        <f t="shared" si="5"/>
        <v>1</v>
      </c>
    </row>
    <row r="20" spans="1:29" ht="15">
      <c r="A20" s="426"/>
      <c r="B20" s="454"/>
      <c r="C20" s="445"/>
      <c r="D20" s="446"/>
      <c r="E20" s="2592"/>
      <c r="F20" s="446"/>
      <c r="G20" s="2592"/>
      <c r="H20" s="446"/>
      <c r="I20" s="2591"/>
      <c r="J20" s="446"/>
      <c r="K20" s="670"/>
      <c r="L20" s="1138"/>
      <c r="M20" s="1129"/>
      <c r="N20" s="1129"/>
      <c r="O20" s="1137"/>
      <c r="P20" s="3290"/>
      <c r="Q20" s="1805"/>
      <c r="R20" s="770"/>
      <c r="S20" s="771"/>
      <c r="T20" s="770"/>
      <c r="U20" s="771"/>
      <c r="V20" s="770"/>
      <c r="W20" s="771"/>
      <c r="X20" s="1808"/>
      <c r="Y20" s="3290"/>
      <c r="Z20" s="1809"/>
      <c r="AA20" s="1806">
        <v>1</v>
      </c>
      <c r="AB20" s="1806">
        <v>1</v>
      </c>
      <c r="AC20" s="1806">
        <v>1</v>
      </c>
    </row>
    <row r="21" spans="1:29" ht="15">
      <c r="A21" s="426"/>
      <c r="B21" s="449" t="s">
        <v>2693</v>
      </c>
      <c r="C21" s="2594">
        <f>估价对象房地状况!C18</f>
        <v>0</v>
      </c>
      <c r="D21" s="448">
        <v>100</v>
      </c>
      <c r="E21" s="450"/>
      <c r="F21" s="453">
        <f>SUMIF(94:94,E22,95:95)-SUMIF(94:94,C22,95:95)+100</f>
        <v>102</v>
      </c>
      <c r="G21" s="450"/>
      <c r="H21" s="448">
        <f>SUMIF(94:94,G22,95:95)-SUMIF(94:94,C22,95:95)+100</f>
        <v>102</v>
      </c>
      <c r="I21" s="452"/>
      <c r="J21" s="448">
        <f>SUMIF(94:94,I22,95:95)-SUMIF(94:94,C22,95:95)+100</f>
        <v>102</v>
      </c>
      <c r="K21" s="671">
        <v>2</v>
      </c>
      <c r="L21" s="1138"/>
      <c r="M21" s="1129"/>
      <c r="N21" s="1129"/>
      <c r="O21" s="1137"/>
      <c r="P21" s="3290"/>
      <c r="Q21" s="1805" t="str">
        <f>B21</f>
        <v>交通便捷度</v>
      </c>
      <c r="R21" s="770" t="s">
        <v>17</v>
      </c>
      <c r="S21" s="771">
        <f>F21</f>
        <v>102</v>
      </c>
      <c r="T21" s="770" t="s">
        <v>17</v>
      </c>
      <c r="U21" s="771">
        <f>H21</f>
        <v>102</v>
      </c>
      <c r="V21" s="770" t="s">
        <v>17</v>
      </c>
      <c r="W21" s="771">
        <f>J21</f>
        <v>102</v>
      </c>
      <c r="X21" s="1808"/>
      <c r="Y21" s="3290"/>
      <c r="Z21" s="1809" t="str">
        <f>Q21</f>
        <v>交通便捷度</v>
      </c>
      <c r="AA21" s="1806">
        <f t="shared" si="3"/>
        <v>0.98039215686274506</v>
      </c>
      <c r="AB21" s="1806">
        <f t="shared" si="4"/>
        <v>0.98039215686274506</v>
      </c>
      <c r="AC21" s="1806">
        <f t="shared" si="5"/>
        <v>0.98039215686274506</v>
      </c>
    </row>
    <row r="22" spans="1:29" ht="15">
      <c r="A22" s="426"/>
      <c r="B22" s="1380"/>
      <c r="C22" s="445" t="s">
        <v>3274</v>
      </c>
      <c r="D22" s="448"/>
      <c r="E22" s="2592" t="s">
        <v>3055</v>
      </c>
      <c r="F22" s="446"/>
      <c r="G22" s="2592" t="s">
        <v>3055</v>
      </c>
      <c r="H22" s="446"/>
      <c r="I22" s="2591" t="s">
        <v>3055</v>
      </c>
      <c r="J22" s="446"/>
      <c r="K22" s="670"/>
      <c r="L22" s="1138"/>
      <c r="M22" s="1129"/>
      <c r="N22" s="1129"/>
      <c r="O22" s="1137"/>
      <c r="P22" s="3290"/>
      <c r="Q22" s="1805"/>
      <c r="R22" s="770"/>
      <c r="S22" s="771"/>
      <c r="T22" s="770"/>
      <c r="U22" s="771"/>
      <c r="V22" s="770"/>
      <c r="W22" s="771"/>
      <c r="X22" s="1808"/>
      <c r="Y22" s="3290"/>
      <c r="Z22" s="1809"/>
      <c r="AA22" s="1806">
        <v>1</v>
      </c>
      <c r="AB22" s="1806">
        <v>1</v>
      </c>
      <c r="AC22" s="1806">
        <v>1</v>
      </c>
    </row>
    <row r="23" spans="1:29" ht="15">
      <c r="A23" s="402"/>
      <c r="B23" s="449" t="s">
        <v>2732</v>
      </c>
      <c r="C23" s="1385">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2</v>
      </c>
      <c r="L23" s="1138"/>
      <c r="M23" s="1129"/>
      <c r="N23" s="1129"/>
      <c r="O23" s="1137"/>
      <c r="P23" s="3290"/>
      <c r="Q23" s="1805" t="str">
        <f t="shared" ref="Q23:Q37" si="8">B23</f>
        <v>区域土地利用方向</v>
      </c>
      <c r="R23" s="770" t="s">
        <v>17</v>
      </c>
      <c r="S23" s="771">
        <f>F23</f>
        <v>100</v>
      </c>
      <c r="T23" s="770" t="s">
        <v>17</v>
      </c>
      <c r="U23" s="771">
        <f>H23</f>
        <v>100</v>
      </c>
      <c r="V23" s="770" t="s">
        <v>17</v>
      </c>
      <c r="W23" s="771">
        <f>J23</f>
        <v>100</v>
      </c>
      <c r="X23" s="1808"/>
      <c r="Y23" s="3290"/>
      <c r="Z23" s="1809" t="str">
        <f>Q23</f>
        <v>区域土地利用方向</v>
      </c>
      <c r="AA23" s="1806">
        <f t="shared" si="3"/>
        <v>1</v>
      </c>
      <c r="AB23" s="1806">
        <f t="shared" si="4"/>
        <v>1</v>
      </c>
      <c r="AC23" s="1806">
        <f t="shared" si="5"/>
        <v>1</v>
      </c>
    </row>
    <row r="24" spans="1:29" ht="15">
      <c r="A24" s="402"/>
      <c r="B24" s="454"/>
      <c r="C24" s="614" t="s">
        <v>3055</v>
      </c>
      <c r="D24" s="446"/>
      <c r="E24" s="2592" t="s">
        <v>3055</v>
      </c>
      <c r="F24" s="446"/>
      <c r="G24" s="2591" t="s">
        <v>3055</v>
      </c>
      <c r="H24" s="446"/>
      <c r="I24" s="2591" t="s">
        <v>3055</v>
      </c>
      <c r="J24" s="446"/>
      <c r="K24" s="807"/>
      <c r="L24" s="1138"/>
      <c r="M24" s="1129"/>
      <c r="N24" s="1129"/>
      <c r="O24" s="1137"/>
      <c r="P24" s="3290"/>
      <c r="Q24" s="1805"/>
      <c r="R24" s="770"/>
      <c r="S24" s="771"/>
      <c r="T24" s="770"/>
      <c r="U24" s="771"/>
      <c r="V24" s="770"/>
      <c r="W24" s="771"/>
      <c r="X24" s="1808"/>
      <c r="Y24" s="3290"/>
      <c r="Z24" s="1809"/>
      <c r="AA24" s="1806"/>
      <c r="AB24" s="1806"/>
      <c r="AC24" s="1806"/>
    </row>
    <row r="25" spans="1:29" ht="27">
      <c r="A25" s="402"/>
      <c r="B25" s="1380" t="s">
        <v>2733</v>
      </c>
      <c r="C25" s="2651">
        <f>估价对象房地状况!C20</f>
        <v>0</v>
      </c>
      <c r="D25" s="448">
        <v>100</v>
      </c>
      <c r="E25" s="450"/>
      <c r="F25" s="448">
        <f>SUMIF(98:98,E26,99:99)-SUMIF(98:98,C26,99:99)+100</f>
        <v>100</v>
      </c>
      <c r="G25" s="450"/>
      <c r="H25" s="448">
        <f>SUMIF(98:98,G26,99:99)-SUMIF(98:98,C26,99:99)+100</f>
        <v>100</v>
      </c>
      <c r="I25" s="452"/>
      <c r="J25" s="448">
        <f>SUMIF(98:98,I26,99:99)-SUMIF(98:98,C26,99:99)+100</f>
        <v>100</v>
      </c>
      <c r="K25" s="671">
        <v>2</v>
      </c>
      <c r="L25" s="1138"/>
      <c r="M25" s="1129"/>
      <c r="N25" s="1129"/>
      <c r="O25" s="1137"/>
      <c r="P25" s="3290"/>
      <c r="Q25" s="1805" t="str">
        <f t="shared" si="8"/>
        <v>自然及人文环境状况</v>
      </c>
      <c r="R25" s="770" t="s">
        <v>17</v>
      </c>
      <c r="S25" s="771">
        <f>F25</f>
        <v>100</v>
      </c>
      <c r="T25" s="770" t="s">
        <v>17</v>
      </c>
      <c r="U25" s="771">
        <f>H25</f>
        <v>100</v>
      </c>
      <c r="V25" s="770" t="s">
        <v>17</v>
      </c>
      <c r="W25" s="771">
        <f>J25</f>
        <v>100</v>
      </c>
      <c r="X25" s="1808"/>
      <c r="Y25" s="3290"/>
      <c r="Z25" s="1809" t="str">
        <f>Q25</f>
        <v>自然及人文环境状况</v>
      </c>
      <c r="AA25" s="1806">
        <f t="shared" si="3"/>
        <v>1</v>
      </c>
      <c r="AB25" s="1806">
        <f t="shared" si="4"/>
        <v>1</v>
      </c>
      <c r="AC25" s="1806">
        <f t="shared" si="5"/>
        <v>1</v>
      </c>
    </row>
    <row r="26" spans="1:29" ht="15">
      <c r="A26" s="402"/>
      <c r="B26" s="454"/>
      <c r="C26" s="445" t="s">
        <v>3055</v>
      </c>
      <c r="D26" s="446"/>
      <c r="E26" s="2598" t="s">
        <v>3055</v>
      </c>
      <c r="F26" s="446"/>
      <c r="G26" s="2598" t="s">
        <v>3055</v>
      </c>
      <c r="H26" s="446"/>
      <c r="I26" s="445" t="s">
        <v>3055</v>
      </c>
      <c r="J26" s="446"/>
      <c r="K26" s="670"/>
      <c r="L26" s="1138"/>
      <c r="M26" s="1129"/>
      <c r="N26" s="1129"/>
      <c r="O26" s="1137"/>
      <c r="P26" s="3290"/>
      <c r="Q26" s="1805"/>
      <c r="R26" s="770"/>
      <c r="S26" s="771"/>
      <c r="T26" s="770"/>
      <c r="U26" s="771"/>
      <c r="V26" s="770"/>
      <c r="W26" s="771"/>
      <c r="X26" s="1808"/>
      <c r="Y26" s="3290"/>
      <c r="Z26" s="1809"/>
      <c r="AA26" s="1806">
        <v>1</v>
      </c>
      <c r="AB26" s="1806">
        <v>1</v>
      </c>
      <c r="AC26" s="1806">
        <v>1</v>
      </c>
    </row>
    <row r="27" spans="1:29" s="116" customFormat="1" ht="15">
      <c r="A27" s="647"/>
      <c r="B27" s="1380" t="s">
        <v>2638</v>
      </c>
      <c r="C27" s="2594">
        <f>估价对象房地状况!C21</f>
        <v>0</v>
      </c>
      <c r="D27" s="448">
        <v>100</v>
      </c>
      <c r="E27" s="450"/>
      <c r="F27" s="448">
        <f>SUMIF(100:100,E28,101:101)-SUMIF(100:100,C28,101:101)+100</f>
        <v>102</v>
      </c>
      <c r="G27" s="450"/>
      <c r="H27" s="448">
        <f>SUMIF(100:100,G28,101:101)-SUMIF(100:100,C28,101:101)+100</f>
        <v>102</v>
      </c>
      <c r="I27" s="452"/>
      <c r="J27" s="448">
        <f>SUMIF(100:100,I28,101:101)-SUMIF(100:100,C28,101:101)+100</f>
        <v>102</v>
      </c>
      <c r="K27" s="671">
        <v>2</v>
      </c>
      <c r="L27" s="1130"/>
      <c r="M27" s="1131"/>
      <c r="N27" s="1131"/>
      <c r="O27" s="1132"/>
      <c r="P27" s="3290"/>
      <c r="Q27" s="1790" t="str">
        <f t="shared" si="8"/>
        <v>公共配套设施</v>
      </c>
      <c r="R27" s="766" t="s">
        <v>17</v>
      </c>
      <c r="S27" s="767">
        <f>F27</f>
        <v>102</v>
      </c>
      <c r="T27" s="766" t="s">
        <v>17</v>
      </c>
      <c r="U27" s="767">
        <f>H27</f>
        <v>102</v>
      </c>
      <c r="V27" s="766" t="s">
        <v>17</v>
      </c>
      <c r="W27" s="767">
        <f>J27</f>
        <v>102</v>
      </c>
      <c r="X27" s="768"/>
      <c r="Y27" s="3290"/>
      <c r="Z27" s="55" t="str">
        <f>Q27</f>
        <v>公共配套设施</v>
      </c>
      <c r="AA27" s="1806">
        <f>D27/F27</f>
        <v>0.98039215686274506</v>
      </c>
      <c r="AB27" s="1806">
        <f>D27/H27</f>
        <v>0.98039215686274506</v>
      </c>
      <c r="AC27" s="1806">
        <f>D27/J27</f>
        <v>0.98039215686274506</v>
      </c>
    </row>
    <row r="28" spans="1:29" s="116" customFormat="1" ht="15">
      <c r="A28" s="647"/>
      <c r="B28" s="454"/>
      <c r="C28" s="2687" t="s">
        <v>3274</v>
      </c>
      <c r="D28" s="446"/>
      <c r="E28" s="2598" t="s">
        <v>3055</v>
      </c>
      <c r="F28" s="446"/>
      <c r="G28" s="2598" t="s">
        <v>3055</v>
      </c>
      <c r="H28" s="446"/>
      <c r="I28" s="445" t="s">
        <v>3055</v>
      </c>
      <c r="J28" s="446"/>
      <c r="K28" s="670"/>
      <c r="L28" s="1130"/>
      <c r="M28" s="1131"/>
      <c r="N28" s="1131"/>
      <c r="O28" s="1132"/>
      <c r="P28" s="3290"/>
      <c r="Q28" s="1790"/>
      <c r="R28" s="766"/>
      <c r="S28" s="767"/>
      <c r="T28" s="766"/>
      <c r="U28" s="767"/>
      <c r="V28" s="766"/>
      <c r="W28" s="767"/>
      <c r="X28" s="768"/>
      <c r="Y28" s="3290"/>
      <c r="Z28" s="55"/>
      <c r="AA28" s="1806">
        <v>1</v>
      </c>
      <c r="AB28" s="1806">
        <v>1</v>
      </c>
      <c r="AC28" s="1806">
        <v>1</v>
      </c>
    </row>
    <row r="29" spans="1:29" s="116" customFormat="1" ht="15">
      <c r="A29" s="647"/>
      <c r="B29" s="1380" t="s">
        <v>2639</v>
      </c>
      <c r="C29" s="2594">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30"/>
      <c r="M29" s="1131"/>
      <c r="N29" s="1131"/>
      <c r="O29" s="1132"/>
      <c r="P29" s="3290"/>
      <c r="Q29" s="1790" t="str">
        <f t="shared" ref="Q29" si="9">B29</f>
        <v>基础设施水平</v>
      </c>
      <c r="R29" s="766" t="s">
        <v>17</v>
      </c>
      <c r="S29" s="767">
        <f>F29</f>
        <v>100</v>
      </c>
      <c r="T29" s="766" t="s">
        <v>17</v>
      </c>
      <c r="U29" s="767">
        <f>H29</f>
        <v>100</v>
      </c>
      <c r="V29" s="766" t="s">
        <v>17</v>
      </c>
      <c r="W29" s="767">
        <f>J29</f>
        <v>100</v>
      </c>
      <c r="X29" s="768"/>
      <c r="Y29" s="3290"/>
      <c r="Z29" s="55" t="str">
        <f>Q29</f>
        <v>基础设施水平</v>
      </c>
      <c r="AA29" s="1806">
        <f>D29/F29</f>
        <v>1</v>
      </c>
      <c r="AB29" s="1806">
        <f>D29/H29</f>
        <v>1</v>
      </c>
      <c r="AC29" s="1806">
        <f>D29/J29</f>
        <v>1</v>
      </c>
    </row>
    <row r="30" spans="1:29" s="116" customFormat="1" ht="15">
      <c r="A30" s="647"/>
      <c r="B30" s="454"/>
      <c r="C30" s="2687" t="s">
        <v>3052</v>
      </c>
      <c r="D30" s="446"/>
      <c r="E30" s="2688" t="s">
        <v>3052</v>
      </c>
      <c r="F30" s="446"/>
      <c r="G30" s="2688" t="s">
        <v>3052</v>
      </c>
      <c r="H30" s="446"/>
      <c r="I30" s="2688" t="s">
        <v>3052</v>
      </c>
      <c r="J30" s="446"/>
      <c r="K30" s="670"/>
      <c r="L30" s="1130"/>
      <c r="M30" s="1131"/>
      <c r="N30" s="1131"/>
      <c r="O30" s="1132"/>
      <c r="P30" s="3290"/>
      <c r="Q30" s="1790"/>
      <c r="R30" s="766"/>
      <c r="S30" s="767"/>
      <c r="T30" s="766"/>
      <c r="U30" s="767"/>
      <c r="V30" s="766"/>
      <c r="W30" s="767"/>
      <c r="X30" s="768"/>
      <c r="Y30" s="3290"/>
      <c r="Z30" s="55"/>
      <c r="AA30" s="1806">
        <v>1</v>
      </c>
      <c r="AB30" s="1806">
        <v>1</v>
      </c>
      <c r="AC30" s="1806">
        <v>1</v>
      </c>
    </row>
    <row r="31" spans="1:29" ht="15">
      <c r="A31" s="426"/>
      <c r="B31" s="3059" t="s">
        <v>2640</v>
      </c>
      <c r="C31" s="614" t="s">
        <v>3245</v>
      </c>
      <c r="D31" s="433">
        <v>100</v>
      </c>
      <c r="E31" s="632" t="s">
        <v>3434</v>
      </c>
      <c r="F31" s="433">
        <f>SUMIF(104:104,E31,105:105)-SUMIF(104:104,C31,105:105)+100</f>
        <v>100</v>
      </c>
      <c r="G31" s="632" t="s">
        <v>3434</v>
      </c>
      <c r="H31" s="433">
        <f>SUMIF(104:104,G31,105:105)-SUMIF(104:104,C31,105:105)+100</f>
        <v>100</v>
      </c>
      <c r="I31" s="632" t="s">
        <v>3434</v>
      </c>
      <c r="J31" s="433">
        <f>SUMIF(104:104,I31,105:105)-SUMIF(104:104,C31,105:105)+100</f>
        <v>100</v>
      </c>
      <c r="K31" s="671">
        <v>0</v>
      </c>
      <c r="L31" s="1138"/>
      <c r="M31" s="1129"/>
      <c r="N31" s="1129"/>
      <c r="O31" s="1137"/>
      <c r="P31" s="3290"/>
      <c r="Q31" s="1805" t="str">
        <f t="shared" si="8"/>
        <v>临街状况</v>
      </c>
      <c r="R31" s="770" t="s">
        <v>17</v>
      </c>
      <c r="S31" s="771">
        <f t="shared" ref="S31:S45" si="10">F31</f>
        <v>100</v>
      </c>
      <c r="T31" s="770" t="s">
        <v>17</v>
      </c>
      <c r="U31" s="771">
        <f t="shared" ref="U31:U45" si="11">H31</f>
        <v>100</v>
      </c>
      <c r="V31" s="770" t="s">
        <v>17</v>
      </c>
      <c r="W31" s="771">
        <f t="shared" ref="W31:W45" si="12">J31</f>
        <v>100</v>
      </c>
      <c r="X31" s="1808"/>
      <c r="Y31" s="3290"/>
      <c r="Z31" s="1809" t="str">
        <f t="shared" ref="Z31:Z45" si="13">Q31</f>
        <v>临街状况</v>
      </c>
      <c r="AA31" s="1806">
        <f t="shared" si="3"/>
        <v>1</v>
      </c>
      <c r="AB31" s="1806">
        <f t="shared" si="4"/>
        <v>1</v>
      </c>
      <c r="AC31" s="1806">
        <f t="shared" si="5"/>
        <v>1</v>
      </c>
    </row>
    <row r="32" spans="1:29" ht="27">
      <c r="A32" s="426"/>
      <c r="B32" s="1380" t="s">
        <v>2675</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2</v>
      </c>
      <c r="L32" s="1138"/>
      <c r="M32" s="1129"/>
      <c r="N32" s="1129"/>
      <c r="O32" s="1137"/>
      <c r="P32" s="3290"/>
      <c r="Q32" s="1805" t="str">
        <f t="shared" si="8"/>
        <v>毗邻道路的类型与等级</v>
      </c>
      <c r="R32" s="770" t="s">
        <v>17</v>
      </c>
      <c r="S32" s="771">
        <f t="shared" si="10"/>
        <v>100</v>
      </c>
      <c r="T32" s="770" t="s">
        <v>17</v>
      </c>
      <c r="U32" s="771">
        <f t="shared" si="11"/>
        <v>100</v>
      </c>
      <c r="V32" s="770" t="s">
        <v>17</v>
      </c>
      <c r="W32" s="771">
        <f t="shared" si="12"/>
        <v>100</v>
      </c>
      <c r="X32" s="1808"/>
      <c r="Y32" s="3290"/>
      <c r="Z32" s="1809" t="str">
        <f t="shared" si="13"/>
        <v>毗邻道路的类型与等级</v>
      </c>
      <c r="AA32" s="1806">
        <f t="shared" si="3"/>
        <v>1</v>
      </c>
      <c r="AB32" s="1806">
        <f t="shared" si="4"/>
        <v>1</v>
      </c>
      <c r="AC32" s="1806">
        <f t="shared" si="5"/>
        <v>1</v>
      </c>
    </row>
    <row r="33" spans="1:29" ht="15">
      <c r="A33" s="426"/>
      <c r="B33" s="454"/>
      <c r="C33" s="445" t="s">
        <v>3435</v>
      </c>
      <c r="D33" s="446"/>
      <c r="E33" s="2598" t="s">
        <v>3435</v>
      </c>
      <c r="F33" s="446"/>
      <c r="G33" s="2598" t="s">
        <v>3435</v>
      </c>
      <c r="H33" s="446"/>
      <c r="I33" s="445" t="s">
        <v>3435</v>
      </c>
      <c r="J33" s="446"/>
      <c r="K33" s="611"/>
      <c r="L33" s="1138"/>
      <c r="M33" s="1129"/>
      <c r="N33" s="1129"/>
      <c r="O33" s="1137"/>
      <c r="P33" s="3290"/>
      <c r="Q33" s="1805"/>
      <c r="R33" s="770"/>
      <c r="S33" s="771"/>
      <c r="T33" s="770"/>
      <c r="U33" s="771"/>
      <c r="V33" s="770"/>
      <c r="W33" s="771"/>
      <c r="X33" s="1808"/>
      <c r="Y33" s="3290"/>
      <c r="Z33" s="1809"/>
      <c r="AA33" s="1806">
        <v>1</v>
      </c>
      <c r="AB33" s="1806">
        <v>1</v>
      </c>
      <c r="AC33" s="1806">
        <v>1</v>
      </c>
    </row>
    <row r="34" spans="1:29" ht="15">
      <c r="A34" s="426"/>
      <c r="B34" s="420" t="s">
        <v>2734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v>0</v>
      </c>
      <c r="L34" s="1138"/>
      <c r="M34" s="1129"/>
      <c r="N34" s="1129"/>
      <c r="O34" s="1137"/>
      <c r="P34" s="3290"/>
      <c r="Q34" s="1805" t="str">
        <f t="shared" si="8"/>
        <v>土地级别</v>
      </c>
      <c r="R34" s="770" t="s">
        <v>17</v>
      </c>
      <c r="S34" s="771">
        <f t="shared" si="10"/>
        <v>100</v>
      </c>
      <c r="T34" s="770" t="s">
        <v>17</v>
      </c>
      <c r="U34" s="771">
        <f t="shared" si="11"/>
        <v>100</v>
      </c>
      <c r="V34" s="770" t="s">
        <v>17</v>
      </c>
      <c r="W34" s="771">
        <f t="shared" si="12"/>
        <v>100</v>
      </c>
      <c r="X34" s="1808"/>
      <c r="Y34" s="3290"/>
      <c r="Z34" s="1809" t="str">
        <f t="shared" si="13"/>
        <v>土地级别</v>
      </c>
      <c r="AA34" s="1806">
        <f t="shared" si="3"/>
        <v>1</v>
      </c>
      <c r="AB34" s="1806">
        <f t="shared" si="4"/>
        <v>1</v>
      </c>
      <c r="AC34" s="1806">
        <f t="shared" si="5"/>
        <v>1</v>
      </c>
    </row>
    <row r="35" spans="1:29" ht="15">
      <c r="A35" s="402"/>
      <c r="B35" s="1382">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290"/>
      <c r="Q35" s="1805">
        <f t="shared" si="8"/>
        <v>111</v>
      </c>
      <c r="R35" s="770" t="s">
        <v>17</v>
      </c>
      <c r="S35" s="771">
        <f t="shared" si="10"/>
        <v>100</v>
      </c>
      <c r="T35" s="770" t="s">
        <v>17</v>
      </c>
      <c r="U35" s="771">
        <f t="shared" si="11"/>
        <v>100</v>
      </c>
      <c r="V35" s="770" t="s">
        <v>17</v>
      </c>
      <c r="W35" s="771">
        <f t="shared" si="12"/>
        <v>100</v>
      </c>
      <c r="X35" s="1808"/>
      <c r="Y35" s="3290"/>
      <c r="Z35" s="1809">
        <f t="shared" si="13"/>
        <v>111</v>
      </c>
      <c r="AA35" s="1806">
        <f t="shared" si="3"/>
        <v>1</v>
      </c>
      <c r="AB35" s="1806">
        <f t="shared" si="4"/>
        <v>1</v>
      </c>
      <c r="AC35" s="1806">
        <f t="shared" si="5"/>
        <v>1</v>
      </c>
    </row>
    <row r="36" spans="1:29" ht="15">
      <c r="A36" s="673"/>
      <c r="B36" s="1383">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291" t="s">
        <v>2549</v>
      </c>
      <c r="Q36" s="1805">
        <f t="shared" si="8"/>
        <v>111</v>
      </c>
      <c r="R36" s="770" t="s">
        <v>17</v>
      </c>
      <c r="S36" s="771">
        <f t="shared" si="10"/>
        <v>100</v>
      </c>
      <c r="T36" s="770" t="s">
        <v>17</v>
      </c>
      <c r="U36" s="771">
        <f t="shared" si="11"/>
        <v>100</v>
      </c>
      <c r="V36" s="770" t="s">
        <v>17</v>
      </c>
      <c r="W36" s="771">
        <f t="shared" si="12"/>
        <v>100</v>
      </c>
      <c r="X36" s="1808"/>
      <c r="Y36" s="3292" t="s">
        <v>2549</v>
      </c>
      <c r="Z36" s="1809">
        <f t="shared" si="13"/>
        <v>111</v>
      </c>
      <c r="AA36" s="1806">
        <f t="shared" si="3"/>
        <v>1</v>
      </c>
      <c r="AB36" s="1806">
        <f t="shared" si="4"/>
        <v>1</v>
      </c>
      <c r="AC36" s="1806">
        <f t="shared" si="5"/>
        <v>1</v>
      </c>
    </row>
    <row r="37" spans="1:29" s="469" customFormat="1" ht="15.75" thickBot="1">
      <c r="A37" s="674"/>
      <c r="B37" s="1384">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292"/>
      <c r="Q37" s="1805">
        <f t="shared" si="8"/>
        <v>111</v>
      </c>
      <c r="R37" s="773" t="s">
        <v>17</v>
      </c>
      <c r="S37" s="774">
        <f t="shared" si="10"/>
        <v>100</v>
      </c>
      <c r="T37" s="773" t="s">
        <v>17</v>
      </c>
      <c r="U37" s="774">
        <f t="shared" si="11"/>
        <v>100</v>
      </c>
      <c r="V37" s="773" t="s">
        <v>17</v>
      </c>
      <c r="W37" s="774">
        <f t="shared" si="12"/>
        <v>100</v>
      </c>
      <c r="X37" s="775"/>
      <c r="Y37" s="3292"/>
      <c r="Z37" s="776">
        <f t="shared" si="13"/>
        <v>111</v>
      </c>
      <c r="AA37" s="1806">
        <f t="shared" si="3"/>
        <v>1</v>
      </c>
      <c r="AB37" s="1806">
        <f t="shared" si="4"/>
        <v>1</v>
      </c>
      <c r="AC37" s="1806">
        <f t="shared" si="5"/>
        <v>1</v>
      </c>
    </row>
    <row r="38" spans="1:29" ht="15">
      <c r="A38" s="470" t="s">
        <v>2547</v>
      </c>
      <c r="B38" s="454" t="s">
        <v>2735</v>
      </c>
      <c r="C38" s="677">
        <f>'数据-基础表'!A3</f>
        <v>123801</v>
      </c>
      <c r="D38" s="465">
        <v>100</v>
      </c>
      <c r="E38" s="677">
        <f>Sheet4!D7</f>
        <v>8484</v>
      </c>
      <c r="F38" s="465">
        <f>LOOKUP(E38,117:117,118:118)-LOOKUP(C38,117:117,118:118)+100</f>
        <v>98</v>
      </c>
      <c r="G38" s="677">
        <f>Sheet4!D10</f>
        <v>10961</v>
      </c>
      <c r="H38" s="465">
        <f>LOOKUP(G38,117:117,118:118)-LOOKUP(C38,117:117,118:118)+100</f>
        <v>98</v>
      </c>
      <c r="I38" s="528">
        <f>Sheet4!D13</f>
        <v>63085</v>
      </c>
      <c r="J38" s="465">
        <f>LOOKUP(I38,117:117,118:118)-LOOKUP(C38,117:117,118:118)+100</f>
        <v>99</v>
      </c>
      <c r="K38" s="611"/>
      <c r="L38" s="1138"/>
      <c r="M38" s="1129"/>
      <c r="N38" s="1129"/>
      <c r="O38" s="1137"/>
      <c r="P38" s="3292"/>
      <c r="Q38" s="1805" t="str">
        <f>B38</f>
        <v>宗地面积</v>
      </c>
      <c r="R38" s="770" t="s">
        <v>17</v>
      </c>
      <c r="S38" s="771">
        <f t="shared" si="10"/>
        <v>98</v>
      </c>
      <c r="T38" s="770" t="s">
        <v>17</v>
      </c>
      <c r="U38" s="771">
        <f t="shared" si="11"/>
        <v>98</v>
      </c>
      <c r="V38" s="770" t="s">
        <v>17</v>
      </c>
      <c r="W38" s="771">
        <f t="shared" si="12"/>
        <v>99</v>
      </c>
      <c r="X38" s="1808"/>
      <c r="Y38" s="3292"/>
      <c r="Z38" s="1809" t="str">
        <f t="shared" si="13"/>
        <v>宗地面积</v>
      </c>
      <c r="AA38" s="1806">
        <f t="shared" si="3"/>
        <v>1.0204081632653061</v>
      </c>
      <c r="AB38" s="1806">
        <f t="shared" si="4"/>
        <v>1.0204081632653061</v>
      </c>
      <c r="AC38" s="1806">
        <f t="shared" si="5"/>
        <v>1.0101010101010102</v>
      </c>
    </row>
    <row r="39" spans="1:29" ht="15">
      <c r="A39" s="470"/>
      <c r="B39" s="420" t="s">
        <v>2736</v>
      </c>
      <c r="C39" s="2600" t="s">
        <v>3436</v>
      </c>
      <c r="D39" s="433">
        <v>100</v>
      </c>
      <c r="E39" s="2600" t="s">
        <v>3436</v>
      </c>
      <c r="F39" s="433">
        <f>SUMIF(119:119,E39,120:120)-SUMIF(119:119,C39,120:120)+100</f>
        <v>100</v>
      </c>
      <c r="G39" s="2600" t="s">
        <v>3436</v>
      </c>
      <c r="H39" s="433">
        <f>SUMIF(119:119,G39,120:120)-SUMIF(119:119,C39,120:120)+100</f>
        <v>100</v>
      </c>
      <c r="I39" s="2600" t="s">
        <v>3436</v>
      </c>
      <c r="J39" s="433">
        <f>SUMIF(119:119,I39,120:120)-SUMIF(119:119,C39,120:120)+100</f>
        <v>100</v>
      </c>
      <c r="K39" s="610">
        <v>2</v>
      </c>
      <c r="L39" s="1138"/>
      <c r="M39" s="1129"/>
      <c r="N39" s="1129"/>
      <c r="O39" s="1137"/>
      <c r="P39" s="3292"/>
      <c r="Q39" s="1805" t="str">
        <f t="shared" ref="Q39:Q45" si="14">B39</f>
        <v>宗地形状</v>
      </c>
      <c r="R39" s="770" t="s">
        <v>17</v>
      </c>
      <c r="S39" s="771">
        <f t="shared" si="10"/>
        <v>100</v>
      </c>
      <c r="T39" s="770" t="s">
        <v>17</v>
      </c>
      <c r="U39" s="771">
        <f t="shared" si="11"/>
        <v>100</v>
      </c>
      <c r="V39" s="770" t="s">
        <v>17</v>
      </c>
      <c r="W39" s="771">
        <f t="shared" si="12"/>
        <v>100</v>
      </c>
      <c r="X39" s="1808"/>
      <c r="Y39" s="3292"/>
      <c r="Z39" s="1809" t="str">
        <f t="shared" si="13"/>
        <v>宗地形状</v>
      </c>
      <c r="AA39" s="1806">
        <f t="shared" si="3"/>
        <v>1</v>
      </c>
      <c r="AB39" s="1806">
        <f t="shared" si="4"/>
        <v>1</v>
      </c>
      <c r="AC39" s="1806">
        <f t="shared" si="5"/>
        <v>1</v>
      </c>
    </row>
    <row r="40" spans="1:29" ht="15">
      <c r="A40" s="470"/>
      <c r="B40" s="420" t="s">
        <v>2737</v>
      </c>
      <c r="C40" s="2600"/>
      <c r="D40" s="433">
        <v>100</v>
      </c>
      <c r="E40" s="2600"/>
      <c r="F40" s="433">
        <f>SUMIF(121:121,E40,122:122)-SUMIF(121:121,C40,122:122)+100</f>
        <v>100</v>
      </c>
      <c r="G40" s="2600"/>
      <c r="H40" s="433">
        <f>SUMIF(121:121,G40,122:122)-SUMIF(121:121,C40,122:122)+100</f>
        <v>100</v>
      </c>
      <c r="I40" s="2600"/>
      <c r="J40" s="433">
        <f>SUMIF(121:121,I40,122:122)-SUMIF(121:121,C40,122:122)+100</f>
        <v>100</v>
      </c>
      <c r="K40" s="610">
        <v>2</v>
      </c>
      <c r="L40" s="1138"/>
      <c r="M40" s="1129"/>
      <c r="N40" s="1129"/>
      <c r="O40" s="1137"/>
      <c r="P40" s="3292"/>
      <c r="Q40" s="1805" t="str">
        <f t="shared" si="14"/>
        <v>临街宽度及深度</v>
      </c>
      <c r="R40" s="770" t="s">
        <v>17</v>
      </c>
      <c r="S40" s="771">
        <f t="shared" si="10"/>
        <v>100</v>
      </c>
      <c r="T40" s="770" t="s">
        <v>17</v>
      </c>
      <c r="U40" s="771">
        <f t="shared" si="11"/>
        <v>100</v>
      </c>
      <c r="V40" s="770" t="s">
        <v>17</v>
      </c>
      <c r="W40" s="771">
        <f t="shared" si="12"/>
        <v>100</v>
      </c>
      <c r="X40" s="1808"/>
      <c r="Y40" s="3292"/>
      <c r="Z40" s="1809" t="str">
        <f t="shared" si="13"/>
        <v>临街宽度及深度</v>
      </c>
      <c r="AA40" s="1806">
        <f t="shared" si="3"/>
        <v>1</v>
      </c>
      <c r="AB40" s="1806">
        <f t="shared" si="4"/>
        <v>1</v>
      </c>
      <c r="AC40" s="1806">
        <f t="shared" si="5"/>
        <v>1</v>
      </c>
    </row>
    <row r="41" spans="1:29" s="116" customFormat="1" ht="15">
      <c r="A41" s="471"/>
      <c r="B41" s="420" t="s">
        <v>2738</v>
      </c>
      <c r="C41" s="2689" t="s">
        <v>3052</v>
      </c>
      <c r="D41" s="134">
        <v>100</v>
      </c>
      <c r="E41" s="2689" t="s">
        <v>3437</v>
      </c>
      <c r="F41" s="433">
        <f>SUMIF(123:123,E41,124:124)-SUMIF(123:123,C41,124:124)+100</f>
        <v>96</v>
      </c>
      <c r="G41" s="2689" t="s">
        <v>3437</v>
      </c>
      <c r="H41" s="433">
        <f>SUMIF(123:123,G41,124:124)-SUMIF(123:123,C41,124:124)+100</f>
        <v>96</v>
      </c>
      <c r="I41" s="2689" t="s">
        <v>3437</v>
      </c>
      <c r="J41" s="433">
        <f>SUMIF(123:123,I41,124:124)-SUMIF(123:123,C41,124:124)+100</f>
        <v>96</v>
      </c>
      <c r="K41" s="3063">
        <v>1</v>
      </c>
      <c r="L41" s="1130"/>
      <c r="M41" s="1131"/>
      <c r="N41" s="1131"/>
      <c r="O41" s="1132"/>
      <c r="P41" s="3292"/>
      <c r="Q41" s="1805" t="str">
        <f t="shared" si="14"/>
        <v>宗地开发程度</v>
      </c>
      <c r="R41" s="766" t="s">
        <v>17</v>
      </c>
      <c r="S41" s="767">
        <f t="shared" si="10"/>
        <v>96</v>
      </c>
      <c r="T41" s="766" t="s">
        <v>17</v>
      </c>
      <c r="U41" s="767">
        <f t="shared" si="11"/>
        <v>96</v>
      </c>
      <c r="V41" s="766" t="s">
        <v>17</v>
      </c>
      <c r="W41" s="767">
        <f t="shared" si="12"/>
        <v>96</v>
      </c>
      <c r="X41" s="768"/>
      <c r="Y41" s="3292"/>
      <c r="Z41" s="55" t="str">
        <f t="shared" si="13"/>
        <v>宗地开发程度</v>
      </c>
      <c r="AA41" s="769">
        <f t="shared" si="3"/>
        <v>1.0416666666666667</v>
      </c>
      <c r="AB41" s="769">
        <f t="shared" si="4"/>
        <v>1.0416666666666667</v>
      </c>
      <c r="AC41" s="769">
        <f t="shared" si="5"/>
        <v>1.0416666666666667</v>
      </c>
    </row>
    <row r="42" spans="1:29" ht="15">
      <c r="A42" s="470"/>
      <c r="B42" s="420" t="s">
        <v>2739</v>
      </c>
      <c r="C42" s="2600" t="s">
        <v>3055</v>
      </c>
      <c r="D42" s="433">
        <v>100</v>
      </c>
      <c r="E42" s="2600" t="s">
        <v>3055</v>
      </c>
      <c r="F42" s="433">
        <f>SUMIF(125:125,E42,126:126)-SUMIF(125:125,C42,126:126)+100</f>
        <v>100</v>
      </c>
      <c r="G42" s="2600" t="s">
        <v>3055</v>
      </c>
      <c r="H42" s="433">
        <f>SUMIF(125:125,G42,126:126)-SUMIF(125:125,C42,126:126)+100</f>
        <v>100</v>
      </c>
      <c r="I42" s="2600" t="s">
        <v>3055</v>
      </c>
      <c r="J42" s="433">
        <f>SUMIF(125:125,I42,126:126)-SUMIF(125:125,C42,126:126)+100</f>
        <v>100</v>
      </c>
      <c r="K42" s="610">
        <v>2</v>
      </c>
      <c r="L42" s="1138"/>
      <c r="M42" s="1129"/>
      <c r="N42" s="1129"/>
      <c r="O42" s="1137"/>
      <c r="P42" s="3292" t="s">
        <v>2549</v>
      </c>
      <c r="Q42" s="1805" t="str">
        <f t="shared" si="14"/>
        <v>工程地质条件</v>
      </c>
      <c r="R42" s="770" t="s">
        <v>17</v>
      </c>
      <c r="S42" s="771">
        <f t="shared" si="10"/>
        <v>100</v>
      </c>
      <c r="T42" s="770" t="s">
        <v>17</v>
      </c>
      <c r="U42" s="771">
        <f t="shared" si="11"/>
        <v>100</v>
      </c>
      <c r="V42" s="770" t="s">
        <v>17</v>
      </c>
      <c r="W42" s="771">
        <f t="shared" si="12"/>
        <v>100</v>
      </c>
      <c r="X42" s="1808"/>
      <c r="Y42" s="3292" t="s">
        <v>2549</v>
      </c>
      <c r="Z42" s="1809" t="str">
        <f t="shared" si="13"/>
        <v>工程地质条件</v>
      </c>
      <c r="AA42" s="1806">
        <f t="shared" si="3"/>
        <v>1</v>
      </c>
      <c r="AB42" s="1806">
        <f t="shared" si="4"/>
        <v>1</v>
      </c>
      <c r="AC42" s="1806">
        <f t="shared" si="5"/>
        <v>1</v>
      </c>
    </row>
    <row r="43" spans="1:29" ht="15">
      <c r="A43" s="470"/>
      <c r="B43" s="1383">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8"/>
      <c r="M43" s="1129"/>
      <c r="N43" s="1129"/>
      <c r="O43" s="1137"/>
      <c r="P43" s="3292"/>
      <c r="Q43" s="1805">
        <f t="shared" si="14"/>
        <v>111</v>
      </c>
      <c r="R43" s="770" t="s">
        <v>17</v>
      </c>
      <c r="S43" s="771">
        <f t="shared" si="10"/>
        <v>100</v>
      </c>
      <c r="T43" s="770" t="s">
        <v>17</v>
      </c>
      <c r="U43" s="771">
        <f t="shared" si="11"/>
        <v>100</v>
      </c>
      <c r="V43" s="770" t="s">
        <v>17</v>
      </c>
      <c r="W43" s="771">
        <f t="shared" si="12"/>
        <v>100</v>
      </c>
      <c r="X43" s="1808"/>
      <c r="Y43" s="3292"/>
      <c r="Z43" s="1809">
        <f t="shared" si="13"/>
        <v>111</v>
      </c>
      <c r="AA43" s="1806">
        <f t="shared" si="3"/>
        <v>1</v>
      </c>
      <c r="AB43" s="1806">
        <f t="shared" si="4"/>
        <v>1</v>
      </c>
      <c r="AC43" s="1806">
        <f t="shared" si="5"/>
        <v>1</v>
      </c>
    </row>
    <row r="44" spans="1:29" ht="15">
      <c r="A44" s="470"/>
      <c r="B44" s="1383">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292"/>
      <c r="Q44" s="1805">
        <f t="shared" si="14"/>
        <v>111</v>
      </c>
      <c r="R44" s="770" t="s">
        <v>17</v>
      </c>
      <c r="S44" s="771">
        <f t="shared" si="10"/>
        <v>100</v>
      </c>
      <c r="T44" s="770" t="s">
        <v>17</v>
      </c>
      <c r="U44" s="771">
        <f t="shared" si="11"/>
        <v>100</v>
      </c>
      <c r="V44" s="770" t="s">
        <v>17</v>
      </c>
      <c r="W44" s="771">
        <f t="shared" si="12"/>
        <v>100</v>
      </c>
      <c r="X44" s="1808"/>
      <c r="Y44" s="3292"/>
      <c r="Z44" s="1809">
        <f t="shared" si="13"/>
        <v>111</v>
      </c>
      <c r="AA44" s="1806">
        <f t="shared" si="3"/>
        <v>1</v>
      </c>
      <c r="AB44" s="1806">
        <f t="shared" si="4"/>
        <v>1</v>
      </c>
      <c r="AC44" s="1806">
        <f t="shared" si="5"/>
        <v>1</v>
      </c>
    </row>
    <row r="45" spans="1:29" s="469" customFormat="1" ht="15.75" thickBot="1">
      <c r="A45" s="466"/>
      <c r="B45" s="1383">
        <v>111</v>
      </c>
      <c r="C45" s="2690"/>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292"/>
      <c r="Q45" s="1805">
        <f t="shared" si="14"/>
        <v>111</v>
      </c>
      <c r="R45" s="773" t="s">
        <v>17</v>
      </c>
      <c r="S45" s="774">
        <f t="shared" si="10"/>
        <v>100</v>
      </c>
      <c r="T45" s="773" t="s">
        <v>17</v>
      </c>
      <c r="U45" s="774">
        <f t="shared" si="11"/>
        <v>100</v>
      </c>
      <c r="V45" s="773" t="s">
        <v>17</v>
      </c>
      <c r="W45" s="774">
        <f t="shared" si="12"/>
        <v>100</v>
      </c>
      <c r="X45" s="775"/>
      <c r="Y45" s="3292"/>
      <c r="Z45" s="776">
        <f t="shared" si="13"/>
        <v>111</v>
      </c>
      <c r="AA45" s="1806">
        <f t="shared" si="3"/>
        <v>1</v>
      </c>
      <c r="AB45" s="1806">
        <f t="shared" si="4"/>
        <v>1</v>
      </c>
      <c r="AC45" s="1806">
        <f t="shared" si="5"/>
        <v>1</v>
      </c>
    </row>
    <row r="46" spans="1:29" ht="15">
      <c r="A46" s="477" t="s">
        <v>2704</v>
      </c>
      <c r="B46" s="2691" t="s">
        <v>2740</v>
      </c>
      <c r="C46" s="680" t="s">
        <v>1</v>
      </c>
      <c r="D46" s="479"/>
      <c r="E46" s="480">
        <f>ROUND(Sheet4!K7,0)</f>
        <v>2215</v>
      </c>
      <c r="F46" s="481"/>
      <c r="G46" s="480">
        <f>ROUND(Sheet4!K10,0)</f>
        <v>2857</v>
      </c>
      <c r="H46" s="483"/>
      <c r="I46" s="480">
        <f>ROUND(Sheet4!K13,0)</f>
        <v>2438</v>
      </c>
      <c r="J46" s="483"/>
      <c r="K46" s="779"/>
      <c r="L46" s="1141"/>
      <c r="M46" s="1142"/>
      <c r="N46" s="1129"/>
      <c r="O46" s="1142"/>
      <c r="P46" s="3274" t="str">
        <f>A46</f>
        <v>成交单价</v>
      </c>
      <c r="Q46" s="3274"/>
      <c r="R46" s="3287">
        <f>E46</f>
        <v>2215</v>
      </c>
      <c r="S46" s="3287"/>
      <c r="T46" s="3287">
        <f>G46</f>
        <v>2857</v>
      </c>
      <c r="U46" s="3287"/>
      <c r="V46" s="3287">
        <f>I46</f>
        <v>2438</v>
      </c>
      <c r="W46" s="3287"/>
      <c r="X46" s="755"/>
      <c r="Y46" s="777"/>
      <c r="Z46" s="755"/>
      <c r="AA46" s="755"/>
      <c r="AB46" s="755"/>
      <c r="AC46" s="755"/>
    </row>
    <row r="47" spans="1:29" ht="15.75" thickBot="1">
      <c r="A47" s="484" t="s">
        <v>2653</v>
      </c>
      <c r="B47" s="681"/>
      <c r="C47" s="488">
        <f>R48</f>
        <v>2628</v>
      </c>
      <c r="D47" s="487"/>
      <c r="E47" s="488">
        <f>R47</f>
        <v>2419</v>
      </c>
      <c r="F47" s="489"/>
      <c r="G47" s="486">
        <f>T47</f>
        <v>2955</v>
      </c>
      <c r="H47" s="487"/>
      <c r="I47" s="488">
        <f>V47</f>
        <v>2510</v>
      </c>
      <c r="J47" s="487"/>
      <c r="K47" s="780"/>
      <c r="L47" s="1141"/>
      <c r="M47" s="1142"/>
      <c r="N47" s="1142"/>
      <c r="O47" s="1142"/>
      <c r="P47" s="3274" t="str">
        <f>A47</f>
        <v>比较价值（元/平方米）</v>
      </c>
      <c r="Q47" s="3274"/>
      <c r="R47" s="3293">
        <f>ROUND(PRODUCT(R46,AA7:AA45),0)</f>
        <v>2419</v>
      </c>
      <c r="S47" s="3293"/>
      <c r="T47" s="3293">
        <f>ROUND(PRODUCT(T46,AB7:AB45),0)</f>
        <v>2955</v>
      </c>
      <c r="U47" s="3293"/>
      <c r="V47" s="3293">
        <f>ROUND(PRODUCT(V46,AC7:AC45),0)</f>
        <v>2510</v>
      </c>
      <c r="W47" s="3293"/>
      <c r="X47" s="755"/>
      <c r="Y47" s="755"/>
      <c r="Z47" s="755"/>
      <c r="AA47" s="755"/>
      <c r="AB47" s="755"/>
      <c r="AC47" s="755"/>
    </row>
    <row r="48" spans="1:29" ht="15.75" thickBot="1">
      <c r="A48" s="490" t="s">
        <v>2741</v>
      </c>
      <c r="B48" s="491"/>
      <c r="C48" s="492">
        <f>R48</f>
        <v>2628</v>
      </c>
      <c r="D48" s="492"/>
      <c r="E48" s="492"/>
      <c r="F48" s="492"/>
      <c r="G48" s="492"/>
      <c r="H48" s="492"/>
      <c r="I48" s="492"/>
      <c r="J48" s="492"/>
      <c r="K48" s="781"/>
      <c r="L48" s="1141"/>
      <c r="M48" s="1142"/>
      <c r="N48" s="1142"/>
      <c r="O48" s="1142"/>
      <c r="P48" s="3294" t="str">
        <f>A48</f>
        <v>估价对象XX用房的比较价值（楼面单价，元/平方米）</v>
      </c>
      <c r="Q48" s="3295"/>
      <c r="R48" s="3296">
        <f>ROUND(AVERAGE(R47:V47),0)</f>
        <v>2628</v>
      </c>
      <c r="S48" s="3296"/>
      <c r="T48" s="3296"/>
      <c r="U48" s="3296"/>
      <c r="V48" s="3296"/>
      <c r="W48" s="3296"/>
      <c r="X48" s="755"/>
      <c r="Y48" s="755"/>
      <c r="Z48" s="755"/>
      <c r="AA48" s="755"/>
      <c r="AB48" s="755"/>
      <c r="AC48" s="755"/>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2655</v>
      </c>
      <c r="D51" s="496"/>
      <c r="E51" s="497">
        <f>IF(E46&lt;E47,E47/E46-1,E46/E47-1)</f>
        <v>9.2099322799097161E-2</v>
      </c>
      <c r="F51" s="498" t="str">
        <f>IF(OR(E51&gt;=0.3,E51&lt;=-0.3),"超过30%","")</f>
        <v/>
      </c>
      <c r="G51" s="497">
        <f>IF(G46&lt;G47,G47/G46-1,G46/G47-1)</f>
        <v>3.4301715085754303E-2</v>
      </c>
      <c r="H51" s="498" t="str">
        <f>IF(OR(G51&gt;=0.3,G51&lt;=-0.3),"超过30%","")</f>
        <v/>
      </c>
      <c r="I51" s="497">
        <f>IF(I46&lt;I47,I47/I46-1,I46/I47-1)</f>
        <v>2.9532403609515923E-2</v>
      </c>
      <c r="J51" s="498" t="str">
        <f>IF(OR(I51&gt;=0.3,I51&lt;=-0.3),"超过30%","")</f>
        <v/>
      </c>
      <c r="K51" s="1103"/>
      <c r="L51" s="1104"/>
      <c r="M51" s="1142"/>
      <c r="N51" s="1142"/>
      <c r="O51" s="1142"/>
    </row>
    <row r="52" spans="1:15" ht="13.5" customHeight="1">
      <c r="A52" s="1142"/>
      <c r="B52" s="1142"/>
      <c r="C52" s="495" t="s">
        <v>2656</v>
      </c>
      <c r="D52" s="499"/>
      <c r="E52" s="497">
        <f>IF(E47&lt;G47,G47/E47-1,E47/G47-1)</f>
        <v>0.22157916494419183</v>
      </c>
      <c r="F52" s="498" t="str">
        <f>IF(OR(E52&gt;=0.2,E52&lt;=-0.2),"超过20%","")</f>
        <v>超过20%</v>
      </c>
      <c r="G52" s="497">
        <f>IF(G47&lt;I47,I47/G47-1,G47/I47-1)</f>
        <v>0.17729083665338652</v>
      </c>
      <c r="H52" s="498" t="str">
        <f>IF(OR(G52&gt;=0.2,G52&lt;=-0.2),"超过20%","")</f>
        <v/>
      </c>
      <c r="I52" s="497">
        <f>IF(I47&lt;E47,E47/I47-1,I47/E47-1)</f>
        <v>3.7618850764778777E-2</v>
      </c>
      <c r="J52" s="498" t="str">
        <f>IF(OR(I52&gt;=0.2,I52&lt;=-0.2),"超过20%","")</f>
        <v/>
      </c>
      <c r="K52" s="1103"/>
      <c r="L52" s="1104"/>
      <c r="M52" s="1142"/>
      <c r="N52" s="1142"/>
      <c r="O52" s="1142"/>
    </row>
    <row r="53" spans="1:15" s="500" customFormat="1" ht="13.5" customHeight="1">
      <c r="A53" s="1143"/>
      <c r="B53" s="1143"/>
      <c r="C53" s="495" t="s">
        <v>2657</v>
      </c>
      <c r="D53" s="499"/>
      <c r="E53" s="497">
        <f>IF(E46&lt;G46,G46/E46-1,E46/G46-1)</f>
        <v>0.28984198645598203</v>
      </c>
      <c r="F53" s="498" t="str">
        <f>IF(OR(E53&gt;=0.3,E53&lt;=-0.3),"超过30%","")</f>
        <v/>
      </c>
      <c r="G53" s="497">
        <f>IF(G46&lt;I46,I46/G46-1,G46/I46-1)</f>
        <v>0.17186218211648896</v>
      </c>
      <c r="H53" s="498" t="str">
        <f>IF(OR(G53&gt;=0.3,G53&lt;=-0.3),"超过30%","")</f>
        <v/>
      </c>
      <c r="I53" s="497">
        <f>IF(I46&lt;E46,E46/I46-1,I46/E46-1)</f>
        <v>0.10067720090293464</v>
      </c>
      <c r="J53" s="498" t="str">
        <f>IF(OR(I53&gt;=0.3,I53&lt;=-0.3),"超过30%","")</f>
        <v/>
      </c>
      <c r="K53" s="1146"/>
      <c r="L53" s="1147"/>
      <c r="M53" s="1143"/>
      <c r="N53" s="1143"/>
      <c r="O53" s="1143"/>
    </row>
    <row r="54" spans="1:15" s="500" customFormat="1" ht="15" thickBot="1">
      <c r="A54" s="1143"/>
      <c r="B54" s="1144"/>
      <c r="C54" s="758"/>
      <c r="D54" s="756"/>
      <c r="E54" s="756"/>
      <c r="F54" s="756"/>
      <c r="G54" s="756"/>
      <c r="H54" s="756"/>
      <c r="I54" s="756"/>
      <c r="J54" s="756"/>
      <c r="K54" s="1146"/>
      <c r="L54" s="1147"/>
      <c r="M54" s="1143"/>
      <c r="N54" s="1143"/>
      <c r="O54" s="1143"/>
    </row>
    <row r="55" spans="1:15" ht="27" customHeight="1">
      <c r="A55" s="682" t="s">
        <v>2742</v>
      </c>
      <c r="B55" s="683" t="s">
        <v>2743</v>
      </c>
      <c r="C55" s="2692" t="s">
        <v>3529</v>
      </c>
      <c r="D55" s="2693" t="s">
        <v>2745</v>
      </c>
      <c r="E55" s="684" t="s">
        <v>2746</v>
      </c>
      <c r="F55" s="1105" t="s">
        <v>2747</v>
      </c>
      <c r="G55" s="3275" t="s">
        <v>2748</v>
      </c>
      <c r="H55" s="3297"/>
      <c r="I55" s="142" t="s">
        <v>2749</v>
      </c>
      <c r="J55" s="2694" t="str">
        <f>项目基本情况!F35</f>
        <v>山东省</v>
      </c>
      <c r="K55" s="2695" t="s">
        <v>2750</v>
      </c>
      <c r="L55" s="1104"/>
      <c r="M55" s="1142"/>
      <c r="N55" s="1142"/>
      <c r="O55" s="1142"/>
    </row>
    <row r="56" spans="1:15" s="690" customFormat="1">
      <c r="A56" s="686" t="s">
        <v>2751</v>
      </c>
      <c r="B56" s="687">
        <f>C48</f>
        <v>2628</v>
      </c>
      <c r="C56" s="688">
        <v>1</v>
      </c>
      <c r="D56" s="1161">
        <v>1</v>
      </c>
      <c r="E56" s="688">
        <f>'数据-汇总表'!E8+'数据-汇总表'!E9</f>
        <v>46364.71</v>
      </c>
      <c r="F56" s="1101">
        <f t="shared" ref="F56:F65" si="15">ROUND(B56*E56/10000,0)</f>
        <v>12185</v>
      </c>
      <c r="G56" s="3298"/>
      <c r="H56" s="3274"/>
      <c r="I56" s="1106">
        <v>1</v>
      </c>
      <c r="J56" s="1109">
        <v>1</v>
      </c>
      <c r="K56" s="1143"/>
      <c r="L56" s="939"/>
      <c r="M56" s="939"/>
      <c r="N56" s="939"/>
      <c r="O56" s="939"/>
    </row>
    <row r="57" spans="1:15" s="690" customFormat="1">
      <c r="A57" s="691" t="s">
        <v>2752</v>
      </c>
      <c r="B57" s="260">
        <f>ROUND($C$48*C57*D57,0)</f>
        <v>0</v>
      </c>
      <c r="C57" s="198">
        <f t="shared" ref="C57:C65" si="16">IF($C$55="北京市系数",I57,J57)</f>
        <v>0</v>
      </c>
      <c r="D57" s="1162">
        <v>0.25</v>
      </c>
      <c r="E57" s="692"/>
      <c r="F57" s="1101">
        <f t="shared" si="15"/>
        <v>0</v>
      </c>
      <c r="G57" s="3299" t="s">
        <v>2753</v>
      </c>
      <c r="H57" s="1102">
        <f>项目基本情况!B37</f>
        <v>0</v>
      </c>
      <c r="I57" s="1106">
        <f>SUMIF(修正!A45:A56,H57,修正!B45:B56)</f>
        <v>0</v>
      </c>
      <c r="J57" s="1110"/>
      <c r="K57" s="1142"/>
      <c r="L57" s="939"/>
      <c r="M57" s="939"/>
      <c r="N57" s="939"/>
      <c r="O57" s="939"/>
    </row>
    <row r="58" spans="1:15" s="690" customFormat="1">
      <c r="A58" s="691" t="s">
        <v>2754</v>
      </c>
      <c r="B58" s="260">
        <f t="shared" ref="B58:B65" si="17">ROUND($C$48*C58*D58,0)</f>
        <v>0</v>
      </c>
      <c r="C58" s="198">
        <f t="shared" si="16"/>
        <v>0</v>
      </c>
      <c r="D58" s="1162">
        <v>0.25</v>
      </c>
      <c r="E58" s="692"/>
      <c r="F58" s="1101">
        <f t="shared" si="15"/>
        <v>0</v>
      </c>
      <c r="G58" s="3299"/>
      <c r="H58" s="1102">
        <f>项目基本情况!B37</f>
        <v>0</v>
      </c>
      <c r="I58" s="1106">
        <f>SUMIF(修正!A45:A56,H58,修正!C45:C56)</f>
        <v>0</v>
      </c>
      <c r="J58" s="1110"/>
      <c r="K58" s="1143"/>
      <c r="L58" s="939"/>
      <c r="M58" s="939"/>
      <c r="N58" s="939"/>
      <c r="O58" s="939"/>
    </row>
    <row r="59" spans="1:15" s="690" customFormat="1">
      <c r="A59" s="691" t="s">
        <v>2755</v>
      </c>
      <c r="B59" s="260">
        <f t="shared" si="17"/>
        <v>0</v>
      </c>
      <c r="C59" s="198">
        <f t="shared" si="16"/>
        <v>0</v>
      </c>
      <c r="D59" s="1162">
        <v>0.25</v>
      </c>
      <c r="E59" s="692"/>
      <c r="F59" s="1101">
        <f t="shared" si="15"/>
        <v>0</v>
      </c>
      <c r="G59" s="3299"/>
      <c r="H59" s="1102">
        <f>项目基本情况!B37</f>
        <v>0</v>
      </c>
      <c r="I59" s="1106">
        <f>SUMIF(修正!A45:A56,H59,修正!D45:D56)</f>
        <v>0</v>
      </c>
      <c r="J59" s="1110"/>
      <c r="K59" s="1142"/>
      <c r="L59" s="939"/>
      <c r="M59" s="939"/>
      <c r="N59" s="939"/>
      <c r="O59" s="939"/>
    </row>
    <row r="60" spans="1:15" s="690" customFormat="1">
      <c r="A60" s="691" t="s">
        <v>2756</v>
      </c>
      <c r="B60" s="260">
        <f t="shared" si="17"/>
        <v>0</v>
      </c>
      <c r="C60" s="198">
        <f t="shared" si="16"/>
        <v>0</v>
      </c>
      <c r="D60" s="1162">
        <v>0.25</v>
      </c>
      <c r="E60" s="692"/>
      <c r="F60" s="1101">
        <f t="shared" si="15"/>
        <v>0</v>
      </c>
      <c r="G60" s="3299"/>
      <c r="H60" s="1102">
        <f>项目基本情况!B37</f>
        <v>0</v>
      </c>
      <c r="I60" s="1106">
        <f>SUMIF(修正!A45:A56,H60,修正!E45:E56)</f>
        <v>0</v>
      </c>
      <c r="J60" s="1110"/>
      <c r="K60" s="1143"/>
      <c r="L60" s="939"/>
      <c r="M60" s="939"/>
      <c r="N60" s="939"/>
      <c r="O60" s="939"/>
    </row>
    <row r="61" spans="1:15" s="690" customFormat="1">
      <c r="A61" s="691" t="s">
        <v>2757</v>
      </c>
      <c r="B61" s="260">
        <f t="shared" si="17"/>
        <v>0</v>
      </c>
      <c r="C61" s="198">
        <f t="shared" si="16"/>
        <v>0</v>
      </c>
      <c r="D61" s="1162">
        <v>0.25</v>
      </c>
      <c r="E61" s="259">
        <f>'数据-汇总表'!E11</f>
        <v>604.78</v>
      </c>
      <c r="F61" s="1101">
        <f t="shared" si="15"/>
        <v>0</v>
      </c>
      <c r="G61" s="2696" t="s">
        <v>2758</v>
      </c>
      <c r="H61" s="1102">
        <f>项目基本情况!C37</f>
        <v>0</v>
      </c>
      <c r="I61" s="1106">
        <f>SUMIF(修正!A45:A56,H61,修正!F45:F56)</f>
        <v>0</v>
      </c>
      <c r="J61" s="1110"/>
      <c r="K61" s="1142"/>
      <c r="L61" s="939"/>
      <c r="M61" s="939"/>
      <c r="N61" s="939"/>
      <c r="O61" s="939"/>
    </row>
    <row r="62" spans="1:15" s="690" customFormat="1">
      <c r="A62" s="691" t="s">
        <v>2759</v>
      </c>
      <c r="B62" s="260">
        <f t="shared" si="17"/>
        <v>0</v>
      </c>
      <c r="C62" s="198">
        <f t="shared" si="16"/>
        <v>0</v>
      </c>
      <c r="D62" s="1162">
        <v>0.25</v>
      </c>
      <c r="E62" s="259">
        <f>'数据-汇总表'!E12</f>
        <v>4738.6399999999994</v>
      </c>
      <c r="F62" s="1101">
        <f t="shared" si="15"/>
        <v>0</v>
      </c>
      <c r="G62" s="1107" t="s">
        <v>2760</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2761</v>
      </c>
      <c r="B63" s="260">
        <f t="shared" si="17"/>
        <v>0</v>
      </c>
      <c r="C63" s="198">
        <f t="shared" si="16"/>
        <v>0</v>
      </c>
      <c r="D63" s="1162">
        <v>0.25</v>
      </c>
      <c r="E63" s="259">
        <f>'数据-汇总表'!E13</f>
        <v>9302.4</v>
      </c>
      <c r="F63" s="1101">
        <f t="shared" si="15"/>
        <v>0</v>
      </c>
      <c r="G63" s="1107" t="s">
        <v>2762</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2763</v>
      </c>
      <c r="B64" s="260">
        <f t="shared" si="17"/>
        <v>0</v>
      </c>
      <c r="C64" s="198">
        <f t="shared" si="16"/>
        <v>0</v>
      </c>
      <c r="D64" s="1162">
        <v>0.25</v>
      </c>
      <c r="E64" s="259">
        <f>'数据-汇总表'!E14</f>
        <v>0</v>
      </c>
      <c r="F64" s="1101">
        <f t="shared" si="15"/>
        <v>0</v>
      </c>
      <c r="G64" s="2696" t="s">
        <v>2753</v>
      </c>
      <c r="H64" s="1102">
        <f>项目基本情况!B37</f>
        <v>0</v>
      </c>
      <c r="I64" s="1106">
        <f>SUMIF(修正!A45:A56,H64,修正!H45:H56)</f>
        <v>0</v>
      </c>
      <c r="J64" s="1110"/>
      <c r="K64" s="1143"/>
      <c r="L64" s="939"/>
      <c r="M64" s="939"/>
      <c r="N64" s="939"/>
      <c r="O64" s="939"/>
    </row>
    <row r="65" spans="1:17" s="690" customFormat="1" ht="15" thickBot="1">
      <c r="A65" s="691" t="s">
        <v>2764</v>
      </c>
      <c r="B65" s="260">
        <f t="shared" si="17"/>
        <v>0</v>
      </c>
      <c r="C65" s="198">
        <f t="shared" si="16"/>
        <v>0</v>
      </c>
      <c r="D65" s="1162">
        <v>0.25</v>
      </c>
      <c r="E65" s="259">
        <f>'数据-汇总表'!E15</f>
        <v>0</v>
      </c>
      <c r="F65" s="1101">
        <f t="shared" si="15"/>
        <v>0</v>
      </c>
      <c r="G65" s="2697" t="s">
        <v>2758</v>
      </c>
      <c r="H65" s="1112">
        <f>项目基本情况!C37</f>
        <v>0</v>
      </c>
      <c r="I65" s="1108">
        <f>SUMIF(修正!A45:A56,H65,修正!H45:H56)</f>
        <v>0</v>
      </c>
      <c r="J65" s="1111"/>
      <c r="K65" s="1142"/>
      <c r="L65" s="939"/>
      <c r="M65" s="939"/>
      <c r="N65" s="939"/>
      <c r="O65" s="939"/>
    </row>
    <row r="66" spans="1:17" s="690" customFormat="1" ht="13.5" thickBot="1">
      <c r="A66" s="693" t="s">
        <v>2765</v>
      </c>
      <c r="B66" s="694" t="s">
        <v>28</v>
      </c>
      <c r="C66" s="694" t="s">
        <v>29</v>
      </c>
      <c r="D66" s="694" t="s">
        <v>1029</v>
      </c>
      <c r="E66" s="694">
        <f>IF(B46="楼面地价",SUM(E56:E65),'数据-汇总表'!D3)</f>
        <v>61010.53</v>
      </c>
      <c r="F66" s="695">
        <f>IF(B46="楼面地价",SUM(F56:F65),ROUND(C48*E66/10000,0))</f>
        <v>12185</v>
      </c>
      <c r="G66" s="783"/>
      <c r="H66" s="783"/>
      <c r="I66" s="783"/>
      <c r="J66" s="783"/>
      <c r="K66" s="1156"/>
      <c r="L66" s="939"/>
      <c r="M66" s="939"/>
      <c r="N66" s="939"/>
      <c r="O66" s="939"/>
    </row>
    <row r="67" spans="1:17">
      <c r="A67" s="755"/>
      <c r="B67" s="757"/>
      <c r="C67" s="758"/>
      <c r="D67" s="755"/>
      <c r="E67" s="755"/>
      <c r="F67" s="755"/>
      <c r="G67" s="755"/>
      <c r="H67" s="755"/>
      <c r="I67" s="755"/>
      <c r="J67" s="1142"/>
      <c r="K67" s="1103"/>
      <c r="L67" s="1104"/>
      <c r="M67" s="1142"/>
      <c r="N67" s="1142"/>
      <c r="O67" s="1142"/>
    </row>
    <row r="68" spans="1:17">
      <c r="A68" s="755"/>
      <c r="B68" s="757"/>
      <c r="C68" s="757" t="str">
        <f>YEAR(C7)&amp;"-"&amp;MONTH(C7)&amp;"-1"</f>
        <v>2018-4-1</v>
      </c>
      <c r="D68" s="757">
        <f>EDATE(C68,-3)</f>
        <v>43101</v>
      </c>
      <c r="E68" s="757">
        <f>EDATE(D68,-3)</f>
        <v>43009</v>
      </c>
      <c r="F68" s="757">
        <f t="shared" ref="F68:O68" si="18">EDATE(E68,-3)</f>
        <v>42917</v>
      </c>
      <c r="G68" s="757">
        <f t="shared" si="18"/>
        <v>42826</v>
      </c>
      <c r="H68" s="757">
        <f t="shared" si="18"/>
        <v>42736</v>
      </c>
      <c r="I68" s="757">
        <f t="shared" si="18"/>
        <v>42644</v>
      </c>
      <c r="J68" s="757">
        <f t="shared" si="18"/>
        <v>42552</v>
      </c>
      <c r="K68" s="757">
        <f t="shared" si="18"/>
        <v>42461</v>
      </c>
      <c r="L68" s="757">
        <f t="shared" si="18"/>
        <v>42370</v>
      </c>
      <c r="M68" s="757">
        <f t="shared" si="18"/>
        <v>42278</v>
      </c>
      <c r="N68" s="757">
        <f t="shared" si="18"/>
        <v>42186</v>
      </c>
      <c r="O68" s="757">
        <f t="shared" si="18"/>
        <v>42095</v>
      </c>
    </row>
    <row r="69" spans="1:17" ht="21.75" thickBot="1">
      <c r="A69" s="759" t="s">
        <v>2658</v>
      </c>
      <c r="B69" s="755"/>
      <c r="C69" s="760"/>
      <c r="D69" s="760"/>
      <c r="E69" s="760"/>
      <c r="F69" s="761"/>
      <c r="G69" s="761"/>
      <c r="H69" s="760"/>
      <c r="I69" s="760"/>
      <c r="J69" s="1157"/>
      <c r="K69" s="1158"/>
      <c r="L69" s="1159"/>
      <c r="M69" s="1157"/>
      <c r="N69" s="1157"/>
      <c r="O69" s="1157"/>
      <c r="P69" s="501"/>
      <c r="Q69" s="502"/>
    </row>
    <row r="70" spans="1:17" s="506" customFormat="1" ht="15">
      <c r="A70" s="2698" t="s">
        <v>2766</v>
      </c>
      <c r="B70" s="1355"/>
      <c r="C70" s="1567" t="str">
        <f>YEAR(C68)&amp;"-"&amp;ROUNDUP(MONTH(C68)/3,0)</f>
        <v>2018-2</v>
      </c>
      <c r="D70" s="1567" t="str">
        <f>YEAR(D68)&amp;"-"&amp;ROUNDUP(MONTH(D68)/3,0)</f>
        <v>2018-1</v>
      </c>
      <c r="E70" s="1567" t="str">
        <f t="shared" ref="E70:O70" si="19">YEAR(E68)&amp;"-"&amp;ROUNDUP(MONTH(E68)/3,0)</f>
        <v>2017-4</v>
      </c>
      <c r="F70" s="1567" t="str">
        <f t="shared" si="19"/>
        <v>2017-3</v>
      </c>
      <c r="G70" s="1567" t="str">
        <f t="shared" si="19"/>
        <v>2017-2</v>
      </c>
      <c r="H70" s="1567" t="str">
        <f t="shared" si="19"/>
        <v>2017-1</v>
      </c>
      <c r="I70" s="1567" t="str">
        <f t="shared" si="19"/>
        <v>2016-4</v>
      </c>
      <c r="J70" s="1567" t="str">
        <f t="shared" si="19"/>
        <v>2016-3</v>
      </c>
      <c r="K70" s="1567" t="str">
        <f t="shared" si="19"/>
        <v>2016-2</v>
      </c>
      <c r="L70" s="1567" t="str">
        <f t="shared" si="19"/>
        <v>2016-1</v>
      </c>
      <c r="M70" s="1567" t="str">
        <f t="shared" si="19"/>
        <v>2015-4</v>
      </c>
      <c r="N70" s="1567" t="str">
        <f t="shared" si="19"/>
        <v>2015-3</v>
      </c>
      <c r="O70" s="1567" t="str">
        <f t="shared" si="19"/>
        <v>2015-2</v>
      </c>
      <c r="P70" s="505"/>
    </row>
    <row r="71" spans="1:17" s="116" customFormat="1" ht="30" customHeight="1">
      <c r="A71" s="2699" t="s">
        <v>2767</v>
      </c>
      <c r="B71" s="330" t="str">
        <f>"北京市平均增长率"&amp;TEXT(SUMIF(基准地价修正!N21:N25,A71,基准地价修正!P21:P25),"0.00%")</f>
        <v>北京市平均增长率0.00%</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6" customFormat="1" ht="15.75" thickBot="1">
      <c r="A72" s="513" t="s">
        <v>2569</v>
      </c>
      <c r="B72" s="514"/>
      <c r="C72" s="515"/>
      <c r="D72" s="516"/>
      <c r="E72" s="516"/>
      <c r="F72" s="516"/>
      <c r="G72" s="516"/>
      <c r="H72" s="516"/>
      <c r="I72" s="516"/>
      <c r="J72" s="516"/>
      <c r="K72" s="516"/>
      <c r="L72" s="516"/>
      <c r="M72" s="517"/>
      <c r="N72" s="516"/>
      <c r="O72" s="1160"/>
      <c r="P72" s="502"/>
      <c r="Q72" s="502"/>
    </row>
    <row r="73" spans="1:17" s="116" customFormat="1" ht="15">
      <c r="A73" s="519" t="s">
        <v>2534</v>
      </c>
      <c r="B73" s="508"/>
      <c r="C73" s="520" t="s">
        <v>2636</v>
      </c>
      <c r="D73" s="521"/>
      <c r="E73" s="521"/>
      <c r="F73" s="521"/>
      <c r="G73" s="521"/>
      <c r="H73" s="521"/>
      <c r="I73" s="521"/>
      <c r="J73" s="521"/>
      <c r="K73" s="521"/>
      <c r="L73" s="522"/>
      <c r="M73" s="523"/>
      <c r="N73" s="1149"/>
      <c r="O73" s="1149"/>
      <c r="P73" s="524"/>
      <c r="Q73" s="502"/>
    </row>
    <row r="74" spans="1:17" s="116" customFormat="1" ht="15.75" thickBot="1">
      <c r="A74" s="519"/>
      <c r="B74" s="508"/>
      <c r="C74" s="637">
        <v>100</v>
      </c>
      <c r="D74" s="510"/>
      <c r="E74" s="510"/>
      <c r="F74" s="510"/>
      <c r="G74" s="510"/>
      <c r="H74" s="510"/>
      <c r="I74" s="510"/>
      <c r="J74" s="510"/>
      <c r="K74" s="510"/>
      <c r="L74" s="510"/>
      <c r="M74" s="512"/>
      <c r="N74" s="1149"/>
      <c r="O74" s="1149"/>
      <c r="P74" s="502"/>
      <c r="Q74" s="502"/>
    </row>
    <row r="75" spans="1:17">
      <c r="A75" s="525" t="s">
        <v>2572</v>
      </c>
      <c r="B75" s="526" t="s">
        <v>2538</v>
      </c>
      <c r="C75" s="2944" t="s">
        <v>3410</v>
      </c>
      <c r="D75" s="2944" t="s">
        <v>3412</v>
      </c>
      <c r="E75" s="528"/>
      <c r="F75" s="528"/>
      <c r="G75" s="528"/>
      <c r="H75" s="528"/>
      <c r="I75" s="528"/>
      <c r="J75" s="528"/>
      <c r="K75" s="529"/>
      <c r="L75" s="530"/>
      <c r="M75" s="531"/>
      <c r="N75" s="1150"/>
      <c r="O75" s="1150"/>
      <c r="P75" s="45"/>
      <c r="Q75" s="502"/>
    </row>
    <row r="76" spans="1:17" ht="15.75" thickBot="1">
      <c r="A76" s="532"/>
      <c r="B76" s="533"/>
      <c r="C76" s="534">
        <v>100</v>
      </c>
      <c r="D76" s="534">
        <v>105</v>
      </c>
      <c r="E76" s="534"/>
      <c r="F76" s="534"/>
      <c r="G76" s="534"/>
      <c r="H76" s="534"/>
      <c r="I76" s="534"/>
      <c r="J76" s="534"/>
      <c r="K76" s="534"/>
      <c r="L76" s="534"/>
      <c r="M76" s="535"/>
      <c r="N76" s="1151"/>
      <c r="O76" s="1151"/>
      <c r="P76" s="45"/>
      <c r="Q76" s="502"/>
    </row>
    <row r="77" spans="1:17" ht="27.75" thickTop="1">
      <c r="A77" s="532"/>
      <c r="B77" s="536" t="s">
        <v>2541</v>
      </c>
      <c r="C77" s="537"/>
      <c r="D77" s="537"/>
      <c r="E77" s="537"/>
      <c r="F77" s="537"/>
      <c r="G77" s="537"/>
      <c r="H77" s="537"/>
      <c r="I77" s="537"/>
      <c r="J77" s="537"/>
      <c r="K77" s="538"/>
      <c r="L77" s="539"/>
      <c r="M77" s="540"/>
      <c r="N77" s="1150"/>
      <c r="O77" s="1150"/>
      <c r="P77" s="45"/>
      <c r="Q77" s="502"/>
    </row>
    <row r="78" spans="1:17" ht="15.75" thickBot="1">
      <c r="A78" s="532"/>
      <c r="B78" s="541"/>
      <c r="C78" s="542"/>
      <c r="D78" s="542"/>
      <c r="E78" s="542"/>
      <c r="F78" s="542"/>
      <c r="G78" s="542"/>
      <c r="H78" s="542"/>
      <c r="I78" s="542"/>
      <c r="J78" s="542"/>
      <c r="K78" s="542"/>
      <c r="L78" s="542"/>
      <c r="M78" s="543"/>
      <c r="N78" s="1151"/>
      <c r="O78" s="1151"/>
      <c r="P78" s="45"/>
      <c r="Q78" s="502"/>
    </row>
    <row r="79" spans="1:17" ht="15.75" thickTop="1">
      <c r="A79" s="532"/>
      <c r="B79" s="544" t="s">
        <v>2542</v>
      </c>
      <c r="C79" s="545" t="str">
        <f>C80&amp;"（含）"&amp;"-"&amp;D80</f>
        <v>0（含）-1</v>
      </c>
      <c r="D79" s="545" t="str">
        <f t="shared" ref="D79:L79" si="20">D80&amp;"（含）"&amp;"-"&amp;E80</f>
        <v>1（含）-2</v>
      </c>
      <c r="E79" s="545" t="str">
        <f t="shared" si="20"/>
        <v>2（含）-3</v>
      </c>
      <c r="F79" s="545" t="str">
        <f t="shared" si="20"/>
        <v>3（含）-4</v>
      </c>
      <c r="G79" s="545" t="str">
        <f t="shared" si="20"/>
        <v>4（含）-</v>
      </c>
      <c r="H79" s="545" t="str">
        <f t="shared" si="20"/>
        <v>（含）-</v>
      </c>
      <c r="I79" s="545" t="str">
        <f t="shared" si="20"/>
        <v>（含）-</v>
      </c>
      <c r="J79" s="545" t="str">
        <f t="shared" si="20"/>
        <v>（含）-</v>
      </c>
      <c r="K79" s="545" t="str">
        <f t="shared" si="20"/>
        <v>（含）-</v>
      </c>
      <c r="L79" s="545" t="str">
        <f t="shared" si="20"/>
        <v>（含）-</v>
      </c>
      <c r="M79" s="446" t="str">
        <f>M80&amp;"（含）"&amp;"-"&amp;P80</f>
        <v>（含）-</v>
      </c>
      <c r="N79" s="1151"/>
      <c r="O79" s="1151"/>
      <c r="P79" s="45"/>
      <c r="Q79" s="502"/>
    </row>
    <row r="80" spans="1:17" ht="15">
      <c r="A80" s="532"/>
      <c r="B80" s="546"/>
      <c r="C80" s="547">
        <v>0</v>
      </c>
      <c r="D80" s="547">
        <v>1</v>
      </c>
      <c r="E80" s="547">
        <v>2</v>
      </c>
      <c r="F80" s="547">
        <v>3</v>
      </c>
      <c r="G80" s="547">
        <v>4</v>
      </c>
      <c r="H80" s="547"/>
      <c r="I80" s="547"/>
      <c r="J80" s="547"/>
      <c r="K80" s="548"/>
      <c r="L80" s="549"/>
      <c r="M80" s="550"/>
      <c r="N80" s="1150"/>
      <c r="O80" s="1150"/>
      <c r="P80" s="45"/>
      <c r="Q80" s="502"/>
    </row>
    <row r="81" spans="1:17" ht="15.75" thickBot="1">
      <c r="A81" s="532"/>
      <c r="B81" s="533"/>
      <c r="C81" s="542">
        <v>100</v>
      </c>
      <c r="D81" s="542">
        <f t="shared" ref="D81:M81" si="21">IF($B$46="单位面积地价",C81+$K11,C81-$K11)</f>
        <v>95</v>
      </c>
      <c r="E81" s="542">
        <f t="shared" si="21"/>
        <v>90</v>
      </c>
      <c r="F81" s="542">
        <f t="shared" si="21"/>
        <v>85</v>
      </c>
      <c r="G81" s="542">
        <f t="shared" si="21"/>
        <v>80</v>
      </c>
      <c r="H81" s="542">
        <f t="shared" si="21"/>
        <v>75</v>
      </c>
      <c r="I81" s="542">
        <f t="shared" si="21"/>
        <v>70</v>
      </c>
      <c r="J81" s="542">
        <f t="shared" si="21"/>
        <v>65</v>
      </c>
      <c r="K81" s="542">
        <f t="shared" si="21"/>
        <v>60</v>
      </c>
      <c r="L81" s="542">
        <f t="shared" si="21"/>
        <v>55</v>
      </c>
      <c r="M81" s="542">
        <f t="shared" si="21"/>
        <v>50</v>
      </c>
      <c r="N81" s="1151"/>
      <c r="O81" s="1151"/>
      <c r="P81" s="45"/>
      <c r="Q81" s="502"/>
    </row>
    <row r="82" spans="1:17" s="469" customFormat="1" ht="15.75" thickTop="1">
      <c r="A82" s="551"/>
      <c r="B82" s="536" t="str">
        <f>B12</f>
        <v>配建</v>
      </c>
      <c r="C82" s="552"/>
      <c r="D82" s="552"/>
      <c r="E82" s="552"/>
      <c r="F82" s="552"/>
      <c r="G82" s="552"/>
      <c r="H82" s="553"/>
      <c r="I82" s="553"/>
      <c r="J82" s="553"/>
      <c r="K82" s="553"/>
      <c r="L82" s="554"/>
      <c r="M82" s="555"/>
      <c r="N82" s="1152"/>
      <c r="O82" s="1152"/>
      <c r="P82" s="556"/>
      <c r="Q82" s="557"/>
    </row>
    <row r="83" spans="1:17" s="469" customFormat="1" ht="15.75" thickBot="1">
      <c r="A83" s="551"/>
      <c r="B83" s="541"/>
      <c r="C83" s="558"/>
      <c r="D83" s="534"/>
      <c r="E83" s="534"/>
      <c r="F83" s="534"/>
      <c r="G83" s="534"/>
      <c r="H83" s="534"/>
      <c r="I83" s="534"/>
      <c r="J83" s="534"/>
      <c r="K83" s="534"/>
      <c r="L83" s="534"/>
      <c r="M83" s="535"/>
      <c r="N83" s="1151"/>
      <c r="O83" s="1151"/>
      <c r="P83" s="556"/>
      <c r="Q83" s="557"/>
    </row>
    <row r="84" spans="1:17" s="469" customFormat="1" ht="15.75" thickTop="1">
      <c r="A84" s="551"/>
      <c r="B84" s="536">
        <f>B13</f>
        <v>111</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111</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2543</v>
      </c>
      <c r="B88" s="526" t="s">
        <v>2580</v>
      </c>
      <c r="C88" s="571" t="s">
        <v>2581</v>
      </c>
      <c r="D88" s="571" t="s">
        <v>2582</v>
      </c>
      <c r="E88" s="571" t="s">
        <v>2583</v>
      </c>
      <c r="F88" s="571" t="s">
        <v>2584</v>
      </c>
      <c r="G88" s="571" t="s">
        <v>2585</v>
      </c>
      <c r="H88" s="527"/>
      <c r="I88" s="527"/>
      <c r="J88" s="527"/>
      <c r="K88" s="572"/>
      <c r="L88" s="573"/>
      <c r="M88" s="574"/>
      <c r="N88" s="1150"/>
      <c r="O88" s="1150"/>
      <c r="P88" s="575"/>
      <c r="Q88" s="502"/>
    </row>
    <row r="89" spans="1:17" ht="15.75" thickBot="1">
      <c r="A89" s="532"/>
      <c r="B89" s="541"/>
      <c r="C89" s="542">
        <v>100</v>
      </c>
      <c r="D89" s="542">
        <f>C89-$K15</f>
        <v>99</v>
      </c>
      <c r="E89" s="542">
        <f>D89-$K15</f>
        <v>98</v>
      </c>
      <c r="F89" s="542">
        <f>E89-$K15</f>
        <v>97</v>
      </c>
      <c r="G89" s="542">
        <f>F89-$K15</f>
        <v>96</v>
      </c>
      <c r="H89" s="542"/>
      <c r="I89" s="542"/>
      <c r="J89" s="542"/>
      <c r="K89" s="542"/>
      <c r="L89" s="542"/>
      <c r="M89" s="543"/>
      <c r="N89" s="1151"/>
      <c r="O89" s="1151"/>
      <c r="P89" s="45"/>
      <c r="Q89" s="502"/>
    </row>
    <row r="90" spans="1:17" ht="15.75" thickTop="1">
      <c r="A90" s="532"/>
      <c r="B90" s="536" t="s">
        <v>2768</v>
      </c>
      <c r="C90" s="576" t="s">
        <v>2581</v>
      </c>
      <c r="D90" s="576" t="s">
        <v>2582</v>
      </c>
      <c r="E90" s="576" t="s">
        <v>2583</v>
      </c>
      <c r="F90" s="576" t="s">
        <v>2584</v>
      </c>
      <c r="G90" s="576" t="s">
        <v>2585</v>
      </c>
      <c r="H90" s="537"/>
      <c r="I90" s="537"/>
      <c r="J90" s="537"/>
      <c r="K90" s="538"/>
      <c r="L90" s="539"/>
      <c r="M90" s="540"/>
      <c r="N90" s="1150"/>
      <c r="O90" s="1150"/>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1"/>
      <c r="O91" s="1151"/>
      <c r="P91" s="45"/>
      <c r="Q91" s="502"/>
    </row>
    <row r="92" spans="1:17" ht="15.75" thickTop="1">
      <c r="A92" s="532"/>
      <c r="B92" s="536" t="s">
        <v>2681</v>
      </c>
      <c r="C92" s="576" t="s">
        <v>2581</v>
      </c>
      <c r="D92" s="576" t="s">
        <v>2582</v>
      </c>
      <c r="E92" s="576" t="s">
        <v>2583</v>
      </c>
      <c r="F92" s="576" t="s">
        <v>2584</v>
      </c>
      <c r="G92" s="576" t="s">
        <v>2585</v>
      </c>
      <c r="H92" s="537"/>
      <c r="I92" s="537"/>
      <c r="J92" s="537"/>
      <c r="K92" s="538"/>
      <c r="L92" s="539"/>
      <c r="M92" s="540"/>
      <c r="N92" s="1150"/>
      <c r="O92" s="1150"/>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1"/>
      <c r="O93" s="1151"/>
      <c r="P93" s="45"/>
      <c r="Q93" s="502"/>
    </row>
    <row r="94" spans="1:17" ht="15.75" thickTop="1">
      <c r="A94" s="532"/>
      <c r="B94" s="536" t="s">
        <v>2586</v>
      </c>
      <c r="C94" s="576" t="s">
        <v>2581</v>
      </c>
      <c r="D94" s="576" t="s">
        <v>2582</v>
      </c>
      <c r="E94" s="576" t="s">
        <v>2583</v>
      </c>
      <c r="F94" s="576" t="s">
        <v>2584</v>
      </c>
      <c r="G94" s="576" t="s">
        <v>2585</v>
      </c>
      <c r="H94" s="537"/>
      <c r="I94" s="537"/>
      <c r="J94" s="537"/>
      <c r="K94" s="538"/>
      <c r="L94" s="539"/>
      <c r="M94" s="540"/>
      <c r="N94" s="1150"/>
      <c r="O94" s="1150"/>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1"/>
      <c r="O95" s="1151"/>
      <c r="P95" s="45"/>
      <c r="Q95" s="502"/>
    </row>
    <row r="96" spans="1:17" s="116" customFormat="1" ht="15.75" thickTop="1">
      <c r="A96" s="577"/>
      <c r="B96" s="536" t="s">
        <v>2769</v>
      </c>
      <c r="C96" s="576" t="s">
        <v>2581</v>
      </c>
      <c r="D96" s="576" t="s">
        <v>2582</v>
      </c>
      <c r="E96" s="576" t="s">
        <v>2583</v>
      </c>
      <c r="F96" s="576" t="s">
        <v>2584</v>
      </c>
      <c r="G96" s="576" t="s">
        <v>2585</v>
      </c>
      <c r="H96" s="576"/>
      <c r="I96" s="576"/>
      <c r="J96" s="576"/>
      <c r="K96" s="576"/>
      <c r="L96" s="696"/>
      <c r="M96" s="620"/>
      <c r="N96" s="1149"/>
      <c r="O96" s="1149"/>
      <c r="P96" s="45"/>
      <c r="Q96" s="502"/>
    </row>
    <row r="97" spans="1:17" s="116" customFormat="1" ht="15.75" thickBot="1">
      <c r="A97" s="577"/>
      <c r="B97" s="541"/>
      <c r="C97" s="580">
        <v>100</v>
      </c>
      <c r="D97" s="542">
        <f>C97-$K23</f>
        <v>98</v>
      </c>
      <c r="E97" s="542">
        <f>D97-$K23</f>
        <v>96</v>
      </c>
      <c r="F97" s="542">
        <f>E97-$K23</f>
        <v>94</v>
      </c>
      <c r="G97" s="542">
        <f>F97-$K23</f>
        <v>92</v>
      </c>
      <c r="H97" s="542"/>
      <c r="I97" s="542"/>
      <c r="J97" s="542"/>
      <c r="K97" s="542"/>
      <c r="L97" s="542"/>
      <c r="M97" s="543"/>
      <c r="N97" s="1151"/>
      <c r="O97" s="1151"/>
      <c r="P97" s="45"/>
      <c r="Q97" s="502"/>
    </row>
    <row r="98" spans="1:17" s="116" customFormat="1" ht="27.75" thickTop="1">
      <c r="A98" s="577"/>
      <c r="B98" s="536" t="s">
        <v>2770</v>
      </c>
      <c r="C98" s="571" t="s">
        <v>2581</v>
      </c>
      <c r="D98" s="571" t="s">
        <v>2582</v>
      </c>
      <c r="E98" s="571" t="s">
        <v>2583</v>
      </c>
      <c r="F98" s="571" t="s">
        <v>2584</v>
      </c>
      <c r="G98" s="571" t="s">
        <v>2585</v>
      </c>
      <c r="H98" s="576"/>
      <c r="I98" s="576"/>
      <c r="J98" s="576"/>
      <c r="K98" s="576"/>
      <c r="L98" s="576"/>
      <c r="M98" s="620"/>
      <c r="N98" s="1149"/>
      <c r="O98" s="1149"/>
      <c r="P98" s="45"/>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51"/>
      <c r="O99" s="1151"/>
      <c r="P99" s="45"/>
      <c r="Q99" s="502"/>
    </row>
    <row r="100" spans="1:17" s="469" customFormat="1" ht="15.75" thickTop="1">
      <c r="A100" s="551"/>
      <c r="B100" s="536" t="s">
        <v>2638</v>
      </c>
      <c r="C100" s="571" t="s">
        <v>2581</v>
      </c>
      <c r="D100" s="571" t="s">
        <v>2582</v>
      </c>
      <c r="E100" s="571" t="s">
        <v>2583</v>
      </c>
      <c r="F100" s="571" t="s">
        <v>2584</v>
      </c>
      <c r="G100" s="571" t="s">
        <v>2585</v>
      </c>
      <c r="H100" s="598"/>
      <c r="I100" s="598"/>
      <c r="J100" s="598"/>
      <c r="K100" s="598"/>
      <c r="L100" s="599"/>
      <c r="M100" s="600"/>
      <c r="N100" s="1152"/>
      <c r="O100" s="1152"/>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2"/>
      <c r="O101" s="1152"/>
      <c r="P101" s="556"/>
      <c r="Q101" s="557"/>
    </row>
    <row r="102" spans="1:17" s="469" customFormat="1" ht="15.75" thickTop="1">
      <c r="A102" s="551"/>
      <c r="B102" s="544" t="s">
        <v>2639</v>
      </c>
      <c r="C102" s="658" t="s">
        <v>2659</v>
      </c>
      <c r="D102" s="658" t="s">
        <v>2660</v>
      </c>
      <c r="E102" s="658" t="s">
        <v>2661</v>
      </c>
      <c r="F102" s="658" t="s">
        <v>2662</v>
      </c>
      <c r="G102" s="658" t="s">
        <v>2663</v>
      </c>
      <c r="H102" s="598"/>
      <c r="I102" s="598"/>
      <c r="J102" s="598"/>
      <c r="K102" s="598"/>
      <c r="L102" s="598"/>
      <c r="M102" s="1381"/>
      <c r="N102" s="1152"/>
      <c r="O102" s="1152"/>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1"/>
      <c r="N103" s="1152"/>
      <c r="O103" s="1152"/>
      <c r="P103" s="556"/>
      <c r="Q103" s="557"/>
    </row>
    <row r="104" spans="1:17" ht="15.75" thickTop="1">
      <c r="A104" s="532"/>
      <c r="B104" s="536" t="str">
        <f>B31</f>
        <v>临街状况</v>
      </c>
      <c r="C104" s="537" t="s">
        <v>2771</v>
      </c>
      <c r="D104" s="537" t="s">
        <v>2772</v>
      </c>
      <c r="E104" s="537" t="s">
        <v>2773</v>
      </c>
      <c r="F104" s="537" t="s">
        <v>2774</v>
      </c>
      <c r="G104" s="537"/>
      <c r="H104" s="537"/>
      <c r="I104" s="537"/>
      <c r="J104" s="537"/>
      <c r="K104" s="538"/>
      <c r="L104" s="539"/>
      <c r="M104" s="540"/>
      <c r="N104" s="1150"/>
      <c r="O104" s="1150"/>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1"/>
      <c r="O105" s="1151"/>
      <c r="P105" s="45"/>
      <c r="Q105" s="502"/>
    </row>
    <row r="106" spans="1:17" ht="27.75" thickTop="1">
      <c r="A106" s="532"/>
      <c r="B106" s="536" t="s">
        <v>2675</v>
      </c>
      <c r="C106" s="2942" t="s">
        <v>3413</v>
      </c>
      <c r="D106" s="2942" t="s">
        <v>3414</v>
      </c>
      <c r="E106" s="2942" t="s">
        <v>3415</v>
      </c>
      <c r="F106" s="2942" t="s">
        <v>3416</v>
      </c>
      <c r="G106" s="2942" t="s">
        <v>3417</v>
      </c>
      <c r="H106" s="581"/>
      <c r="I106" s="581"/>
      <c r="J106" s="581"/>
      <c r="K106" s="582"/>
      <c r="L106" s="583"/>
      <c r="M106" s="584"/>
      <c r="N106" s="1150"/>
      <c r="O106" s="1150"/>
      <c r="P106" s="45"/>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1"/>
      <c r="O107" s="1151"/>
      <c r="P107" s="45"/>
      <c r="Q107" s="502"/>
    </row>
    <row r="108" spans="1:17" ht="15.75" thickTop="1">
      <c r="A108" s="532"/>
      <c r="B108" s="536" t="s">
        <v>2734</v>
      </c>
      <c r="C108" s="581"/>
      <c r="D108" s="581"/>
      <c r="E108" s="581"/>
      <c r="F108" s="581"/>
      <c r="G108" s="581"/>
      <c r="H108" s="581"/>
      <c r="I108" s="581"/>
      <c r="J108" s="581"/>
      <c r="K108" s="582"/>
      <c r="L108" s="583"/>
      <c r="M108" s="584"/>
      <c r="N108" s="1150"/>
      <c r="O108" s="1150"/>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1"/>
      <c r="O109" s="1151"/>
      <c r="P109" s="45"/>
      <c r="Q109" s="502"/>
    </row>
    <row r="110" spans="1:17" ht="15.75" thickTop="1">
      <c r="A110" s="532"/>
      <c r="B110" s="544">
        <f>B35</f>
        <v>111</v>
      </c>
      <c r="C110" s="552"/>
      <c r="D110" s="552"/>
      <c r="E110" s="552"/>
      <c r="F110" s="552"/>
      <c r="G110" s="585"/>
      <c r="H110" s="585"/>
      <c r="I110" s="585"/>
      <c r="J110" s="585"/>
      <c r="K110" s="586"/>
      <c r="L110" s="587"/>
      <c r="M110" s="588"/>
      <c r="N110" s="1150"/>
      <c r="O110" s="1150"/>
      <c r="P110" s="45"/>
      <c r="Q110" s="502"/>
    </row>
    <row r="111" spans="1:17" ht="15.75" thickBot="1">
      <c r="A111" s="532"/>
      <c r="B111" s="567"/>
      <c r="C111" s="558"/>
      <c r="D111" s="558"/>
      <c r="E111" s="558"/>
      <c r="F111" s="558"/>
      <c r="G111" s="589"/>
      <c r="H111" s="589"/>
      <c r="I111" s="589"/>
      <c r="J111" s="589"/>
      <c r="K111" s="589"/>
      <c r="L111" s="589"/>
      <c r="M111" s="590"/>
      <c r="N111" s="1151"/>
      <c r="O111" s="1151"/>
      <c r="P111" s="45"/>
      <c r="Q111" s="502"/>
    </row>
    <row r="112" spans="1:17" ht="15" thickTop="1">
      <c r="A112" s="673"/>
      <c r="B112" s="536">
        <f>B36</f>
        <v>111</v>
      </c>
      <c r="C112" s="521"/>
      <c r="D112" s="521"/>
      <c r="E112" s="521"/>
      <c r="F112" s="521"/>
      <c r="G112" s="581"/>
      <c r="H112" s="581"/>
      <c r="I112" s="581"/>
      <c r="J112" s="581"/>
      <c r="K112" s="582"/>
      <c r="L112" s="583"/>
      <c r="M112" s="584"/>
      <c r="N112" s="1150"/>
      <c r="O112" s="1150"/>
      <c r="P112" s="45"/>
      <c r="Q112" s="502"/>
    </row>
    <row r="113" spans="1:17" ht="15.75" thickBot="1">
      <c r="A113" s="532"/>
      <c r="B113" s="541"/>
      <c r="C113" s="568"/>
      <c r="D113" s="568"/>
      <c r="E113" s="568"/>
      <c r="F113" s="568"/>
      <c r="G113" s="534"/>
      <c r="H113" s="534"/>
      <c r="I113" s="534"/>
      <c r="J113" s="534"/>
      <c r="K113" s="534"/>
      <c r="L113" s="534"/>
      <c r="M113" s="535"/>
      <c r="N113" s="1151"/>
      <c r="O113" s="1151"/>
      <c r="P113" s="45"/>
      <c r="Q113" s="502"/>
    </row>
    <row r="114" spans="1:17" s="469" customFormat="1" ht="15" thickTop="1">
      <c r="A114" s="591"/>
      <c r="B114" s="592">
        <f>B37</f>
        <v>111</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ht="28.5">
      <c r="A116" s="525" t="s">
        <v>2547</v>
      </c>
      <c r="B116" s="526" t="s">
        <v>2775</v>
      </c>
      <c r="C116" s="527" t="str">
        <f>C117&amp;"(含)"&amp;"-"&amp;D117</f>
        <v>0(含)-50000</v>
      </c>
      <c r="D116" s="527" t="str">
        <f t="shared" ref="D116:M116" si="25">D117&amp;"(含)"&amp;"-"&amp;E117</f>
        <v>50000(含)-100000</v>
      </c>
      <c r="E116" s="527" t="str">
        <f t="shared" si="25"/>
        <v>100000(含)-150000</v>
      </c>
      <c r="F116" s="527" t="str">
        <f t="shared" si="25"/>
        <v>150000(含)-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0"/>
      <c r="O116" s="1150"/>
      <c r="P116" s="45"/>
      <c r="Q116" s="502"/>
    </row>
    <row r="117" spans="1:17" ht="15">
      <c r="A117" s="532"/>
      <c r="B117" s="544"/>
      <c r="C117" s="3060">
        <v>0</v>
      </c>
      <c r="D117" s="3060">
        <v>50000</v>
      </c>
      <c r="E117" s="3060">
        <v>100000</v>
      </c>
      <c r="F117" s="3060">
        <v>150000</v>
      </c>
      <c r="G117" s="593"/>
      <c r="H117" s="593"/>
      <c r="I117" s="593"/>
      <c r="J117" s="594"/>
      <c r="K117" s="594"/>
      <c r="L117" s="595"/>
      <c r="M117" s="596"/>
      <c r="N117" s="1150"/>
      <c r="O117" s="1150"/>
      <c r="P117" s="45"/>
      <c r="Q117" s="502"/>
    </row>
    <row r="118" spans="1:17" ht="15.75" thickBot="1">
      <c r="A118" s="532"/>
      <c r="B118" s="541"/>
      <c r="C118" s="3061">
        <v>100</v>
      </c>
      <c r="D118" s="3062">
        <v>101</v>
      </c>
      <c r="E118" s="3062">
        <v>102</v>
      </c>
      <c r="F118" s="3062">
        <v>103</v>
      </c>
      <c r="G118" s="589"/>
      <c r="H118" s="589"/>
      <c r="I118" s="589"/>
      <c r="J118" s="589"/>
      <c r="K118" s="589"/>
      <c r="L118" s="589"/>
      <c r="M118" s="590"/>
      <c r="N118" s="1151"/>
      <c r="O118" s="1151"/>
      <c r="P118" s="45"/>
      <c r="Q118" s="502"/>
    </row>
    <row r="119" spans="1:17" ht="15" thickTop="1">
      <c r="A119" s="597"/>
      <c r="B119" s="536" t="s">
        <v>2776</v>
      </c>
      <c r="C119" s="2943" t="s">
        <v>3419</v>
      </c>
      <c r="D119" s="2943" t="s">
        <v>3418</v>
      </c>
      <c r="E119" s="2943" t="s">
        <v>3420</v>
      </c>
      <c r="F119" s="2943" t="s">
        <v>3421</v>
      </c>
      <c r="G119" s="581"/>
      <c r="H119" s="581"/>
      <c r="I119" s="581"/>
      <c r="J119" s="581"/>
      <c r="K119" s="582"/>
      <c r="L119" s="583"/>
      <c r="M119" s="584"/>
      <c r="N119" s="1150"/>
      <c r="O119" s="1150"/>
      <c r="P119" s="45"/>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1"/>
      <c r="O120" s="1151"/>
      <c r="P120" s="45"/>
      <c r="Q120" s="502"/>
    </row>
    <row r="121" spans="1:17" ht="15" thickTop="1">
      <c r="A121" s="597"/>
      <c r="B121" s="536" t="s">
        <v>2777</v>
      </c>
      <c r="C121" s="552"/>
      <c r="D121" s="552"/>
      <c r="E121" s="552"/>
      <c r="F121" s="581"/>
      <c r="G121" s="581"/>
      <c r="H121" s="581"/>
      <c r="I121" s="581"/>
      <c r="J121" s="581"/>
      <c r="K121" s="582"/>
      <c r="L121" s="583"/>
      <c r="M121" s="584"/>
      <c r="N121" s="1150"/>
      <c r="O121" s="1150"/>
      <c r="P121" s="45"/>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51"/>
      <c r="O122" s="1151"/>
      <c r="P122" s="45"/>
      <c r="Q122" s="502"/>
    </row>
    <row r="123" spans="1:17" s="469" customFormat="1" ht="15" thickTop="1">
      <c r="A123" s="591"/>
      <c r="B123" s="536" t="s">
        <v>2778</v>
      </c>
      <c r="C123" s="2942" t="s">
        <v>3422</v>
      </c>
      <c r="D123" s="2942" t="s">
        <v>3423</v>
      </c>
      <c r="E123" s="2942" t="s">
        <v>3424</v>
      </c>
      <c r="F123" s="2942" t="s">
        <v>3425</v>
      </c>
      <c r="G123" s="2942" t="s">
        <v>3426</v>
      </c>
      <c r="H123" s="581"/>
      <c r="I123" s="581"/>
      <c r="J123" s="581"/>
      <c r="K123" s="582"/>
      <c r="L123" s="583"/>
      <c r="M123" s="584"/>
      <c r="N123" s="1152"/>
      <c r="O123" s="1152"/>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2"/>
      <c r="O124" s="1152"/>
      <c r="P124" s="556"/>
      <c r="Q124" s="557"/>
    </row>
    <row r="125" spans="1:17" ht="15" thickTop="1">
      <c r="A125" s="597"/>
      <c r="B125" s="536" t="s">
        <v>2779</v>
      </c>
      <c r="C125" s="2942" t="s">
        <v>3427</v>
      </c>
      <c r="D125" s="2942" t="s">
        <v>3428</v>
      </c>
      <c r="E125" s="2943" t="s">
        <v>3429</v>
      </c>
      <c r="F125" s="2943" t="s">
        <v>3430</v>
      </c>
      <c r="G125" s="2943" t="s">
        <v>3431</v>
      </c>
      <c r="H125" s="581"/>
      <c r="I125" s="581"/>
      <c r="J125" s="581"/>
      <c r="K125" s="582"/>
      <c r="L125" s="583"/>
      <c r="M125" s="584"/>
      <c r="N125" s="1150"/>
      <c r="O125" s="1150"/>
      <c r="P125" s="45"/>
      <c r="Q125" s="502"/>
    </row>
    <row r="126" spans="1:17" ht="15.75" thickBot="1">
      <c r="A126" s="532"/>
      <c r="B126" s="541"/>
      <c r="C126" s="542">
        <v>100</v>
      </c>
      <c r="D126" s="542">
        <f t="shared" ref="D126:M126" si="29">C126-$K42</f>
        <v>98</v>
      </c>
      <c r="E126" s="542">
        <f t="shared" si="29"/>
        <v>96</v>
      </c>
      <c r="F126" s="542">
        <f t="shared" si="29"/>
        <v>94</v>
      </c>
      <c r="G126" s="542">
        <f t="shared" si="29"/>
        <v>92</v>
      </c>
      <c r="H126" s="542">
        <f t="shared" si="29"/>
        <v>90</v>
      </c>
      <c r="I126" s="542">
        <f t="shared" si="29"/>
        <v>88</v>
      </c>
      <c r="J126" s="542">
        <f t="shared" si="29"/>
        <v>86</v>
      </c>
      <c r="K126" s="542">
        <f t="shared" si="29"/>
        <v>84</v>
      </c>
      <c r="L126" s="542">
        <f t="shared" si="29"/>
        <v>82</v>
      </c>
      <c r="M126" s="543">
        <f t="shared" si="29"/>
        <v>80</v>
      </c>
      <c r="N126" s="1151"/>
      <c r="O126" s="1151"/>
      <c r="P126" s="45"/>
      <c r="Q126" s="502"/>
    </row>
    <row r="127" spans="1:17" ht="15" thickTop="1">
      <c r="A127" s="597"/>
      <c r="B127" s="536">
        <f>B43</f>
        <v>111</v>
      </c>
      <c r="C127" s="552"/>
      <c r="D127" s="552"/>
      <c r="E127" s="552"/>
      <c r="F127" s="552"/>
      <c r="G127" s="552"/>
      <c r="H127" s="581"/>
      <c r="I127" s="581"/>
      <c r="J127" s="581"/>
      <c r="K127" s="582"/>
      <c r="L127" s="583"/>
      <c r="M127" s="584"/>
      <c r="N127" s="1150"/>
      <c r="O127" s="1150"/>
      <c r="P127" s="45"/>
      <c r="Q127" s="502"/>
    </row>
    <row r="128" spans="1:17" ht="15.75" thickBot="1">
      <c r="A128" s="532"/>
      <c r="B128" s="541"/>
      <c r="C128" s="558"/>
      <c r="D128" s="558"/>
      <c r="E128" s="558"/>
      <c r="F128" s="558"/>
      <c r="G128" s="534"/>
      <c r="H128" s="534"/>
      <c r="I128" s="534"/>
      <c r="J128" s="534"/>
      <c r="K128" s="534"/>
      <c r="L128" s="534"/>
      <c r="M128" s="535"/>
      <c r="N128" s="1151"/>
      <c r="O128" s="1151"/>
      <c r="P128" s="45"/>
      <c r="Q128" s="502"/>
    </row>
    <row r="129" spans="1:17" ht="15" thickTop="1">
      <c r="A129" s="597"/>
      <c r="B129" s="536">
        <f>B44</f>
        <v>111</v>
      </c>
      <c r="C129" s="521"/>
      <c r="D129" s="521"/>
      <c r="E129" s="521"/>
      <c r="F129" s="521"/>
      <c r="G129" s="581"/>
      <c r="H129" s="581"/>
      <c r="I129" s="581"/>
      <c r="J129" s="581"/>
      <c r="K129" s="582"/>
      <c r="L129" s="583"/>
      <c r="M129" s="584"/>
      <c r="N129" s="1150"/>
      <c r="O129" s="1150"/>
      <c r="P129" s="45"/>
      <c r="Q129" s="502"/>
    </row>
    <row r="130" spans="1:17" ht="15.75" thickBot="1">
      <c r="A130" s="532"/>
      <c r="B130" s="541"/>
      <c r="C130" s="568"/>
      <c r="D130" s="568"/>
      <c r="E130" s="568"/>
      <c r="F130" s="568"/>
      <c r="G130" s="534"/>
      <c r="H130" s="534"/>
      <c r="I130" s="534"/>
      <c r="J130" s="534"/>
      <c r="K130" s="534"/>
      <c r="L130" s="534"/>
      <c r="M130" s="535"/>
      <c r="N130" s="1151"/>
      <c r="O130" s="1151"/>
      <c r="P130" s="45"/>
      <c r="Q130" s="502"/>
    </row>
    <row r="131" spans="1:17" s="469" customFormat="1" ht="15" thickTop="1">
      <c r="A131" s="591"/>
      <c r="B131" s="536">
        <f>B45</f>
        <v>111</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4" priority="14" stopIfTrue="1" operator="containsText" text="超过">
      <formula>NOT(ISERROR(SEARCH("超过",F51)))</formula>
    </cfRule>
  </conditionalFormatting>
  <conditionalFormatting sqref="J53">
    <cfRule type="containsText" dxfId="173" priority="13" stopIfTrue="1" operator="containsText" text="超过">
      <formula>NOT(ISERROR(SEARCH("超过",J53)))</formula>
    </cfRule>
  </conditionalFormatting>
  <conditionalFormatting sqref="H53">
    <cfRule type="containsText" dxfId="172" priority="12" stopIfTrue="1" operator="containsText" text="超过">
      <formula>NOT(ISERROR(SEARCH("超过",H53)))</formula>
    </cfRule>
  </conditionalFormatting>
  <conditionalFormatting sqref="F53">
    <cfRule type="containsText" dxfId="171" priority="11" stopIfTrue="1" operator="containsText" text="超过">
      <formula>NOT(ISERROR(SEARCH("超过",F53)))</formula>
    </cfRule>
  </conditionalFormatting>
  <conditionalFormatting sqref="F52 H52 J52">
    <cfRule type="containsText" dxfId="170" priority="10" stopIfTrue="1" operator="containsText" text="超过">
      <formula>NOT(ISERROR(SEARCH("超过",F52)))</formula>
    </cfRule>
  </conditionalFormatting>
  <conditionalFormatting sqref="E51">
    <cfRule type="expression" dxfId="169" priority="9" stopIfTrue="1">
      <formula>$F$51="超过30%"</formula>
    </cfRule>
  </conditionalFormatting>
  <conditionalFormatting sqref="G53">
    <cfRule type="expression" dxfId="168" priority="8" stopIfTrue="1">
      <formula>$H$53="超过30%"</formula>
    </cfRule>
  </conditionalFormatting>
  <conditionalFormatting sqref="E52">
    <cfRule type="expression" dxfId="167" priority="7" stopIfTrue="1">
      <formula>$F$52="超过20%"</formula>
    </cfRule>
  </conditionalFormatting>
  <conditionalFormatting sqref="E53">
    <cfRule type="expression" dxfId="166" priority="6" stopIfTrue="1">
      <formula>$F$53="超过30%"</formula>
    </cfRule>
  </conditionalFormatting>
  <conditionalFormatting sqref="G51">
    <cfRule type="expression" dxfId="165" priority="5" stopIfTrue="1">
      <formula>$H$53+$H$51="超过30%"</formula>
    </cfRule>
  </conditionalFormatting>
  <conditionalFormatting sqref="G52">
    <cfRule type="expression" dxfId="164" priority="4" stopIfTrue="1">
      <formula>$H$52="超过20%"</formula>
    </cfRule>
  </conditionalFormatting>
  <conditionalFormatting sqref="I51">
    <cfRule type="expression" dxfId="163" priority="3" stopIfTrue="1">
      <formula>$J$51="超过30%"</formula>
    </cfRule>
  </conditionalFormatting>
  <conditionalFormatting sqref="I52">
    <cfRule type="expression" dxfId="162" priority="2" stopIfTrue="1">
      <formula>$J$52="超过20%"</formula>
    </cfRule>
  </conditionalFormatting>
  <conditionalFormatting sqref="I53">
    <cfRule type="expression" dxfId="16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16" sqref="L16"/>
    </sheetView>
  </sheetViews>
  <sheetFormatPr defaultColWidth="6.625" defaultRowHeight="12.75"/>
  <cols>
    <col min="1" max="1" width="9.75" style="794" customWidth="1"/>
    <col min="2" max="2" width="25.75" style="950" customWidth="1"/>
    <col min="3" max="3" width="10.375" style="993" customWidth="1"/>
    <col min="4" max="4" width="9.875" style="950" customWidth="1"/>
    <col min="5" max="5" width="9.5" style="794"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2446</v>
      </c>
      <c r="B1" s="1576"/>
      <c r="C1" s="1577"/>
      <c r="D1" s="1575"/>
      <c r="E1" s="318"/>
      <c r="F1" s="318"/>
      <c r="G1" s="1576"/>
      <c r="H1" s="318"/>
      <c r="I1" s="318"/>
      <c r="J1" s="318"/>
      <c r="K1" s="318">
        <f>MATCH(C1,'数据-取费表'!A6:A16,0)+5</f>
        <v>9</v>
      </c>
    </row>
    <row r="2" spans="1:33" ht="18" customHeight="1">
      <c r="A2" s="243" t="s">
        <v>2314</v>
      </c>
      <c r="B2" s="246">
        <f ca="1">C32</f>
        <v>12809</v>
      </c>
      <c r="C2" s="318" t="s">
        <v>2447</v>
      </c>
      <c r="D2" s="318"/>
      <c r="E2" s="318"/>
      <c r="F2" s="318"/>
      <c r="G2" s="318"/>
      <c r="H2" s="318"/>
      <c r="I2" s="318"/>
      <c r="J2" s="318"/>
      <c r="K2" s="318"/>
    </row>
    <row r="3" spans="1:33" ht="18" customHeight="1" thickBot="1">
      <c r="A3" s="245" t="s">
        <v>2316</v>
      </c>
      <c r="B3" s="246">
        <f ca="1">ROUND(B2*10000/IF(C1="",'数据-汇总表'!E3,INDIRECT("'数据-取费表'!K"&amp;$K$1)),0)</f>
        <v>1777</v>
      </c>
      <c r="C3" s="318" t="s">
        <v>2448</v>
      </c>
      <c r="D3" s="318"/>
      <c r="E3" s="318"/>
      <c r="F3" s="318"/>
      <c r="G3" s="318"/>
      <c r="H3" s="318"/>
      <c r="I3" s="318"/>
      <c r="J3" s="318"/>
      <c r="K3" s="318"/>
    </row>
    <row r="4" spans="1:33" s="954" customFormat="1" ht="16.5" customHeight="1">
      <c r="A4" s="951" t="s">
        <v>2449</v>
      </c>
      <c r="B4" s="952"/>
      <c r="C4" s="994">
        <f ca="1">SUM(C8:K8)</f>
        <v>43314</v>
      </c>
      <c r="D4" s="952"/>
      <c r="E4" s="952"/>
      <c r="F4" s="952"/>
      <c r="G4" s="952"/>
      <c r="H4" s="952"/>
      <c r="I4" s="952"/>
      <c r="J4" s="952"/>
      <c r="K4" s="953"/>
    </row>
    <row r="5" spans="1:33" s="958" customFormat="1" ht="15">
      <c r="A5" s="955" t="s">
        <v>2450</v>
      </c>
      <c r="B5" s="956" t="s">
        <v>2451</v>
      </c>
      <c r="C5" s="2541" t="s">
        <v>3164</v>
      </c>
      <c r="D5" s="2541" t="s">
        <v>3170</v>
      </c>
      <c r="E5" s="2541" t="s">
        <v>3172</v>
      </c>
      <c r="F5" s="2541"/>
      <c r="G5" s="2541"/>
      <c r="H5" s="2541"/>
      <c r="I5" s="2541"/>
      <c r="J5" s="2541"/>
      <c r="K5" s="254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2452</v>
      </c>
      <c r="C6" s="960">
        <f>'比较法-住宅'!B3</f>
        <v>8220</v>
      </c>
      <c r="D6" s="960">
        <f ca="1">收益法!B3</f>
        <v>4487</v>
      </c>
      <c r="E6" s="960">
        <f ca="1">'收益法 (2)'!B3</f>
        <v>3307</v>
      </c>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2453</v>
      </c>
      <c r="B7" s="138" t="s">
        <v>2454</v>
      </c>
      <c r="C7" s="319">
        <f>SUMIF('数据-汇总表'!$C19:$C33,假设开发法!C5,'数据-汇总表'!$E19:$E33)</f>
        <v>46364.71</v>
      </c>
      <c r="D7" s="319">
        <f>SUMIF('数据-汇总表'!$C19:$C33,假设开发法!D5,'数据-汇总表'!$E19:$E33)</f>
        <v>4738.6399999999994</v>
      </c>
      <c r="E7" s="319">
        <f>SUMIF('数据-汇总表'!$C19:$C33,假设开发法!E5,'数据-汇总表'!$E19:$E33)</f>
        <v>9302.4</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2" t="s">
        <v>2455</v>
      </c>
      <c r="B8" s="175" t="s">
        <v>2456</v>
      </c>
      <c r="C8" s="995">
        <f>'比较法-住宅'!B2</f>
        <v>38112</v>
      </c>
      <c r="D8" s="995">
        <f ca="1">收益法!B2</f>
        <v>2126</v>
      </c>
      <c r="E8" s="995">
        <f ca="1">'收益法 (2)'!B2</f>
        <v>3076</v>
      </c>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2457</v>
      </c>
      <c r="B9" s="952"/>
      <c r="C9" s="952"/>
      <c r="D9" s="952"/>
      <c r="E9" s="952"/>
      <c r="F9" s="952"/>
      <c r="G9" s="952"/>
      <c r="H9" s="952"/>
      <c r="I9" s="952"/>
      <c r="J9" s="952"/>
      <c r="K9" s="953"/>
    </row>
    <row r="10" spans="1:33" s="968" customFormat="1" ht="13.5" customHeight="1">
      <c r="A10" s="955" t="s">
        <v>2458</v>
      </c>
      <c r="B10" s="8" t="s">
        <v>2459</v>
      </c>
      <c r="C10" s="964" t="s">
        <v>2460</v>
      </c>
      <c r="D10" s="965" t="s">
        <v>2461</v>
      </c>
      <c r="E10" s="965" t="s">
        <v>2462</v>
      </c>
      <c r="F10" s="965" t="s">
        <v>2463</v>
      </c>
      <c r="G10" s="8"/>
      <c r="H10" s="966"/>
      <c r="I10" s="966"/>
      <c r="J10" s="966"/>
      <c r="K10" s="967"/>
    </row>
    <row r="11" spans="1:33" s="973" customFormat="1" ht="13.5" customHeight="1">
      <c r="A11" s="969" t="s">
        <v>1334</v>
      </c>
      <c r="B11" s="970" t="s">
        <v>2464</v>
      </c>
      <c r="C11" s="321">
        <f ca="1">IF(C1="",'数据-取费表'!P16,INDIRECT("'数据-取费表'!p"&amp;$K$1)+INDIRECT("'数据-取费表'!ar"&amp;$K$1))</f>
        <v>15966</v>
      </c>
      <c r="D11" s="971"/>
      <c r="E11" s="373"/>
      <c r="F11" s="972">
        <f ca="1">1-IF('数据-取费表'!B24=0,1,IF(C1="",'数据-取费表'!N16,INDIRECT("'数据-取费表'!n"&amp;$K$1)))</f>
        <v>0.95</v>
      </c>
      <c r="G11" s="8"/>
      <c r="H11" s="966"/>
      <c r="I11" s="966"/>
      <c r="J11" s="966"/>
      <c r="K11" s="967"/>
    </row>
    <row r="12" spans="1:33" s="973" customFormat="1" ht="13.5" customHeight="1">
      <c r="A12" s="969" t="s">
        <v>1335</v>
      </c>
      <c r="B12" s="970" t="s">
        <v>2465</v>
      </c>
      <c r="C12" s="24">
        <f ca="1">ROUND(C11*F12,0)</f>
        <v>479</v>
      </c>
      <c r="D12" s="971"/>
      <c r="E12" s="373"/>
      <c r="F12" s="974">
        <f>'数据-取费表'!B33</f>
        <v>0.03</v>
      </c>
      <c r="G12" s="8" t="s">
        <v>2466</v>
      </c>
      <c r="H12" s="966"/>
      <c r="I12" s="966"/>
      <c r="J12" s="966"/>
      <c r="K12" s="967"/>
    </row>
    <row r="13" spans="1:33" s="973" customFormat="1" ht="13.5" customHeight="1">
      <c r="A13" s="969" t="s">
        <v>1336</v>
      </c>
      <c r="B13" s="970" t="s">
        <v>2467</v>
      </c>
      <c r="C13" s="24">
        <f ca="1">ROUND(IF(C1="",SUMIF('数据-取费表'!C:C,"住宅",'数据-取费表'!P:P)*F13,IF(INDIRECT("'数据-取费表'!c"&amp;$K$1)="住宅",INDIRECT("'数据-取费表'!P"&amp;$K$1)*F13,0)),0)</f>
        <v>573</v>
      </c>
      <c r="D13" s="1031"/>
      <c r="E13" s="373"/>
      <c r="F13" s="974">
        <f>'数据-取费表'!B34</f>
        <v>0.05</v>
      </c>
      <c r="G13" s="8" t="s">
        <v>2468</v>
      </c>
      <c r="H13" s="966"/>
      <c r="I13" s="966"/>
      <c r="J13" s="966"/>
      <c r="K13" s="967"/>
    </row>
    <row r="14" spans="1:33" s="975" customFormat="1" ht="13.5" customHeight="1">
      <c r="A14" s="969" t="s">
        <v>1337</v>
      </c>
      <c r="B14" s="970" t="s">
        <v>2469</v>
      </c>
      <c r="C14" s="24">
        <f ca="1">ROUND(D14*E14*F11/10000,0)</f>
        <v>1370</v>
      </c>
      <c r="D14" s="1031">
        <f ca="1">IF(C1="",'数据-汇总表'!E3,INDIRECT("'数据-取费表'!K"&amp;$K$1)+INDIRECT("'数据-取费表'!S"&amp;$K$1))</f>
        <v>72085.949999999983</v>
      </c>
      <c r="E14" s="24">
        <f>'数据-取费表'!B35</f>
        <v>200</v>
      </c>
      <c r="F14" s="974"/>
      <c r="G14" s="8" t="s">
        <v>2470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2471</v>
      </c>
      <c r="C15" s="981">
        <f ca="1">ROUND(C11*F15,0)</f>
        <v>239</v>
      </c>
      <c r="D15" s="976"/>
      <c r="E15" s="981"/>
      <c r="F15" s="982">
        <f>'数据-取费表'!B36</f>
        <v>1.4999999999999999E-2</v>
      </c>
      <c r="G15" s="138" t="s">
        <v>2472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2473</v>
      </c>
      <c r="C16" s="981">
        <f ca="1">SUM(C11:C15)</f>
        <v>18627</v>
      </c>
      <c r="D16" s="976"/>
      <c r="E16" s="981"/>
      <c r="F16" s="982"/>
      <c r="G16" s="138"/>
      <c r="H16" s="1573"/>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2474</v>
      </c>
      <c r="C17" s="24">
        <f ca="1">ROUND(D17*E17/10000,0)</f>
        <v>0</v>
      </c>
      <c r="D17" s="1031">
        <f ca="1">D14</f>
        <v>72085.949999999983</v>
      </c>
      <c r="E17" s="24">
        <f>'数据-取费表'!B32</f>
        <v>0</v>
      </c>
      <c r="F17" s="976"/>
      <c r="G17" s="138" t="s">
        <v>2475</v>
      </c>
      <c r="H17" s="1573"/>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2476</v>
      </c>
      <c r="C18" s="24">
        <f ca="1">C19+C20-IF(C1="",'数据-取费表'!B29,IF(G18="已全部缴纳",C19+C20,H18))</f>
        <v>87</v>
      </c>
      <c r="D18" s="1031"/>
      <c r="E18" s="24"/>
      <c r="F18" s="974"/>
      <c r="G18" s="2543"/>
      <c r="H18" s="1572"/>
      <c r="I18" s="2544" t="s">
        <v>2477</v>
      </c>
      <c r="J18" s="977"/>
      <c r="K18" s="978"/>
    </row>
    <row r="19" spans="1:33" s="973" customFormat="1" ht="13.5" customHeight="1">
      <c r="A19" s="969" t="s">
        <v>805</v>
      </c>
      <c r="B19" s="970" t="s">
        <v>2478</v>
      </c>
      <c r="C19" s="24">
        <f ca="1">ROUND(D19*E19/10000,0)</f>
        <v>603</v>
      </c>
      <c r="D19" s="1031">
        <f ca="1">IF(C1="",'数据-汇总表'!E5,IF(INDIRECT("'数据-取费表'!c"&amp;$K$1)="住宅",INDIRECT("'数据-取费表'!k"&amp;$K$1),0))</f>
        <v>46364.71</v>
      </c>
      <c r="E19" s="24">
        <f>'数据-取费表'!B27</f>
        <v>130</v>
      </c>
      <c r="F19" s="974"/>
      <c r="G19" s="15"/>
      <c r="H19" s="1574"/>
      <c r="I19" s="979"/>
      <c r="J19" s="979"/>
      <c r="K19" s="980"/>
    </row>
    <row r="20" spans="1:33" s="973" customFormat="1" ht="13.5" customHeight="1">
      <c r="A20" s="969" t="s">
        <v>806</v>
      </c>
      <c r="B20" s="970" t="s">
        <v>2479</v>
      </c>
      <c r="C20" s="24">
        <f ca="1">ROUND(D20*E20/10000,0)</f>
        <v>334</v>
      </c>
      <c r="D20" s="1031">
        <f ca="1">IF(C1="",'数据-汇总表'!E6,IF(INDIRECT("'数据-取费表'!c"&amp;$K$1)="住宅",INDIRECT("'数据-取费表'!s"&amp;$K$1),INDIRECT("'数据-取费表'!k"&amp;$K$1)+INDIRECT("'数据-取费表'!s"&amp;$K$1)))</f>
        <v>25721.239999999983</v>
      </c>
      <c r="E20" s="24">
        <f>'数据-取费表'!B28</f>
        <v>130</v>
      </c>
      <c r="F20" s="974"/>
      <c r="G20" s="15"/>
      <c r="H20" s="979"/>
      <c r="I20" s="979"/>
      <c r="J20" s="979"/>
      <c r="K20" s="980"/>
    </row>
    <row r="21" spans="1:33" s="973" customFormat="1" ht="13.5" customHeight="1">
      <c r="A21" s="959" t="s">
        <v>802</v>
      </c>
      <c r="B21" s="983" t="s">
        <v>2480</v>
      </c>
      <c r="C21" s="984">
        <f ca="1">C16+C17+C18</f>
        <v>18714</v>
      </c>
      <c r="D21" s="985"/>
      <c r="E21" s="323"/>
      <c r="F21" s="323"/>
      <c r="G21" s="138" t="s">
        <v>2481</v>
      </c>
      <c r="H21" s="977"/>
      <c r="I21" s="977"/>
      <c r="J21" s="977"/>
      <c r="K21" s="978"/>
    </row>
    <row r="22" spans="1:33" s="973" customFormat="1" ht="13.5" customHeight="1">
      <c r="A22" s="959" t="s">
        <v>2453</v>
      </c>
      <c r="B22" s="983" t="s">
        <v>2482</v>
      </c>
      <c r="C22" s="984">
        <f ca="1">ROUND(C21*F22,0)</f>
        <v>374</v>
      </c>
      <c r="D22" s="323"/>
      <c r="E22" s="323"/>
      <c r="F22" s="986">
        <f>'数据-取费表'!B37</f>
        <v>0.02</v>
      </c>
      <c r="G22" s="8" t="s">
        <v>2483</v>
      </c>
      <c r="H22" s="966"/>
      <c r="I22" s="966"/>
      <c r="J22" s="966"/>
      <c r="K22" s="967"/>
    </row>
    <row r="23" spans="1:33" s="973" customFormat="1" ht="13.5" customHeight="1">
      <c r="A23" s="959" t="s">
        <v>2455</v>
      </c>
      <c r="B23" s="983" t="s">
        <v>2484</v>
      </c>
      <c r="C23" s="984">
        <f ca="1">ROUND(C4*F23*F11,0)</f>
        <v>823</v>
      </c>
      <c r="D23" s="323"/>
      <c r="E23" s="323"/>
      <c r="F23" s="986">
        <f>'数据-取费表'!B38</f>
        <v>0.02</v>
      </c>
      <c r="G23" s="8" t="s">
        <v>2485</v>
      </c>
      <c r="H23" s="966"/>
      <c r="I23" s="966"/>
      <c r="J23" s="966"/>
      <c r="K23" s="967"/>
    </row>
    <row r="24" spans="1:33" s="973" customFormat="1" ht="13.5" customHeight="1">
      <c r="A24" s="959" t="s">
        <v>2486</v>
      </c>
      <c r="B24" s="983" t="s">
        <v>2487</v>
      </c>
      <c r="C24" s="322">
        <f>ROUND(F24/(1+'数据-取费表'!C42),4)</f>
        <v>2.9000000000000001E-2</v>
      </c>
      <c r="D24" s="323" t="s">
        <v>15</v>
      </c>
      <c r="E24" s="323"/>
      <c r="F24" s="986">
        <f>'数据-取费表'!B48+'数据-取费表'!B49</f>
        <v>3.0499999999999999E-2</v>
      </c>
      <c r="G24" s="8" t="s">
        <v>2488</v>
      </c>
      <c r="H24" s="988"/>
      <c r="I24" s="988"/>
      <c r="J24" s="988"/>
      <c r="K24" s="989"/>
    </row>
    <row r="25" spans="1:33" s="973" customFormat="1" ht="13.5" customHeight="1">
      <c r="A25" s="959" t="s">
        <v>2489</v>
      </c>
      <c r="B25" s="985" t="s">
        <v>2490</v>
      </c>
      <c r="C25" s="1352">
        <f ca="1">C27</f>
        <v>705</v>
      </c>
      <c r="D25" s="322">
        <f ca="1">C26</f>
        <v>7.4200000000000002E-2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2491</v>
      </c>
      <c r="C26" s="1353">
        <f ca="1">ROUND(IF('数据-取费表'!B22&lt;=1,(1+C24)*F25*'数据-取费表'!B24,(1+C24)*(POWER((1+F25),'数据-取费表'!B24)-1)),4)</f>
        <v>7.4200000000000002E-2</v>
      </c>
      <c r="D26" s="326"/>
      <c r="E26" s="327"/>
      <c r="F26" s="328"/>
      <c r="G26" s="254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2492</v>
      </c>
      <c r="C27" s="1354">
        <f ca="1">ROUND(IF('数据-取费表'!B22&lt;=1,(C21+C22+C23)*F25*'数据-取费表'!B24/2,(C21+C22+C23)*(POWER((1+F25),'数据-取费表'!B24/2)-1)),0)</f>
        <v>705</v>
      </c>
      <c r="D27" s="326"/>
      <c r="E27" s="327"/>
      <c r="F27" s="328"/>
      <c r="G27" s="2545" t="str">
        <f>IF('数据-取费表'!B22&lt;=1,"（1）-（3）项×年利率×建设期÷2","（1）-（3）项×((1+年利率)^(建设期÷2)-1)")</f>
        <v>（1）-（3）项×((1+年利率)^(建设期÷2)-1)</v>
      </c>
      <c r="H27" s="977"/>
      <c r="I27" s="977"/>
      <c r="J27" s="977"/>
      <c r="K27" s="978"/>
    </row>
    <row r="28" spans="1:33" s="331" customFormat="1" ht="13.5" customHeight="1">
      <c r="A28" s="959" t="s">
        <v>2493</v>
      </c>
      <c r="B28" s="2546" t="s">
        <v>2494</v>
      </c>
      <c r="C28" s="329">
        <f ca="1">C30</f>
        <v>4181</v>
      </c>
      <c r="D28" s="322">
        <f ca="1">C29</f>
        <v>0.16209999999999999</v>
      </c>
      <c r="E28" s="324" t="s">
        <v>15</v>
      </c>
      <c r="F28" s="330">
        <f ca="1">IF(C1="",'数据-取费表'!Q16,INDIRECT("'数据-取费表'!q"&amp;$K$1))</f>
        <v>0.21</v>
      </c>
      <c r="G28" s="987"/>
      <c r="H28" s="988"/>
      <c r="I28" s="988"/>
      <c r="J28" s="988"/>
      <c r="K28" s="989"/>
    </row>
    <row r="29" spans="1:33" s="333" customFormat="1" ht="13.5" customHeight="1">
      <c r="A29" s="969" t="s">
        <v>803</v>
      </c>
      <c r="B29" s="992" t="s">
        <v>2495</v>
      </c>
      <c r="C29" s="326">
        <f ca="1">ROUND((1+C24)*F28*'数据-取费表'!B24/'数据-取费表'!B20,4)</f>
        <v>0.16209999999999999</v>
      </c>
      <c r="D29" s="326"/>
      <c r="E29" s="327"/>
      <c r="F29" s="332"/>
      <c r="G29" s="138" t="s">
        <v>2496</v>
      </c>
      <c r="H29" s="977"/>
      <c r="I29" s="977"/>
      <c r="J29" s="977"/>
      <c r="K29" s="978"/>
    </row>
    <row r="30" spans="1:33" s="333" customFormat="1" ht="13.5" customHeight="1">
      <c r="A30" s="969" t="s">
        <v>804</v>
      </c>
      <c r="B30" s="992" t="s">
        <v>2497</v>
      </c>
      <c r="C30" s="334">
        <f ca="1">ROUND((C21+C22+C23)*F28,0)</f>
        <v>4181</v>
      </c>
      <c r="D30" s="326"/>
      <c r="E30" s="327"/>
      <c r="F30" s="332"/>
      <c r="G30" s="138"/>
      <c r="H30" s="977"/>
      <c r="I30" s="977"/>
      <c r="J30" s="977"/>
      <c r="K30" s="978"/>
    </row>
    <row r="31" spans="1:33" s="973" customFormat="1" ht="13.5" customHeight="1" thickBot="1">
      <c r="A31" s="2547" t="s">
        <v>2498</v>
      </c>
      <c r="B31" s="1003" t="s">
        <v>2499</v>
      </c>
      <c r="C31" s="1004">
        <f ca="1">ROUND(C4*F31/(1+'数据-取费表'!C42),0)</f>
        <v>2310</v>
      </c>
      <c r="D31" s="1005"/>
      <c r="E31" s="1006"/>
      <c r="F31" s="1007">
        <f>'数据-取费表'!B41</f>
        <v>5.6000000000000001E-2</v>
      </c>
      <c r="G31" s="1008" t="s">
        <v>2500</v>
      </c>
      <c r="H31" s="1009"/>
      <c r="I31" s="1009"/>
      <c r="J31" s="1009"/>
      <c r="K31" s="1010"/>
    </row>
    <row r="32" spans="1:33" s="968" customFormat="1" ht="13.5" customHeight="1" thickBot="1">
      <c r="A32" s="998" t="s">
        <v>2501</v>
      </c>
      <c r="B32" s="999"/>
      <c r="C32" s="1000">
        <f ca="1">ROUND((C4-C21-C22-C23-C25-C28-C31)/(1+C24+D25+D28),0)</f>
        <v>12809</v>
      </c>
      <c r="D32" s="999"/>
      <c r="E32" s="999"/>
      <c r="F32" s="999"/>
      <c r="G32" s="1001" t="s">
        <v>2502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7" sqref="G7"/>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2512</v>
      </c>
      <c r="B1" s="2656" t="s">
        <v>2686</v>
      </c>
      <c r="C1" s="1615" t="s">
        <v>2514</v>
      </c>
      <c r="D1" s="1616" t="s">
        <v>3041</v>
      </c>
      <c r="E1" s="1625"/>
      <c r="F1" s="2571" t="s">
        <v>3045</v>
      </c>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2314</v>
      </c>
      <c r="B2" s="1414" t="e">
        <f>IF(C2="——",ROUND(C43*D3/10000,0),ROUND(C43*D3/10000,0)-D2)</f>
        <v>#DIV/0!</v>
      </c>
      <c r="C2" s="2573" t="s">
        <v>70</v>
      </c>
      <c r="D2" s="1122" t="e">
        <f ca="1">SUMIF(INDIRECT("'"&amp;F2&amp;"'"&amp;"!A:A"),"承租人权益价值",INDIRECT("'"&amp;F2&amp;"'"&amp;"!c:c"))</f>
        <v>#REF!</v>
      </c>
      <c r="E2" s="2574" t="s">
        <v>2315</v>
      </c>
      <c r="F2" s="2575"/>
      <c r="G2" s="1123"/>
      <c r="H2" s="1123"/>
      <c r="I2" s="1123"/>
      <c r="J2" s="1123"/>
      <c r="K2" s="1123"/>
      <c r="L2" s="1126"/>
      <c r="M2" s="1127"/>
      <c r="N2" s="1127"/>
      <c r="O2" s="1127"/>
      <c r="P2" s="764"/>
      <c r="Q2" s="764"/>
      <c r="R2" s="764"/>
      <c r="S2" s="764"/>
      <c r="T2" s="764"/>
      <c r="U2" s="764"/>
      <c r="V2" s="764"/>
      <c r="W2" s="764"/>
      <c r="X2" s="764"/>
      <c r="Y2" s="764"/>
      <c r="Z2" s="764"/>
      <c r="AA2" s="764"/>
      <c r="AB2" s="764"/>
      <c r="AC2" s="778"/>
    </row>
    <row r="3" spans="1:29" s="396" customFormat="1" ht="28.5" customHeight="1" thickBot="1">
      <c r="A3" s="245" t="s">
        <v>2316</v>
      </c>
      <c r="B3" s="607" t="e">
        <f>IF(C2="——",C43,ROUND(B2*10000/D3,0))</f>
        <v>#DIV/0!</v>
      </c>
      <c r="C3" s="398" t="s">
        <v>2628</v>
      </c>
      <c r="D3" s="397">
        <f>IF(D1="",'数据-汇总表'!E3,SUMIF('数据-汇总表'!$C19:$C33,D1,'数据-汇总表'!$E19:$E33))</f>
        <v>0</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9" t="s">
        <v>2629</v>
      </c>
      <c r="B4" s="400"/>
      <c r="C4" s="3275" t="s">
        <v>2630</v>
      </c>
      <c r="D4" s="3276"/>
      <c r="E4" s="3277" t="s">
        <v>2631</v>
      </c>
      <c r="F4" s="3278"/>
      <c r="G4" s="3275" t="s">
        <v>2632</v>
      </c>
      <c r="H4" s="3276"/>
      <c r="I4" s="3275" t="s">
        <v>2633</v>
      </c>
      <c r="J4" s="3276"/>
      <c r="K4" s="608" t="s">
        <v>2634</v>
      </c>
      <c r="L4" s="1128"/>
      <c r="M4" s="1129"/>
      <c r="N4" s="1129"/>
      <c r="O4" s="1129"/>
      <c r="P4" s="3279" t="s">
        <v>2635</v>
      </c>
      <c r="Q4" s="3280"/>
      <c r="R4" s="3262" t="s">
        <v>2631</v>
      </c>
      <c r="S4" s="3263"/>
      <c r="T4" s="3262" t="s">
        <v>2632</v>
      </c>
      <c r="U4" s="3263"/>
      <c r="V4" s="3287" t="s">
        <v>2633</v>
      </c>
      <c r="W4" s="3287"/>
      <c r="X4" s="1808"/>
      <c r="Y4" s="3262" t="s">
        <v>2635</v>
      </c>
      <c r="Z4" s="3263"/>
      <c r="AA4" s="3257" t="s">
        <v>2631</v>
      </c>
      <c r="AB4" s="3258" t="s">
        <v>2632</v>
      </c>
      <c r="AC4" s="3257" t="s">
        <v>2633</v>
      </c>
    </row>
    <row r="5" spans="1:29" ht="15">
      <c r="A5" s="402"/>
      <c r="B5" s="403"/>
      <c r="C5" s="3268" t="s">
        <v>2526</v>
      </c>
      <c r="D5" s="3269"/>
      <c r="E5" s="3266" t="s">
        <v>2527</v>
      </c>
      <c r="F5" s="3267"/>
      <c r="G5" s="3268" t="s">
        <v>2528</v>
      </c>
      <c r="H5" s="3269"/>
      <c r="I5" s="3268" t="s">
        <v>2529</v>
      </c>
      <c r="J5" s="3269"/>
      <c r="K5" s="608"/>
      <c r="L5" s="1128"/>
      <c r="M5" s="1129"/>
      <c r="N5" s="1129"/>
      <c r="O5" s="1129"/>
      <c r="P5" s="3281"/>
      <c r="Q5" s="3282"/>
      <c r="R5" s="3264"/>
      <c r="S5" s="3265"/>
      <c r="T5" s="3264"/>
      <c r="U5" s="3265"/>
      <c r="V5" s="3287"/>
      <c r="W5" s="3287"/>
      <c r="X5" s="1808"/>
      <c r="Y5" s="3264"/>
      <c r="Z5" s="3265"/>
      <c r="AA5" s="3258"/>
      <c r="AB5" s="3258"/>
      <c r="AC5" s="3258"/>
    </row>
    <row r="6" spans="1:29" ht="15.75" thickBot="1">
      <c r="A6" s="404"/>
      <c r="B6" s="405"/>
      <c r="C6" s="3270" t="s">
        <v>2530</v>
      </c>
      <c r="D6" s="3271"/>
      <c r="E6" s="3272" t="s">
        <v>2530</v>
      </c>
      <c r="F6" s="3273"/>
      <c r="G6" s="3270" t="s">
        <v>2530</v>
      </c>
      <c r="H6" s="3271"/>
      <c r="I6" s="3270" t="s">
        <v>2530</v>
      </c>
      <c r="J6" s="3271"/>
      <c r="K6" s="608" t="s">
        <v>2531</v>
      </c>
      <c r="L6" s="1128"/>
      <c r="M6" s="1129"/>
      <c r="N6" s="1129"/>
      <c r="O6" s="1129"/>
      <c r="P6" s="3283"/>
      <c r="Q6" s="3284"/>
      <c r="R6" s="3264"/>
      <c r="S6" s="3265"/>
      <c r="T6" s="3285"/>
      <c r="U6" s="3286"/>
      <c r="V6" s="3287"/>
      <c r="W6" s="3287"/>
      <c r="X6" s="1808"/>
      <c r="Y6" s="3285"/>
      <c r="Z6" s="3286"/>
      <c r="AA6" s="3259"/>
      <c r="AB6" s="3259"/>
      <c r="AC6" s="3259"/>
    </row>
    <row r="7" spans="1:29" s="116" customFormat="1" ht="15.75" thickBot="1">
      <c r="A7" s="406" t="s">
        <v>2532</v>
      </c>
      <c r="B7" s="407"/>
      <c r="C7" s="408">
        <f>'数据-取费表'!B2</f>
        <v>43207</v>
      </c>
      <c r="D7" s="409">
        <v>100</v>
      </c>
      <c r="E7" s="2935" t="s">
        <v>3047</v>
      </c>
      <c r="F7" s="411">
        <f>SUMIF(52:52,YEAR(E7)&amp;"-"&amp;MONTH(E7),53:53)</f>
        <v>0</v>
      </c>
      <c r="G7" s="410"/>
      <c r="H7" s="409">
        <f>SUMIF(52:52,YEAR(G7)&amp;"-"&amp;MONTH(G7),53:53)</f>
        <v>0</v>
      </c>
      <c r="I7" s="410"/>
      <c r="J7" s="409">
        <f>SUMIF(52:52,YEAR(I7)&amp;"-"&amp;MONTH(I7),53:53)</f>
        <v>0</v>
      </c>
      <c r="K7" s="609"/>
      <c r="L7" s="1130"/>
      <c r="M7" s="1131"/>
      <c r="N7" s="1131"/>
      <c r="O7" s="1131"/>
      <c r="P7" s="3260" t="s">
        <v>2533</v>
      </c>
      <c r="Q7" s="3288"/>
      <c r="R7" s="766" t="s">
        <v>17</v>
      </c>
      <c r="S7" s="767">
        <f t="shared" ref="S7:S15" si="0">F7</f>
        <v>0</v>
      </c>
      <c r="T7" s="766" t="s">
        <v>17</v>
      </c>
      <c r="U7" s="767">
        <f t="shared" ref="U7:U15" si="1">H7</f>
        <v>0</v>
      </c>
      <c r="V7" s="766" t="s">
        <v>17</v>
      </c>
      <c r="W7" s="767">
        <f t="shared" ref="W7:W15" si="2">J7</f>
        <v>0</v>
      </c>
      <c r="X7" s="768"/>
      <c r="Y7" s="3260" t="s">
        <v>2533</v>
      </c>
      <c r="Z7" s="3261"/>
      <c r="AA7" s="769" t="e">
        <f>D7/F7</f>
        <v>#DIV/0!</v>
      </c>
      <c r="AB7" s="769" t="e">
        <f>D7/H7</f>
        <v>#DIV/0!</v>
      </c>
      <c r="AC7" s="769" t="e">
        <f>D7/J7</f>
        <v>#DIV/0!</v>
      </c>
    </row>
    <row r="8" spans="1:29" s="116" customFormat="1" ht="15.75" thickBot="1">
      <c r="A8" s="406" t="s">
        <v>2534</v>
      </c>
      <c r="B8" s="407"/>
      <c r="C8" s="412" t="s">
        <v>2535</v>
      </c>
      <c r="D8" s="409">
        <v>100</v>
      </c>
      <c r="E8" s="412" t="s">
        <v>3048</v>
      </c>
      <c r="F8" s="411">
        <f>SUMIF(55:55,E8,56:56)-SUMIF(55:55,C8,56:56)+100</f>
        <v>100</v>
      </c>
      <c r="G8" s="412"/>
      <c r="H8" s="409">
        <f>SUMIF(55:55,G8,56:56)-SUMIF(55:55,C8,56:56)+100</f>
        <v>0</v>
      </c>
      <c r="I8" s="412"/>
      <c r="J8" s="409">
        <f>SUMIF(55:55,I8,56:56)-SUMIF(55:55,C8,56:56)+100</f>
        <v>0</v>
      </c>
      <c r="K8" s="609"/>
      <c r="L8" s="1130"/>
      <c r="M8" s="1131"/>
      <c r="N8" s="1131"/>
      <c r="O8" s="1131"/>
      <c r="P8" s="3260" t="s">
        <v>2536</v>
      </c>
      <c r="Q8" s="3261"/>
      <c r="R8" s="766" t="s">
        <v>17</v>
      </c>
      <c r="S8" s="767">
        <f t="shared" si="0"/>
        <v>100</v>
      </c>
      <c r="T8" s="766" t="s">
        <v>17</v>
      </c>
      <c r="U8" s="767">
        <f t="shared" si="1"/>
        <v>0</v>
      </c>
      <c r="V8" s="766" t="s">
        <v>17</v>
      </c>
      <c r="W8" s="767">
        <f t="shared" si="2"/>
        <v>0</v>
      </c>
      <c r="X8" s="768"/>
      <c r="Y8" s="3260" t="s">
        <v>2536</v>
      </c>
      <c r="Z8" s="3261"/>
      <c r="AA8" s="769">
        <f t="shared" ref="AA8:AA40" si="3">D8/F8</f>
        <v>1</v>
      </c>
      <c r="AB8" s="769" t="e">
        <f t="shared" ref="AB8:AB40" si="4">D8/H8</f>
        <v>#DIV/0!</v>
      </c>
      <c r="AC8" s="769" t="e">
        <f t="shared" ref="AC8:AC40" si="5">D8/J8</f>
        <v>#DIV/0!</v>
      </c>
    </row>
    <row r="9" spans="1:29" s="116" customFormat="1">
      <c r="A9" s="413" t="s">
        <v>2537</v>
      </c>
      <c r="B9" s="71" t="s">
        <v>2538</v>
      </c>
      <c r="C9" s="2936" t="s">
        <v>3049</v>
      </c>
      <c r="D9" s="133">
        <v>100</v>
      </c>
      <c r="E9" s="417"/>
      <c r="F9" s="133">
        <f>SUMIF(57:57,E9,58:58)-SUMIF(57:57,C9,58:58)+100</f>
        <v>0</v>
      </c>
      <c r="G9" s="415"/>
      <c r="H9" s="133">
        <f>SUMIF(57:57,G9,58:58)-SUMIF(57:57,C9,58:58)+100</f>
        <v>0</v>
      </c>
      <c r="I9" s="415"/>
      <c r="J9" s="133">
        <f>SUMIF(57:57,I9,58:58)-SUMIF(57:57,C9,58:58)+100</f>
        <v>0</v>
      </c>
      <c r="K9" s="609"/>
      <c r="L9" s="1130"/>
      <c r="M9" s="1131"/>
      <c r="N9" s="1131"/>
      <c r="O9" s="1132"/>
      <c r="P9" s="3274" t="s">
        <v>2539</v>
      </c>
      <c r="Q9" s="1790" t="str">
        <f t="shared" ref="Q9:Q15" si="6">B9</f>
        <v>用途</v>
      </c>
      <c r="R9" s="766" t="s">
        <v>17</v>
      </c>
      <c r="S9" s="767">
        <f t="shared" si="0"/>
        <v>0</v>
      </c>
      <c r="T9" s="766" t="s">
        <v>17</v>
      </c>
      <c r="U9" s="767">
        <f t="shared" si="1"/>
        <v>0</v>
      </c>
      <c r="V9" s="766" t="s">
        <v>17</v>
      </c>
      <c r="W9" s="767">
        <f t="shared" si="2"/>
        <v>0</v>
      </c>
      <c r="X9" s="768"/>
      <c r="Y9" s="3134" t="s">
        <v>2540</v>
      </c>
      <c r="Z9" s="55" t="str">
        <f t="shared" ref="Z9:Z15" si="7">Q9</f>
        <v>用途</v>
      </c>
      <c r="AA9" s="769" t="e">
        <f t="shared" si="3"/>
        <v>#DIV/0!</v>
      </c>
      <c r="AB9" s="769" t="e">
        <f t="shared" si="4"/>
        <v>#DIV/0!</v>
      </c>
      <c r="AC9" s="769" t="e">
        <f t="shared" si="5"/>
        <v>#DIV/0!</v>
      </c>
    </row>
    <row r="10" spans="1:29" s="425" customFormat="1" ht="27">
      <c r="A10" s="419"/>
      <c r="B10" s="420" t="s">
        <v>2541</v>
      </c>
      <c r="C10" s="421" t="s">
        <v>3051</v>
      </c>
      <c r="D10" s="134">
        <v>100</v>
      </c>
      <c r="E10" s="421"/>
      <c r="F10" s="134">
        <f>SUMIF(59:59,E10,60:60)-SUMIF(59:59,C10,60:60)+100</f>
        <v>100</v>
      </c>
      <c r="G10" s="422"/>
      <c r="H10" s="134">
        <f>SUMIF(59:59,G10,60:60)-SUMIF(59:59,C10,60:60)+100</f>
        <v>100</v>
      </c>
      <c r="I10" s="421"/>
      <c r="J10" s="134">
        <f>SUMIF(59:59,I10,60:60)-SUMIF(59:59,C10,60:60)+100</f>
        <v>100</v>
      </c>
      <c r="K10" s="610"/>
      <c r="L10" s="1133"/>
      <c r="M10" s="1134"/>
      <c r="N10" s="1134"/>
      <c r="O10" s="1135"/>
      <c r="P10" s="3274"/>
      <c r="Q10" s="1790" t="str">
        <f t="shared" si="6"/>
        <v>土地使用年限（年）</v>
      </c>
      <c r="R10" s="766" t="s">
        <v>17</v>
      </c>
      <c r="S10" s="767">
        <f t="shared" si="0"/>
        <v>100</v>
      </c>
      <c r="T10" s="766" t="s">
        <v>17</v>
      </c>
      <c r="U10" s="767">
        <f t="shared" si="1"/>
        <v>100</v>
      </c>
      <c r="V10" s="766" t="s">
        <v>17</v>
      </c>
      <c r="W10" s="767">
        <f t="shared" si="2"/>
        <v>100</v>
      </c>
      <c r="X10" s="768"/>
      <c r="Y10" s="3134"/>
      <c r="Z10" s="55" t="str">
        <f t="shared" si="7"/>
        <v>土地使用年限（年）</v>
      </c>
      <c r="AA10" s="769">
        <f t="shared" si="3"/>
        <v>1</v>
      </c>
      <c r="AB10" s="769">
        <f t="shared" si="4"/>
        <v>1</v>
      </c>
      <c r="AC10" s="769">
        <f t="shared" si="5"/>
        <v>1</v>
      </c>
    </row>
    <row r="11" spans="1:29" ht="15">
      <c r="A11" s="426"/>
      <c r="B11" s="420" t="s">
        <v>2542</v>
      </c>
      <c r="C11" s="427">
        <f>'数据-汇总表'!I3</f>
        <v>1.26</v>
      </c>
      <c r="D11" s="134">
        <v>100</v>
      </c>
      <c r="E11" s="427"/>
      <c r="F11" s="134" t="e">
        <f>LOOKUP(E11,62:62,63:63)-LOOKUP(C11,62:62,63:63)+100</f>
        <v>#N/A</v>
      </c>
      <c r="G11" s="428"/>
      <c r="H11" s="134" t="e">
        <f>LOOKUP(G11,62:62,63:63)-LOOKUP(C11,62:62,63:63)+100</f>
        <v>#N/A</v>
      </c>
      <c r="I11" s="427"/>
      <c r="J11" s="134" t="e">
        <f>LOOKUP(I11,62:62,63:63)-LOOKUP(C11,62:62,63:63)+100</f>
        <v>#N/A</v>
      </c>
      <c r="K11" s="610"/>
      <c r="L11" s="1136"/>
      <c r="M11" s="1129"/>
      <c r="N11" s="1129"/>
      <c r="O11" s="1137"/>
      <c r="P11" s="3274"/>
      <c r="Q11" s="1790" t="str">
        <f t="shared" si="6"/>
        <v>容积率</v>
      </c>
      <c r="R11" s="766" t="s">
        <v>17</v>
      </c>
      <c r="S11" s="767" t="e">
        <f t="shared" si="0"/>
        <v>#N/A</v>
      </c>
      <c r="T11" s="766" t="s">
        <v>17</v>
      </c>
      <c r="U11" s="767" t="e">
        <f t="shared" si="1"/>
        <v>#N/A</v>
      </c>
      <c r="V11" s="766" t="s">
        <v>17</v>
      </c>
      <c r="W11" s="767" t="e">
        <f t="shared" si="2"/>
        <v>#N/A</v>
      </c>
      <c r="X11" s="768"/>
      <c r="Y11" s="3134"/>
      <c r="Z11" s="55" t="str">
        <f t="shared" si="7"/>
        <v>容积率</v>
      </c>
      <c r="AA11" s="769" t="e">
        <f t="shared" si="3"/>
        <v>#N/A</v>
      </c>
      <c r="AB11" s="769" t="e">
        <f t="shared" si="4"/>
        <v>#N/A</v>
      </c>
      <c r="AC11" s="769" t="e">
        <f t="shared" si="5"/>
        <v>#N/A</v>
      </c>
    </row>
    <row r="12" spans="1:29" s="116" customFormat="1" ht="15">
      <c r="A12" s="429"/>
      <c r="B12" s="2587">
        <v>111</v>
      </c>
      <c r="C12" s="430"/>
      <c r="D12" s="431">
        <v>100</v>
      </c>
      <c r="E12" s="432"/>
      <c r="F12" s="134">
        <f>SUMIF(64:64,E12,65:65)-SUMIF(64:64,C12,65:65)+100</f>
        <v>100</v>
      </c>
      <c r="G12" s="2679"/>
      <c r="H12" s="134">
        <f>SUMIF(64:64,G12,65:65)-SUMIF(64:64,C12,65:65)+100</f>
        <v>100</v>
      </c>
      <c r="I12" s="467"/>
      <c r="J12" s="134">
        <f>SUMIF(64:64,I12,65:65)-SUMIF(64:64,C12,65:65)+100</f>
        <v>100</v>
      </c>
      <c r="K12" s="611"/>
      <c r="L12" s="1130"/>
      <c r="M12" s="1131"/>
      <c r="N12" s="1131"/>
      <c r="O12" s="1132"/>
      <c r="P12" s="3274"/>
      <c r="Q12" s="1790">
        <f t="shared" si="6"/>
        <v>111</v>
      </c>
      <c r="R12" s="766" t="s">
        <v>17</v>
      </c>
      <c r="S12" s="767">
        <f t="shared" si="0"/>
        <v>100</v>
      </c>
      <c r="T12" s="766" t="s">
        <v>17</v>
      </c>
      <c r="U12" s="767">
        <f t="shared" si="1"/>
        <v>100</v>
      </c>
      <c r="V12" s="766" t="s">
        <v>17</v>
      </c>
      <c r="W12" s="767">
        <f t="shared" si="2"/>
        <v>100</v>
      </c>
      <c r="X12" s="768"/>
      <c r="Y12" s="3134"/>
      <c r="Z12" s="55">
        <f t="shared" si="7"/>
        <v>111</v>
      </c>
      <c r="AA12" s="769">
        <f>D12/F12</f>
        <v>1</v>
      </c>
      <c r="AB12" s="769">
        <f>D12/H12</f>
        <v>1</v>
      </c>
      <c r="AC12" s="769">
        <f>D12/J12</f>
        <v>1</v>
      </c>
    </row>
    <row r="13" spans="1:29" ht="15">
      <c r="A13" s="426"/>
      <c r="B13" s="2587">
        <v>111</v>
      </c>
      <c r="C13" s="432"/>
      <c r="D13" s="433">
        <v>100</v>
      </c>
      <c r="E13" s="432"/>
      <c r="F13" s="134">
        <f>SUMIF(66:66,E13,67:67)-SUMIF(66:66,C13,67:67)+100</f>
        <v>100</v>
      </c>
      <c r="G13" s="2679"/>
      <c r="H13" s="433">
        <f>SUMIF(66:66,G13,67:67)-SUMIF(66:66,C13,67:67)+100</f>
        <v>100</v>
      </c>
      <c r="I13" s="467"/>
      <c r="J13" s="433">
        <f>SUMIF(66:66,I13,67:67)-SUMIF(66:66,C13,67:67)+100</f>
        <v>100</v>
      </c>
      <c r="K13" s="611"/>
      <c r="L13" s="1138"/>
      <c r="M13" s="1129"/>
      <c r="N13" s="1129"/>
      <c r="O13" s="1137"/>
      <c r="P13" s="3274"/>
      <c r="Q13" s="1790">
        <f t="shared" si="6"/>
        <v>111</v>
      </c>
      <c r="R13" s="766" t="s">
        <v>17</v>
      </c>
      <c r="S13" s="767">
        <f t="shared" si="0"/>
        <v>100</v>
      </c>
      <c r="T13" s="766" t="s">
        <v>17</v>
      </c>
      <c r="U13" s="767">
        <f t="shared" si="1"/>
        <v>100</v>
      </c>
      <c r="V13" s="766" t="s">
        <v>17</v>
      </c>
      <c r="W13" s="767">
        <f t="shared" si="2"/>
        <v>100</v>
      </c>
      <c r="X13" s="768"/>
      <c r="Y13" s="3134"/>
      <c r="Z13" s="55">
        <f t="shared" si="7"/>
        <v>111</v>
      </c>
      <c r="AA13" s="769">
        <f t="shared" si="3"/>
        <v>1</v>
      </c>
      <c r="AB13" s="769">
        <f t="shared" si="4"/>
        <v>1</v>
      </c>
      <c r="AC13" s="769">
        <f t="shared" si="5"/>
        <v>1</v>
      </c>
    </row>
    <row r="14" spans="1:29" ht="15.75" thickBot="1">
      <c r="A14" s="434"/>
      <c r="B14" s="2589">
        <v>111</v>
      </c>
      <c r="C14" s="435"/>
      <c r="D14" s="436">
        <v>100</v>
      </c>
      <c r="E14" s="435"/>
      <c r="F14" s="436">
        <f>SUMIF(68:68,E14,69:69)-SUMIF(68:68,C14,69:69)+100</f>
        <v>100</v>
      </c>
      <c r="G14" s="2679"/>
      <c r="H14" s="436">
        <f>SUMIF(68:68,G14,69:69)-SUMIF(68:68,C14,69:69)+100</f>
        <v>100</v>
      </c>
      <c r="I14" s="467"/>
      <c r="J14" s="436">
        <f>SUMIF(68:68,I14,69:69)-SUMIF(68:68,C14,69:69)+100</f>
        <v>100</v>
      </c>
      <c r="K14" s="611"/>
      <c r="L14" s="1138"/>
      <c r="M14" s="1129"/>
      <c r="N14" s="1129"/>
      <c r="O14" s="1137"/>
      <c r="P14" s="3274"/>
      <c r="Q14" s="1790">
        <f t="shared" si="6"/>
        <v>111</v>
      </c>
      <c r="R14" s="766" t="s">
        <v>17</v>
      </c>
      <c r="S14" s="767">
        <f t="shared" si="0"/>
        <v>100</v>
      </c>
      <c r="T14" s="766" t="s">
        <v>17</v>
      </c>
      <c r="U14" s="767">
        <f t="shared" si="1"/>
        <v>100</v>
      </c>
      <c r="V14" s="766" t="s">
        <v>17</v>
      </c>
      <c r="W14" s="767">
        <f t="shared" si="2"/>
        <v>100</v>
      </c>
      <c r="X14" s="768"/>
      <c r="Y14" s="3134"/>
      <c r="Z14" s="55">
        <f t="shared" si="7"/>
        <v>111</v>
      </c>
      <c r="AA14" s="769">
        <f t="shared" si="3"/>
        <v>1</v>
      </c>
      <c r="AB14" s="769">
        <f t="shared" si="4"/>
        <v>1</v>
      </c>
      <c r="AC14" s="769">
        <f t="shared" si="5"/>
        <v>1</v>
      </c>
    </row>
    <row r="15" spans="1:29" ht="57" customHeight="1">
      <c r="A15" s="438" t="s">
        <v>2543</v>
      </c>
      <c r="B15" s="69" t="s">
        <v>2687</v>
      </c>
      <c r="C15" s="2680">
        <f>估价对象房地状况!G3</f>
        <v>0</v>
      </c>
      <c r="D15" s="439">
        <v>100</v>
      </c>
      <c r="E15" s="2937" t="s">
        <v>3059</v>
      </c>
      <c r="F15" s="441">
        <f>SUMIF(70:70,E16,71:71)-SUMIF(70:70,C16,71:71)+100</f>
        <v>100</v>
      </c>
      <c r="G15" s="442"/>
      <c r="H15" s="439">
        <f>SUMIF(70:70,G16,71:71)-SUMIF(70:70,C16,71:71)+100</f>
        <v>100</v>
      </c>
      <c r="I15" s="440"/>
      <c r="J15" s="439">
        <f>SUMIF(70:70,I16,71:71)-SUMIF(70:70,C16,71:71)+100</f>
        <v>100</v>
      </c>
      <c r="K15" s="612"/>
      <c r="L15" s="1138"/>
      <c r="M15" s="1129"/>
      <c r="N15" s="1129"/>
      <c r="O15" s="1137"/>
      <c r="P15" s="3289" t="s">
        <v>2544</v>
      </c>
      <c r="Q15" s="1805" t="str">
        <f t="shared" si="6"/>
        <v>产业集聚程度</v>
      </c>
      <c r="R15" s="770" t="s">
        <v>17</v>
      </c>
      <c r="S15" s="771">
        <f t="shared" si="0"/>
        <v>100</v>
      </c>
      <c r="T15" s="770" t="s">
        <v>17</v>
      </c>
      <c r="U15" s="771">
        <f t="shared" si="1"/>
        <v>100</v>
      </c>
      <c r="V15" s="770" t="s">
        <v>17</v>
      </c>
      <c r="W15" s="771">
        <f t="shared" si="2"/>
        <v>100</v>
      </c>
      <c r="X15" s="1808"/>
      <c r="Y15" s="3289" t="s">
        <v>2544</v>
      </c>
      <c r="Z15" s="1809" t="str">
        <f t="shared" si="7"/>
        <v>产业集聚程度</v>
      </c>
      <c r="AA15" s="1806">
        <f t="shared" si="3"/>
        <v>1</v>
      </c>
      <c r="AB15" s="1806">
        <f t="shared" si="4"/>
        <v>1</v>
      </c>
      <c r="AC15" s="1806">
        <f t="shared" si="5"/>
        <v>1</v>
      </c>
    </row>
    <row r="16" spans="1:29" ht="15">
      <c r="A16" s="426"/>
      <c r="B16" s="444"/>
      <c r="C16" s="445"/>
      <c r="D16" s="446"/>
      <c r="E16" s="445"/>
      <c r="F16" s="447"/>
      <c r="G16" s="445"/>
      <c r="H16" s="448"/>
      <c r="I16" s="445"/>
      <c r="J16" s="446"/>
      <c r="K16" s="613"/>
      <c r="L16" s="1138"/>
      <c r="M16" s="1129"/>
      <c r="N16" s="1129"/>
      <c r="O16" s="1137"/>
      <c r="P16" s="3290"/>
      <c r="Q16" s="1805"/>
      <c r="R16" s="770"/>
      <c r="S16" s="771"/>
      <c r="T16" s="770"/>
      <c r="U16" s="771"/>
      <c r="V16" s="770"/>
      <c r="W16" s="771"/>
      <c r="X16" s="1808"/>
      <c r="Y16" s="3290"/>
      <c r="Z16" s="1809"/>
      <c r="AA16" s="1806">
        <v>1</v>
      </c>
      <c r="AB16" s="1806">
        <v>1</v>
      </c>
      <c r="AC16" s="1806">
        <v>1</v>
      </c>
    </row>
    <row r="17" spans="1:29" ht="81">
      <c r="A17" s="426"/>
      <c r="B17" s="449" t="s">
        <v>2089</v>
      </c>
      <c r="C17" s="2594">
        <f>估价对象房地状况!G4</f>
        <v>0</v>
      </c>
      <c r="D17" s="448">
        <v>100</v>
      </c>
      <c r="E17" s="2939" t="s">
        <v>3060</v>
      </c>
      <c r="F17" s="451">
        <f>SUMIF(72:72,E18,73:73)-SUMIF(72:72,C18,73:73)+100</f>
        <v>100</v>
      </c>
      <c r="G17" s="452"/>
      <c r="H17" s="453">
        <f>SUMIF(72:72,G18,73:73)-SUMIF(72:72,C18,73:73)+100</f>
        <v>100</v>
      </c>
      <c r="I17" s="450"/>
      <c r="J17" s="453">
        <f>SUMIF(72:72,I18,73:73)-SUMIF(72:72,C18,73:73)+100</f>
        <v>100</v>
      </c>
      <c r="K17" s="612"/>
      <c r="L17" s="1138"/>
      <c r="M17" s="1129"/>
      <c r="N17" s="1129"/>
      <c r="O17" s="1137"/>
      <c r="P17" s="3290"/>
      <c r="Q17" s="1805" t="str">
        <f>B17</f>
        <v>交通便捷度</v>
      </c>
      <c r="R17" s="770" t="s">
        <v>17</v>
      </c>
      <c r="S17" s="771">
        <f>F17</f>
        <v>100</v>
      </c>
      <c r="T17" s="770" t="s">
        <v>17</v>
      </c>
      <c r="U17" s="771">
        <f>H17</f>
        <v>100</v>
      </c>
      <c r="V17" s="770" t="s">
        <v>17</v>
      </c>
      <c r="W17" s="771">
        <f>J17</f>
        <v>100</v>
      </c>
      <c r="X17" s="1808"/>
      <c r="Y17" s="3290"/>
      <c r="Z17" s="1809" t="str">
        <f>Q17</f>
        <v>交通便捷度</v>
      </c>
      <c r="AA17" s="1806">
        <f t="shared" si="3"/>
        <v>1</v>
      </c>
      <c r="AB17" s="1806">
        <f t="shared" si="4"/>
        <v>1</v>
      </c>
      <c r="AC17" s="1806">
        <f t="shared" si="5"/>
        <v>1</v>
      </c>
    </row>
    <row r="18" spans="1:29" ht="15">
      <c r="A18" s="426"/>
      <c r="B18" s="454"/>
      <c r="C18" s="2595"/>
      <c r="D18" s="448"/>
      <c r="E18" s="2597"/>
      <c r="F18" s="451"/>
      <c r="G18" s="2596"/>
      <c r="H18" s="446"/>
      <c r="I18" s="2597"/>
      <c r="J18" s="446"/>
      <c r="K18" s="613"/>
      <c r="L18" s="1138"/>
      <c r="M18" s="1129"/>
      <c r="N18" s="1129"/>
      <c r="O18" s="1137"/>
      <c r="P18" s="3290"/>
      <c r="Q18" s="1805"/>
      <c r="R18" s="770"/>
      <c r="S18" s="771"/>
      <c r="T18" s="770"/>
      <c r="U18" s="771"/>
      <c r="V18" s="770"/>
      <c r="W18" s="771"/>
      <c r="X18" s="1808"/>
      <c r="Y18" s="3290"/>
      <c r="Z18" s="1809"/>
      <c r="AA18" s="1806">
        <v>1</v>
      </c>
      <c r="AB18" s="1806">
        <v>1</v>
      </c>
      <c r="AC18" s="1806">
        <v>1</v>
      </c>
    </row>
    <row r="19" spans="1:29" ht="40.5">
      <c r="A19" s="426"/>
      <c r="B19" s="449" t="s">
        <v>2672</v>
      </c>
      <c r="C19" s="2594">
        <f>估价对象房地状况!G5</f>
        <v>0</v>
      </c>
      <c r="D19" s="453">
        <v>100</v>
      </c>
      <c r="E19" s="2940" t="s">
        <v>3061</v>
      </c>
      <c r="F19" s="456">
        <f>SUMIF(74:74,E20,75:75)-SUMIF(74:74,C20,75:75)+100</f>
        <v>100</v>
      </c>
      <c r="G19" s="457"/>
      <c r="H19" s="448">
        <f>SUMIF(74:74,G20,75:75)-SUMIF(74:74,C20,75:75)+100</f>
        <v>100</v>
      </c>
      <c r="I19" s="455"/>
      <c r="J19" s="448">
        <f>SUMIF(74:74,I20,75:75)-SUMIF(74:74,C20,75:75)+100</f>
        <v>100</v>
      </c>
      <c r="K19" s="612"/>
      <c r="L19" s="1138"/>
      <c r="M19" s="1129"/>
      <c r="N19" s="1129"/>
      <c r="O19" s="1137"/>
      <c r="P19" s="3290"/>
      <c r="Q19" s="1805" t="str">
        <f>B19</f>
        <v>公共配套设施</v>
      </c>
      <c r="R19" s="770" t="s">
        <v>17</v>
      </c>
      <c r="S19" s="771">
        <f>F19</f>
        <v>100</v>
      </c>
      <c r="T19" s="770" t="s">
        <v>17</v>
      </c>
      <c r="U19" s="771">
        <f>H19</f>
        <v>100</v>
      </c>
      <c r="V19" s="770" t="s">
        <v>17</v>
      </c>
      <c r="W19" s="771">
        <f>J19</f>
        <v>100</v>
      </c>
      <c r="X19" s="1808"/>
      <c r="Y19" s="3290"/>
      <c r="Z19" s="1809" t="str">
        <f>Q19</f>
        <v>公共配套设施</v>
      </c>
      <c r="AA19" s="1806">
        <f t="shared" si="3"/>
        <v>1</v>
      </c>
      <c r="AB19" s="1806">
        <f t="shared" si="4"/>
        <v>1</v>
      </c>
      <c r="AC19" s="1806">
        <f t="shared" si="5"/>
        <v>1</v>
      </c>
    </row>
    <row r="20" spans="1:29" ht="15">
      <c r="A20" s="426"/>
      <c r="B20" s="454"/>
      <c r="C20" s="445"/>
      <c r="D20" s="446"/>
      <c r="E20" s="2592"/>
      <c r="F20" s="447"/>
      <c r="G20" s="2591"/>
      <c r="H20" s="446"/>
      <c r="I20" s="2592"/>
      <c r="J20" s="446"/>
      <c r="K20" s="613"/>
      <c r="L20" s="1138"/>
      <c r="M20" s="1129"/>
      <c r="N20" s="1129"/>
      <c r="O20" s="1137"/>
      <c r="P20" s="3290"/>
      <c r="Q20" s="1805"/>
      <c r="R20" s="770"/>
      <c r="S20" s="771"/>
      <c r="T20" s="770"/>
      <c r="U20" s="771"/>
      <c r="V20" s="770"/>
      <c r="W20" s="771"/>
      <c r="X20" s="1808"/>
      <c r="Y20" s="3290"/>
      <c r="Z20" s="1809"/>
      <c r="AA20" s="1806">
        <v>1</v>
      </c>
      <c r="AB20" s="1806">
        <v>1</v>
      </c>
      <c r="AC20" s="1806">
        <v>1</v>
      </c>
    </row>
    <row r="21" spans="1:29" ht="27">
      <c r="A21" s="426"/>
      <c r="B21" s="1380" t="s">
        <v>2673</v>
      </c>
      <c r="C21" s="2594">
        <f>估价对象房地状况!G6</f>
        <v>0</v>
      </c>
      <c r="D21" s="448">
        <v>100</v>
      </c>
      <c r="E21" s="2940" t="s">
        <v>3062</v>
      </c>
      <c r="F21" s="456">
        <f>SUMIF(76:76,E22,77:77)-SUMIF(76:76,C22,77:77)+100</f>
        <v>100</v>
      </c>
      <c r="G21" s="457"/>
      <c r="H21" s="448">
        <f>SUMIF(76:76,G22,77:77)-SUMIF(76:76,C22,77:77)+100</f>
        <v>100</v>
      </c>
      <c r="I21" s="455"/>
      <c r="J21" s="448">
        <f>SUMIF(76:76,I22,77:77)-SUMIF(76:76,C22,77:77)+100</f>
        <v>100</v>
      </c>
      <c r="K21" s="612"/>
      <c r="L21" s="1138"/>
      <c r="M21" s="1129"/>
      <c r="N21" s="1129"/>
      <c r="O21" s="1137"/>
      <c r="P21" s="3290"/>
      <c r="Q21" s="1805" t="str">
        <f>B21</f>
        <v>基础设施水平</v>
      </c>
      <c r="R21" s="770" t="s">
        <v>17</v>
      </c>
      <c r="S21" s="771">
        <f>F21</f>
        <v>100</v>
      </c>
      <c r="T21" s="770" t="s">
        <v>17</v>
      </c>
      <c r="U21" s="771">
        <f>H21</f>
        <v>100</v>
      </c>
      <c r="V21" s="770" t="s">
        <v>17</v>
      </c>
      <c r="W21" s="771">
        <f>J21</f>
        <v>100</v>
      </c>
      <c r="X21" s="1808"/>
      <c r="Y21" s="3290"/>
      <c r="Z21" s="1809" t="str">
        <f>Q21</f>
        <v>基础设施水平</v>
      </c>
      <c r="AA21" s="1806">
        <f t="shared" ref="AA21" si="8">D21/F21</f>
        <v>1</v>
      </c>
      <c r="AB21" s="1806">
        <f t="shared" ref="AB21" si="9">D21/H21</f>
        <v>1</v>
      </c>
      <c r="AC21" s="1806">
        <f t="shared" ref="AC21" si="10">D21/J21</f>
        <v>1</v>
      </c>
    </row>
    <row r="22" spans="1:29" ht="15">
      <c r="A22" s="426"/>
      <c r="B22" s="1380"/>
      <c r="C22" s="2595"/>
      <c r="D22" s="446"/>
      <c r="E22" s="445"/>
      <c r="F22" s="447"/>
      <c r="G22" s="445"/>
      <c r="H22" s="446"/>
      <c r="I22" s="445"/>
      <c r="J22" s="446"/>
      <c r="K22" s="1379"/>
      <c r="L22" s="1138"/>
      <c r="M22" s="1129"/>
      <c r="N22" s="1129"/>
      <c r="O22" s="1137"/>
      <c r="P22" s="3290"/>
      <c r="Q22" s="1805"/>
      <c r="R22" s="770"/>
      <c r="S22" s="771"/>
      <c r="T22" s="770"/>
      <c r="U22" s="771"/>
      <c r="V22" s="770"/>
      <c r="W22" s="771"/>
      <c r="X22" s="1808"/>
      <c r="Y22" s="3290"/>
      <c r="Z22" s="1809"/>
      <c r="AA22" s="1806">
        <v>1</v>
      </c>
      <c r="AB22" s="1806">
        <v>1</v>
      </c>
      <c r="AC22" s="1806">
        <v>1</v>
      </c>
    </row>
    <row r="23" spans="1:29" ht="15">
      <c r="A23" s="426"/>
      <c r="B23" s="449" t="s">
        <v>2674</v>
      </c>
      <c r="C23" s="2594">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290"/>
      <c r="Q23" s="1805" t="str">
        <f>B23</f>
        <v>环境质量</v>
      </c>
      <c r="R23" s="770" t="s">
        <v>17</v>
      </c>
      <c r="S23" s="771">
        <f>F23</f>
        <v>100</v>
      </c>
      <c r="T23" s="770" t="s">
        <v>17</v>
      </c>
      <c r="U23" s="771">
        <f>H23</f>
        <v>100</v>
      </c>
      <c r="V23" s="770" t="s">
        <v>17</v>
      </c>
      <c r="W23" s="771">
        <f>J23</f>
        <v>100</v>
      </c>
      <c r="X23" s="1808"/>
      <c r="Y23" s="3290"/>
      <c r="Z23" s="1809" t="str">
        <f>Q23</f>
        <v>环境质量</v>
      </c>
      <c r="AA23" s="1806">
        <f t="shared" si="3"/>
        <v>1</v>
      </c>
      <c r="AB23" s="1806">
        <f t="shared" si="4"/>
        <v>1</v>
      </c>
      <c r="AC23" s="1806">
        <f t="shared" si="5"/>
        <v>1</v>
      </c>
    </row>
    <row r="24" spans="1:29" ht="15">
      <c r="A24" s="426"/>
      <c r="B24" s="1380"/>
      <c r="C24" s="445"/>
      <c r="D24" s="446"/>
      <c r="E24" s="2592"/>
      <c r="F24" s="447"/>
      <c r="G24" s="2591"/>
      <c r="H24" s="446"/>
      <c r="I24" s="2592"/>
      <c r="J24" s="446"/>
      <c r="K24" s="613"/>
      <c r="L24" s="1138"/>
      <c r="M24" s="1129"/>
      <c r="N24" s="1129"/>
      <c r="O24" s="1137"/>
      <c r="P24" s="3290"/>
      <c r="Q24" s="1805"/>
      <c r="R24" s="770"/>
      <c r="S24" s="771"/>
      <c r="T24" s="770"/>
      <c r="U24" s="771"/>
      <c r="V24" s="770"/>
      <c r="W24" s="771"/>
      <c r="X24" s="1808"/>
      <c r="Y24" s="3290"/>
      <c r="Z24" s="1809"/>
      <c r="AA24" s="1806">
        <v>1</v>
      </c>
      <c r="AB24" s="1806">
        <v>1</v>
      </c>
      <c r="AC24" s="1806">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290"/>
      <c r="Q25" s="1805">
        <f>B25</f>
        <v>111</v>
      </c>
      <c r="R25" s="770" t="s">
        <v>17</v>
      </c>
      <c r="S25" s="771">
        <f>F25</f>
        <v>100</v>
      </c>
      <c r="T25" s="770" t="s">
        <v>17</v>
      </c>
      <c r="U25" s="771">
        <f>H25</f>
        <v>100</v>
      </c>
      <c r="V25" s="770" t="s">
        <v>17</v>
      </c>
      <c r="W25" s="771">
        <f>J25</f>
        <v>100</v>
      </c>
      <c r="X25" s="1808"/>
      <c r="Y25" s="3290"/>
      <c r="Z25" s="1809">
        <f>Q25</f>
        <v>111</v>
      </c>
      <c r="AA25" s="1806">
        <f t="shared" si="3"/>
        <v>1</v>
      </c>
      <c r="AB25" s="1806">
        <f t="shared" si="4"/>
        <v>1</v>
      </c>
      <c r="AC25" s="1806">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290"/>
      <c r="Q26" s="1805">
        <f t="shared" ref="Q26:Q40" si="11">B26</f>
        <v>111</v>
      </c>
      <c r="R26" s="770" t="s">
        <v>17</v>
      </c>
      <c r="S26" s="771">
        <f>F26</f>
        <v>100</v>
      </c>
      <c r="T26" s="770" t="s">
        <v>17</v>
      </c>
      <c r="U26" s="771">
        <f>H26</f>
        <v>100</v>
      </c>
      <c r="V26" s="770" t="s">
        <v>17</v>
      </c>
      <c r="W26" s="771">
        <f>J26</f>
        <v>100</v>
      </c>
      <c r="X26" s="1808"/>
      <c r="Y26" s="3290"/>
      <c r="Z26" s="1809">
        <f>Q26</f>
        <v>111</v>
      </c>
      <c r="AA26" s="1806">
        <f t="shared" si="3"/>
        <v>1</v>
      </c>
      <c r="AB26" s="1806">
        <f t="shared" si="4"/>
        <v>1</v>
      </c>
      <c r="AC26" s="1806">
        <f t="shared" si="5"/>
        <v>1</v>
      </c>
    </row>
    <row r="27" spans="1:29" s="116"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290"/>
      <c r="Q27" s="1790">
        <f t="shared" si="11"/>
        <v>111</v>
      </c>
      <c r="R27" s="766" t="s">
        <v>17</v>
      </c>
      <c r="S27" s="767">
        <f>F27</f>
        <v>100</v>
      </c>
      <c r="T27" s="766" t="s">
        <v>17</v>
      </c>
      <c r="U27" s="767">
        <f>H27</f>
        <v>100</v>
      </c>
      <c r="V27" s="766" t="s">
        <v>17</v>
      </c>
      <c r="W27" s="767">
        <f>J27</f>
        <v>100</v>
      </c>
      <c r="X27" s="768"/>
      <c r="Y27" s="3290"/>
      <c r="Z27" s="55">
        <f>Q27</f>
        <v>111</v>
      </c>
      <c r="AA27" s="1806">
        <f>D27/F27</f>
        <v>1</v>
      </c>
      <c r="AB27" s="1806">
        <f>D27/H27</f>
        <v>1</v>
      </c>
      <c r="AC27" s="1806">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290"/>
      <c r="Q28" s="1805">
        <f t="shared" si="11"/>
        <v>111</v>
      </c>
      <c r="R28" s="770" t="s">
        <v>17</v>
      </c>
      <c r="S28" s="771">
        <f t="shared" ref="S28:S40" si="12">F28</f>
        <v>100</v>
      </c>
      <c r="T28" s="770" t="s">
        <v>17</v>
      </c>
      <c r="U28" s="771">
        <f t="shared" ref="U28:U40" si="13">H28</f>
        <v>100</v>
      </c>
      <c r="V28" s="770" t="s">
        <v>17</v>
      </c>
      <c r="W28" s="771">
        <f t="shared" ref="W28:W40" si="14">J28</f>
        <v>100</v>
      </c>
      <c r="X28" s="1808"/>
      <c r="Y28" s="3290"/>
      <c r="Z28" s="1809">
        <f t="shared" ref="Z28:Z40" si="15">Q28</f>
        <v>111</v>
      </c>
      <c r="AA28" s="1806">
        <f t="shared" si="3"/>
        <v>1</v>
      </c>
      <c r="AB28" s="1806">
        <f t="shared" si="4"/>
        <v>1</v>
      </c>
      <c r="AC28" s="1806">
        <f t="shared" si="5"/>
        <v>1</v>
      </c>
    </row>
    <row r="29" spans="1:29" ht="15">
      <c r="A29" s="464" t="s">
        <v>2547</v>
      </c>
      <c r="B29" s="71" t="s">
        <v>2677</v>
      </c>
      <c r="C29" s="2666"/>
      <c r="D29" s="465">
        <v>100</v>
      </c>
      <c r="E29" s="2666"/>
      <c r="F29" s="459">
        <f>SUMIF(88:88,E29,89:89)-SUMIF(88:88,C29,89:89)+100</f>
        <v>100</v>
      </c>
      <c r="G29" s="2666"/>
      <c r="H29" s="433">
        <f>SUMIF(88:88,G29,89:89)-SUMIF(88:88,C29,89:89)+100</f>
        <v>100</v>
      </c>
      <c r="I29" s="2666"/>
      <c r="J29" s="465">
        <f>SUMIF(88:88,I29,89:89)-SUMIF(88:88,C29,89:89)+100</f>
        <v>100</v>
      </c>
      <c r="K29" s="610"/>
      <c r="L29" s="1138"/>
      <c r="M29" s="1129"/>
      <c r="N29" s="1129"/>
      <c r="O29" s="1137"/>
      <c r="P29" s="3291" t="s">
        <v>2549</v>
      </c>
      <c r="Q29" s="1805" t="str">
        <f t="shared" si="11"/>
        <v>建筑类型</v>
      </c>
      <c r="R29" s="770" t="s">
        <v>17</v>
      </c>
      <c r="S29" s="771">
        <f t="shared" si="12"/>
        <v>100</v>
      </c>
      <c r="T29" s="770" t="s">
        <v>17</v>
      </c>
      <c r="U29" s="771">
        <f t="shared" si="13"/>
        <v>100</v>
      </c>
      <c r="V29" s="770" t="s">
        <v>17</v>
      </c>
      <c r="W29" s="771">
        <f t="shared" si="14"/>
        <v>100</v>
      </c>
      <c r="X29" s="1808"/>
      <c r="Y29" s="3292" t="s">
        <v>2549</v>
      </c>
      <c r="Z29" s="1809" t="str">
        <f t="shared" si="15"/>
        <v>建筑类型</v>
      </c>
      <c r="AA29" s="1806">
        <f t="shared" si="3"/>
        <v>1</v>
      </c>
      <c r="AB29" s="1806">
        <f t="shared" si="4"/>
        <v>1</v>
      </c>
      <c r="AC29" s="1806">
        <f t="shared" si="5"/>
        <v>1</v>
      </c>
    </row>
    <row r="30" spans="1:29" s="469" customFormat="1" ht="15">
      <c r="A30" s="466"/>
      <c r="B30" s="420" t="s">
        <v>2550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6"/>
      <c r="M30" s="1139"/>
      <c r="N30" s="1139"/>
      <c r="O30" s="1140"/>
      <c r="P30" s="3292"/>
      <c r="Q30" s="772" t="str">
        <f t="shared" si="11"/>
        <v>项目建筑规模</v>
      </c>
      <c r="R30" s="773" t="s">
        <v>17</v>
      </c>
      <c r="S30" s="774" t="e">
        <f t="shared" si="12"/>
        <v>#N/A</v>
      </c>
      <c r="T30" s="773" t="s">
        <v>17</v>
      </c>
      <c r="U30" s="774" t="e">
        <f t="shared" si="13"/>
        <v>#N/A</v>
      </c>
      <c r="V30" s="773" t="s">
        <v>17</v>
      </c>
      <c r="W30" s="774" t="e">
        <f t="shared" si="14"/>
        <v>#N/A</v>
      </c>
      <c r="X30" s="775"/>
      <c r="Y30" s="3292"/>
      <c r="Z30" s="776" t="str">
        <f t="shared" si="15"/>
        <v>项目建筑规模</v>
      </c>
      <c r="AA30" s="1806" t="e">
        <f t="shared" si="3"/>
        <v>#N/A</v>
      </c>
      <c r="AB30" s="1806" t="e">
        <f t="shared" si="4"/>
        <v>#N/A</v>
      </c>
      <c r="AC30" s="1806" t="e">
        <f t="shared" si="5"/>
        <v>#N/A</v>
      </c>
    </row>
    <row r="31" spans="1:29" ht="15">
      <c r="A31" s="470"/>
      <c r="B31" s="420" t="s">
        <v>2551</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292"/>
      <c r="Q31" s="1805" t="str">
        <f t="shared" si="11"/>
        <v>建筑结构</v>
      </c>
      <c r="R31" s="770" t="s">
        <v>17</v>
      </c>
      <c r="S31" s="771">
        <f t="shared" si="12"/>
        <v>100</v>
      </c>
      <c r="T31" s="770" t="s">
        <v>17</v>
      </c>
      <c r="U31" s="771">
        <f t="shared" si="13"/>
        <v>100</v>
      </c>
      <c r="V31" s="770" t="s">
        <v>17</v>
      </c>
      <c r="W31" s="771">
        <f t="shared" si="14"/>
        <v>100</v>
      </c>
      <c r="X31" s="1808"/>
      <c r="Y31" s="3292"/>
      <c r="Z31" s="1809" t="str">
        <f t="shared" si="15"/>
        <v>建筑结构</v>
      </c>
      <c r="AA31" s="1806">
        <f t="shared" si="3"/>
        <v>1</v>
      </c>
      <c r="AB31" s="1806">
        <f t="shared" si="4"/>
        <v>1</v>
      </c>
      <c r="AC31" s="1806">
        <f t="shared" si="5"/>
        <v>1</v>
      </c>
    </row>
    <row r="32" spans="1:29" ht="15">
      <c r="A32" s="470"/>
      <c r="B32" s="420" t="s">
        <v>2645</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292"/>
      <c r="Q32" s="1805" t="str">
        <f t="shared" si="11"/>
        <v>公共部分装修</v>
      </c>
      <c r="R32" s="770" t="s">
        <v>17</v>
      </c>
      <c r="S32" s="771">
        <f t="shared" si="12"/>
        <v>100</v>
      </c>
      <c r="T32" s="770" t="s">
        <v>17</v>
      </c>
      <c r="U32" s="771">
        <f t="shared" si="13"/>
        <v>100</v>
      </c>
      <c r="V32" s="770" t="s">
        <v>17</v>
      </c>
      <c r="W32" s="771">
        <f t="shared" si="14"/>
        <v>100</v>
      </c>
      <c r="X32" s="1808"/>
      <c r="Y32" s="3292"/>
      <c r="Z32" s="1809" t="str">
        <f t="shared" si="15"/>
        <v>公共部分装修</v>
      </c>
      <c r="AA32" s="1806">
        <f t="shared" si="3"/>
        <v>1</v>
      </c>
      <c r="AB32" s="1806">
        <f t="shared" si="4"/>
        <v>1</v>
      </c>
      <c r="AC32" s="1806">
        <f t="shared" si="5"/>
        <v>1</v>
      </c>
    </row>
    <row r="33" spans="1:29" ht="15">
      <c r="A33" s="470"/>
      <c r="B33" s="420" t="s">
        <v>2646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292"/>
      <c r="Q33" s="1805" t="str">
        <f t="shared" si="11"/>
        <v>成新度</v>
      </c>
      <c r="R33" s="770" t="s">
        <v>17</v>
      </c>
      <c r="S33" s="771" t="e">
        <f t="shared" si="12"/>
        <v>#N/A</v>
      </c>
      <c r="T33" s="770" t="s">
        <v>17</v>
      </c>
      <c r="U33" s="771" t="e">
        <f t="shared" si="13"/>
        <v>#N/A</v>
      </c>
      <c r="V33" s="770" t="s">
        <v>17</v>
      </c>
      <c r="W33" s="771" t="e">
        <f t="shared" si="14"/>
        <v>#N/A</v>
      </c>
      <c r="X33" s="1808"/>
      <c r="Y33" s="3292"/>
      <c r="Z33" s="1809" t="str">
        <f t="shared" si="15"/>
        <v>成新度</v>
      </c>
      <c r="AA33" s="1806" t="e">
        <f t="shared" si="3"/>
        <v>#N/A</v>
      </c>
      <c r="AB33" s="1806" t="e">
        <f t="shared" si="4"/>
        <v>#N/A</v>
      </c>
      <c r="AC33" s="1806" t="e">
        <f t="shared" si="5"/>
        <v>#N/A</v>
      </c>
    </row>
    <row r="34" spans="1:29" s="116" customFormat="1" ht="15">
      <c r="A34" s="471"/>
      <c r="B34" s="420" t="s">
        <v>2679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292"/>
      <c r="Q34" s="1790" t="str">
        <f t="shared" si="11"/>
        <v>物业管理</v>
      </c>
      <c r="R34" s="766" t="s">
        <v>17</v>
      </c>
      <c r="S34" s="767">
        <f t="shared" si="12"/>
        <v>100</v>
      </c>
      <c r="T34" s="766" t="s">
        <v>17</v>
      </c>
      <c r="U34" s="767">
        <f t="shared" si="13"/>
        <v>100</v>
      </c>
      <c r="V34" s="766" t="s">
        <v>17</v>
      </c>
      <c r="W34" s="767">
        <f t="shared" si="14"/>
        <v>100</v>
      </c>
      <c r="X34" s="768"/>
      <c r="Y34" s="3292"/>
      <c r="Z34" s="55" t="str">
        <f t="shared" si="15"/>
        <v>物业管理</v>
      </c>
      <c r="AA34" s="769">
        <f t="shared" si="3"/>
        <v>1</v>
      </c>
      <c r="AB34" s="769">
        <f t="shared" si="4"/>
        <v>1</v>
      </c>
      <c r="AC34" s="769">
        <f t="shared" si="5"/>
        <v>1</v>
      </c>
    </row>
    <row r="35" spans="1:29" ht="15">
      <c r="A35" s="470"/>
      <c r="B35" s="420" t="s">
        <v>2647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292" t="s">
        <v>2549</v>
      </c>
      <c r="Q35" s="1805" t="str">
        <f t="shared" si="11"/>
        <v>市政基础设施</v>
      </c>
      <c r="R35" s="770" t="s">
        <v>17</v>
      </c>
      <c r="S35" s="771">
        <f t="shared" si="12"/>
        <v>100</v>
      </c>
      <c r="T35" s="770" t="s">
        <v>17</v>
      </c>
      <c r="U35" s="771">
        <f t="shared" si="13"/>
        <v>100</v>
      </c>
      <c r="V35" s="770" t="s">
        <v>17</v>
      </c>
      <c r="W35" s="771">
        <f t="shared" si="14"/>
        <v>100</v>
      </c>
      <c r="X35" s="1808"/>
      <c r="Y35" s="3292" t="s">
        <v>2549</v>
      </c>
      <c r="Z35" s="1809" t="str">
        <f t="shared" si="15"/>
        <v>市政基础设施</v>
      </c>
      <c r="AA35" s="1806">
        <f t="shared" si="3"/>
        <v>1</v>
      </c>
      <c r="AB35" s="1806">
        <f t="shared" si="4"/>
        <v>1</v>
      </c>
      <c r="AC35" s="1806">
        <f t="shared" si="5"/>
        <v>1</v>
      </c>
    </row>
    <row r="36" spans="1:29" ht="15">
      <c r="A36" s="470"/>
      <c r="B36" s="420" t="s">
        <v>2652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292"/>
      <c r="Q36" s="1805" t="str">
        <f t="shared" si="11"/>
        <v>内部装修</v>
      </c>
      <c r="R36" s="770" t="s">
        <v>17</v>
      </c>
      <c r="S36" s="771">
        <f t="shared" si="12"/>
        <v>100</v>
      </c>
      <c r="T36" s="770" t="s">
        <v>17</v>
      </c>
      <c r="U36" s="771">
        <f t="shared" si="13"/>
        <v>100</v>
      </c>
      <c r="V36" s="770" t="s">
        <v>17</v>
      </c>
      <c r="W36" s="771">
        <f t="shared" si="14"/>
        <v>100</v>
      </c>
      <c r="X36" s="1808"/>
      <c r="Y36" s="3292"/>
      <c r="Z36" s="1809" t="str">
        <f t="shared" si="15"/>
        <v>内部装修</v>
      </c>
      <c r="AA36" s="1806">
        <f t="shared" si="3"/>
        <v>1</v>
      </c>
      <c r="AB36" s="1806">
        <f t="shared" si="4"/>
        <v>1</v>
      </c>
      <c r="AC36" s="1806">
        <f t="shared" si="5"/>
        <v>1</v>
      </c>
    </row>
    <row r="37" spans="1:29" ht="15">
      <c r="A37" s="470"/>
      <c r="B37" s="420" t="s">
        <v>2688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292"/>
      <c r="Q37" s="1805" t="str">
        <f t="shared" si="11"/>
        <v>内部装修状况</v>
      </c>
      <c r="R37" s="770" t="s">
        <v>17</v>
      </c>
      <c r="S37" s="771">
        <f t="shared" si="12"/>
        <v>100</v>
      </c>
      <c r="T37" s="770" t="s">
        <v>17</v>
      </c>
      <c r="U37" s="771">
        <f t="shared" si="13"/>
        <v>100</v>
      </c>
      <c r="V37" s="770" t="s">
        <v>17</v>
      </c>
      <c r="W37" s="771">
        <f t="shared" si="14"/>
        <v>100</v>
      </c>
      <c r="X37" s="1808"/>
      <c r="Y37" s="3292"/>
      <c r="Z37" s="1809" t="str">
        <f t="shared" si="15"/>
        <v>内部装修状况</v>
      </c>
      <c r="AA37" s="1806">
        <f t="shared" si="3"/>
        <v>1</v>
      </c>
      <c r="AB37" s="1806">
        <f t="shared" si="4"/>
        <v>1</v>
      </c>
      <c r="AC37" s="1806">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292"/>
      <c r="Q38" s="772">
        <f t="shared" si="11"/>
        <v>111</v>
      </c>
      <c r="R38" s="773" t="s">
        <v>17</v>
      </c>
      <c r="S38" s="774">
        <f t="shared" si="12"/>
        <v>100</v>
      </c>
      <c r="T38" s="773" t="s">
        <v>17</v>
      </c>
      <c r="U38" s="774">
        <f t="shared" si="13"/>
        <v>100</v>
      </c>
      <c r="V38" s="773" t="s">
        <v>17</v>
      </c>
      <c r="W38" s="774">
        <f t="shared" si="14"/>
        <v>100</v>
      </c>
      <c r="X38" s="775"/>
      <c r="Y38" s="3292"/>
      <c r="Z38" s="776">
        <f t="shared" si="15"/>
        <v>111</v>
      </c>
      <c r="AA38" s="1806">
        <f t="shared" si="3"/>
        <v>1</v>
      </c>
      <c r="AB38" s="1806">
        <f t="shared" si="4"/>
        <v>1</v>
      </c>
      <c r="AC38" s="1806">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292"/>
      <c r="Q39" s="1805">
        <f t="shared" si="11"/>
        <v>111</v>
      </c>
      <c r="R39" s="770" t="s">
        <v>17</v>
      </c>
      <c r="S39" s="771">
        <f t="shared" si="12"/>
        <v>100</v>
      </c>
      <c r="T39" s="770" t="s">
        <v>17</v>
      </c>
      <c r="U39" s="771">
        <f t="shared" si="13"/>
        <v>100</v>
      </c>
      <c r="V39" s="770" t="s">
        <v>17</v>
      </c>
      <c r="W39" s="771">
        <f t="shared" si="14"/>
        <v>100</v>
      </c>
      <c r="X39" s="1808"/>
      <c r="Y39" s="3292"/>
      <c r="Z39" s="1809">
        <f t="shared" si="15"/>
        <v>111</v>
      </c>
      <c r="AA39" s="1806">
        <f t="shared" si="3"/>
        <v>1</v>
      </c>
      <c r="AB39" s="1806">
        <f t="shared" si="4"/>
        <v>1</v>
      </c>
      <c r="AC39" s="1806">
        <f t="shared" si="5"/>
        <v>1</v>
      </c>
    </row>
    <row r="40" spans="1:29" ht="15.75" thickBot="1">
      <c r="A40" s="476"/>
      <c r="B40" s="258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300"/>
      <c r="Q40" s="1805">
        <f t="shared" si="11"/>
        <v>111</v>
      </c>
      <c r="R40" s="770" t="s">
        <v>17</v>
      </c>
      <c r="S40" s="771">
        <f t="shared" si="12"/>
        <v>100</v>
      </c>
      <c r="T40" s="770" t="s">
        <v>17</v>
      </c>
      <c r="U40" s="771">
        <f t="shared" si="13"/>
        <v>100</v>
      </c>
      <c r="V40" s="770" t="s">
        <v>17</v>
      </c>
      <c r="W40" s="771">
        <f t="shared" si="14"/>
        <v>100</v>
      </c>
      <c r="X40" s="1808"/>
      <c r="Y40" s="3300"/>
      <c r="Z40" s="1809">
        <f t="shared" si="15"/>
        <v>111</v>
      </c>
      <c r="AA40" s="1806">
        <f t="shared" si="3"/>
        <v>1</v>
      </c>
      <c r="AB40" s="1806">
        <f t="shared" si="4"/>
        <v>1</v>
      </c>
      <c r="AC40" s="1806">
        <f t="shared" si="5"/>
        <v>1</v>
      </c>
    </row>
    <row r="41" spans="1:29" ht="15">
      <c r="A41" s="477" t="s">
        <v>2561</v>
      </c>
      <c r="B41" s="478"/>
      <c r="C41" s="1403" t="s">
        <v>1</v>
      </c>
      <c r="D41" s="1404"/>
      <c r="E41" s="1405">
        <v>40000</v>
      </c>
      <c r="F41" s="1406"/>
      <c r="G41" s="1407">
        <v>35000</v>
      </c>
      <c r="H41" s="1408"/>
      <c r="I41" s="1405">
        <v>38000</v>
      </c>
      <c r="J41" s="1408"/>
      <c r="K41" s="779"/>
      <c r="L41" s="1141"/>
      <c r="M41" s="1142"/>
      <c r="N41" s="1129"/>
      <c r="O41" s="1142"/>
      <c r="P41" s="3274" t="str">
        <f>A41</f>
        <v>成交单价（元/平方米）</v>
      </c>
      <c r="Q41" s="3274"/>
      <c r="R41" s="3301">
        <f>E41</f>
        <v>40000</v>
      </c>
      <c r="S41" s="3301"/>
      <c r="T41" s="3301">
        <f>G41</f>
        <v>35000</v>
      </c>
      <c r="U41" s="3301"/>
      <c r="V41" s="3301">
        <f>I41</f>
        <v>38000</v>
      </c>
      <c r="W41" s="3301"/>
      <c r="X41" s="755"/>
      <c r="Y41" s="777"/>
      <c r="Z41" s="755"/>
      <c r="AA41" s="755"/>
      <c r="AB41" s="755"/>
      <c r="AC41" s="755"/>
    </row>
    <row r="42" spans="1:29" ht="15.75" thickBot="1">
      <c r="A42" s="484" t="s">
        <v>2653</v>
      </c>
      <c r="B42" s="485"/>
      <c r="C42" s="1409" t="e">
        <f>R43</f>
        <v>#DIV/0!</v>
      </c>
      <c r="D42" s="1410"/>
      <c r="E42" s="1411" t="e">
        <f>R42</f>
        <v>#DIV/0!</v>
      </c>
      <c r="F42" s="1411"/>
      <c r="G42" s="1409" t="e">
        <f>T42</f>
        <v>#DIV/0!</v>
      </c>
      <c r="H42" s="1410"/>
      <c r="I42" s="1411" t="e">
        <f>V42</f>
        <v>#DIV/0!</v>
      </c>
      <c r="J42" s="1410"/>
      <c r="K42" s="780"/>
      <c r="L42" s="1141"/>
      <c r="M42" s="1142"/>
      <c r="N42" s="1129"/>
      <c r="O42" s="1142"/>
      <c r="P42" s="3274" t="str">
        <f>A42</f>
        <v>比较价值（元/平方米）</v>
      </c>
      <c r="Q42" s="3274"/>
      <c r="R42" s="3301" t="e">
        <f>IF(F1="售价",ROUND(PRODUCT(R41,AA7:AA40),0),ROUND(PRODUCT(R41,AA7:AA40),1))</f>
        <v>#DIV/0!</v>
      </c>
      <c r="S42" s="3301"/>
      <c r="T42" s="3301" t="e">
        <f>IF(F1="售价",ROUND(PRODUCT(T41,AB7:AB40),0),ROUND(PRODUCT(T41,AB7:AB40),1))</f>
        <v>#DIV/0!</v>
      </c>
      <c r="U42" s="3301"/>
      <c r="V42" s="3301" t="e">
        <f>IF(F1="售价",ROUND(PRODUCT(V41,AC7:AC40),0),ROUND(PRODUCT(V41,AC7:AC40),1))</f>
        <v>#DIV/0!</v>
      </c>
      <c r="W42" s="3301"/>
      <c r="X42" s="755"/>
      <c r="Y42" s="755"/>
      <c r="Z42" s="755"/>
      <c r="AA42" s="755"/>
      <c r="AB42" s="755"/>
      <c r="AC42" s="755"/>
    </row>
    <row r="43" spans="1:29" ht="15.75" thickBot="1">
      <c r="A43" s="490" t="s">
        <v>2654</v>
      </c>
      <c r="B43" s="491"/>
      <c r="C43" s="1413" t="e">
        <f>R43</f>
        <v>#DIV/0!</v>
      </c>
      <c r="D43" s="1413"/>
      <c r="E43" s="1413"/>
      <c r="F43" s="1413"/>
      <c r="G43" s="1413"/>
      <c r="H43" s="1413"/>
      <c r="I43" s="1413"/>
      <c r="J43" s="1413"/>
      <c r="K43" s="781"/>
      <c r="L43" s="1141"/>
      <c r="M43" s="1142"/>
      <c r="N43" s="1142"/>
      <c r="O43" s="1142"/>
      <c r="P43" s="3294" t="str">
        <f>A43</f>
        <v>估价对象XX用房的比较价值（楼面单价，元/平方米）</v>
      </c>
      <c r="Q43" s="3295"/>
      <c r="R43" s="3302" t="e">
        <f>IF(F1="售价",ROUND(AVERAGE(R42:V42),0),ROUND(AVERAGE(R42:V42),1))</f>
        <v>#DIV/0!</v>
      </c>
      <c r="S43" s="3302"/>
      <c r="T43" s="3302"/>
      <c r="U43" s="3302"/>
      <c r="V43" s="3302"/>
      <c r="W43" s="3302"/>
      <c r="X43" s="755"/>
      <c r="Y43" s="755"/>
      <c r="Z43" s="755"/>
      <c r="AA43" s="755"/>
      <c r="AB43" s="755"/>
      <c r="AC43" s="755"/>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2655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2656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2657</v>
      </c>
      <c r="D48" s="499"/>
      <c r="E48" s="497">
        <f>IF(E41&lt;G41,G41/E41-1,E41/G41-1)</f>
        <v>0.14285714285714279</v>
      </c>
      <c r="F48" s="498" t="str">
        <f>IF(OR(E48&gt;=0.3,E48&lt;=-0.3),"超过30%","")</f>
        <v/>
      </c>
      <c r="G48" s="497">
        <f>IF(G41&lt;I41,I41/G41-1,G41/I41-1)</f>
        <v>8.5714285714285632E-2</v>
      </c>
      <c r="H48" s="498" t="str">
        <f>IF(OR(G48&gt;=0.3,G48&lt;=-0.3),"超过30%","")</f>
        <v/>
      </c>
      <c r="I48" s="497">
        <f>IF(I41&lt;E41,E41/I41-1,I41/E41-1)</f>
        <v>5.2631578947368363E-2</v>
      </c>
      <c r="J48" s="498" t="str">
        <f>IF(OR(I48&gt;=0.3,I48&lt;=-0.3),"超过30%","")</f>
        <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9" t="s">
        <v>2658</v>
      </c>
      <c r="B51" s="755"/>
      <c r="C51" s="760"/>
      <c r="D51" s="760"/>
      <c r="E51" s="760"/>
      <c r="F51" s="761"/>
      <c r="G51" s="761"/>
      <c r="H51" s="760"/>
      <c r="I51" s="760"/>
      <c r="J51" s="760"/>
      <c r="K51" s="1158"/>
      <c r="L51" s="1159"/>
      <c r="M51" s="1157"/>
      <c r="N51" s="1157"/>
      <c r="O51" s="1157"/>
      <c r="P51" s="501"/>
      <c r="Q51" s="502"/>
    </row>
    <row r="52" spans="1:17" s="506" customFormat="1" ht="15">
      <c r="A52" s="503" t="s">
        <v>2532</v>
      </c>
      <c r="B52" s="504"/>
      <c r="C52" s="1569" t="str">
        <f>YEAR(C7)&amp;"-"&amp;MONTH(C7)</f>
        <v>2018-4</v>
      </c>
      <c r="D52" s="1570">
        <f>EDATE(C52,-1)</f>
        <v>43160</v>
      </c>
      <c r="E52" s="1570">
        <f t="shared" ref="E52:O52" si="16">EDATE(D52,-1)</f>
        <v>43132</v>
      </c>
      <c r="F52" s="1570">
        <f t="shared" si="16"/>
        <v>43101</v>
      </c>
      <c r="G52" s="1570">
        <f t="shared" si="16"/>
        <v>43070</v>
      </c>
      <c r="H52" s="1570">
        <f t="shared" si="16"/>
        <v>43040</v>
      </c>
      <c r="I52" s="1570">
        <f t="shared" si="16"/>
        <v>43009</v>
      </c>
      <c r="J52" s="1570">
        <f t="shared" si="16"/>
        <v>42979</v>
      </c>
      <c r="K52" s="1570">
        <f t="shared" si="16"/>
        <v>42948</v>
      </c>
      <c r="L52" s="1570">
        <f t="shared" si="16"/>
        <v>42917</v>
      </c>
      <c r="M52" s="1570">
        <f t="shared" si="16"/>
        <v>42887</v>
      </c>
      <c r="N52" s="1570">
        <f t="shared" si="16"/>
        <v>42856</v>
      </c>
      <c r="O52" s="1570">
        <f t="shared" si="16"/>
        <v>42826</v>
      </c>
      <c r="P52" s="505"/>
    </row>
    <row r="53" spans="1:17" s="116" customFormat="1" ht="15">
      <c r="A53" s="507"/>
      <c r="B53" s="508"/>
      <c r="C53" s="1568">
        <v>100</v>
      </c>
      <c r="D53" s="510"/>
      <c r="E53" s="510"/>
      <c r="F53" s="510"/>
      <c r="G53" s="510"/>
      <c r="H53" s="510"/>
      <c r="I53" s="510"/>
      <c r="J53" s="510"/>
      <c r="K53" s="510"/>
      <c r="L53" s="510"/>
      <c r="M53" s="511"/>
      <c r="N53" s="510"/>
      <c r="O53" s="512"/>
      <c r="P53" s="502"/>
    </row>
    <row r="54" spans="1:17" s="116" customFormat="1" ht="15.75" thickBot="1">
      <c r="A54" s="513" t="s">
        <v>2569</v>
      </c>
      <c r="B54" s="514"/>
      <c r="C54" s="515"/>
      <c r="D54" s="516"/>
      <c r="E54" s="516"/>
      <c r="F54" s="516"/>
      <c r="G54" s="516"/>
      <c r="H54" s="516"/>
      <c r="I54" s="516"/>
      <c r="J54" s="516"/>
      <c r="K54" s="516"/>
      <c r="L54" s="516"/>
      <c r="M54" s="517"/>
      <c r="N54" s="516"/>
      <c r="O54" s="518"/>
      <c r="P54" s="502"/>
      <c r="Q54" s="502"/>
    </row>
    <row r="55" spans="1:17" s="116" customFormat="1" ht="15">
      <c r="A55" s="519" t="s">
        <v>2534</v>
      </c>
      <c r="B55" s="508"/>
      <c r="C55" s="520" t="s">
        <v>2636</v>
      </c>
      <c r="D55" s="521"/>
      <c r="E55" s="521"/>
      <c r="F55" s="521"/>
      <c r="G55" s="521"/>
      <c r="H55" s="521"/>
      <c r="I55" s="521"/>
      <c r="J55" s="521"/>
      <c r="K55" s="521"/>
      <c r="L55" s="522"/>
      <c r="M55" s="523"/>
      <c r="N55" s="1149"/>
      <c r="O55" s="1149"/>
      <c r="P55" s="524"/>
      <c r="Q55" s="502"/>
    </row>
    <row r="56" spans="1:17" s="116"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2572</v>
      </c>
      <c r="B57" s="526" t="s">
        <v>2538</v>
      </c>
      <c r="C57" s="527" t="str">
        <f>C9</f>
        <v>工业</v>
      </c>
      <c r="D57" s="528"/>
      <c r="E57" s="528"/>
      <c r="F57" s="528"/>
      <c r="G57" s="528"/>
      <c r="H57" s="528"/>
      <c r="I57" s="528"/>
      <c r="J57" s="528"/>
      <c r="K57" s="529"/>
      <c r="L57" s="530"/>
      <c r="M57" s="531"/>
      <c r="N57" s="1150"/>
      <c r="O57" s="1150"/>
      <c r="P57" s="45"/>
      <c r="Q57" s="502"/>
    </row>
    <row r="58" spans="1:17" ht="15.75" thickBot="1">
      <c r="A58" s="532"/>
      <c r="B58" s="533"/>
      <c r="C58" s="534">
        <v>100</v>
      </c>
      <c r="D58" s="534"/>
      <c r="E58" s="534"/>
      <c r="F58" s="534"/>
      <c r="G58" s="534"/>
      <c r="H58" s="534"/>
      <c r="I58" s="534"/>
      <c r="J58" s="534"/>
      <c r="K58" s="534"/>
      <c r="L58" s="534"/>
      <c r="M58" s="535"/>
      <c r="N58" s="1151"/>
      <c r="O58" s="1151"/>
      <c r="P58" s="45"/>
      <c r="Q58" s="502"/>
    </row>
    <row r="59" spans="1:17" ht="27.75" thickTop="1">
      <c r="A59" s="532"/>
      <c r="B59" s="536" t="s">
        <v>2541</v>
      </c>
      <c r="C59" s="537" t="s">
        <v>2573</v>
      </c>
      <c r="D59" s="537" t="s">
        <v>2574</v>
      </c>
      <c r="E59" s="537" t="s">
        <v>2575</v>
      </c>
      <c r="F59" s="537" t="s">
        <v>2576</v>
      </c>
      <c r="G59" s="537" t="s">
        <v>2577</v>
      </c>
      <c r="H59" s="537" t="s">
        <v>2578</v>
      </c>
      <c r="I59" s="537" t="s">
        <v>2579</v>
      </c>
      <c r="J59" s="537"/>
      <c r="K59" s="538"/>
      <c r="L59" s="539"/>
      <c r="M59" s="540"/>
      <c r="N59" s="1150"/>
      <c r="O59" s="1150"/>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5"/>
      <c r="Q60" s="502"/>
    </row>
    <row r="61" spans="1:17" ht="15.75" thickTop="1">
      <c r="A61" s="532"/>
      <c r="B61" s="544" t="s">
        <v>2542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5"/>
      <c r="Q61" s="502"/>
    </row>
    <row r="62" spans="1:17" ht="15">
      <c r="A62" s="532"/>
      <c r="B62" s="546"/>
      <c r="C62" s="547"/>
      <c r="D62" s="547"/>
      <c r="E62" s="547"/>
      <c r="F62" s="547"/>
      <c r="G62" s="547"/>
      <c r="H62" s="547"/>
      <c r="I62" s="547"/>
      <c r="J62" s="547"/>
      <c r="K62" s="548"/>
      <c r="L62" s="549"/>
      <c r="M62" s="550"/>
      <c r="N62" s="1150"/>
      <c r="O62" s="1150"/>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5"/>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2543</v>
      </c>
      <c r="B70" s="526" t="s">
        <v>2689</v>
      </c>
      <c r="C70" s="571" t="s">
        <v>2581</v>
      </c>
      <c r="D70" s="571" t="s">
        <v>2582</v>
      </c>
      <c r="E70" s="571" t="s">
        <v>2583</v>
      </c>
      <c r="F70" s="571" t="s">
        <v>2584</v>
      </c>
      <c r="G70" s="571" t="s">
        <v>2585</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5"/>
      <c r="Q71" s="502"/>
    </row>
    <row r="72" spans="1:17" ht="15.75" thickTop="1">
      <c r="A72" s="532"/>
      <c r="B72" s="536" t="s">
        <v>2586</v>
      </c>
      <c r="C72" s="576" t="s">
        <v>2581</v>
      </c>
      <c r="D72" s="576" t="s">
        <v>2582</v>
      </c>
      <c r="E72" s="576" t="s">
        <v>2583</v>
      </c>
      <c r="F72" s="576" t="s">
        <v>2584</v>
      </c>
      <c r="G72" s="576" t="s">
        <v>2585</v>
      </c>
      <c r="H72" s="537"/>
      <c r="I72" s="537"/>
      <c r="J72" s="537"/>
      <c r="K72" s="538"/>
      <c r="L72" s="539"/>
      <c r="M72" s="540"/>
      <c r="N72" s="1150"/>
      <c r="O72" s="1150"/>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5"/>
      <c r="Q73" s="502"/>
    </row>
    <row r="74" spans="1:17" ht="15.75" thickTop="1">
      <c r="A74" s="532"/>
      <c r="B74" s="536" t="s">
        <v>2587</v>
      </c>
      <c r="C74" s="576" t="s">
        <v>2581</v>
      </c>
      <c r="D74" s="576" t="s">
        <v>2582</v>
      </c>
      <c r="E74" s="576" t="s">
        <v>2583</v>
      </c>
      <c r="F74" s="576" t="s">
        <v>2584</v>
      </c>
      <c r="G74" s="576" t="s">
        <v>2585</v>
      </c>
      <c r="H74" s="537"/>
      <c r="I74" s="537"/>
      <c r="J74" s="537"/>
      <c r="K74" s="538"/>
      <c r="L74" s="539"/>
      <c r="M74" s="540"/>
      <c r="N74" s="1150"/>
      <c r="O74" s="1150"/>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5"/>
      <c r="Q75" s="502"/>
    </row>
    <row r="76" spans="1:17" ht="15.75" thickTop="1">
      <c r="A76" s="532"/>
      <c r="B76" s="544" t="s">
        <v>2673</v>
      </c>
      <c r="C76" s="658" t="s">
        <v>2659</v>
      </c>
      <c r="D76" s="658" t="s">
        <v>2660</v>
      </c>
      <c r="E76" s="658" t="s">
        <v>2661</v>
      </c>
      <c r="F76" s="658" t="s">
        <v>2662</v>
      </c>
      <c r="G76" s="658" t="s">
        <v>2663</v>
      </c>
      <c r="H76" s="537"/>
      <c r="I76" s="537"/>
      <c r="J76" s="537"/>
      <c r="K76" s="537"/>
      <c r="L76" s="537"/>
      <c r="M76" s="1378"/>
      <c r="N76" s="1151"/>
      <c r="O76" s="1151"/>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5"/>
      <c r="Q77" s="502"/>
    </row>
    <row r="78" spans="1:17" ht="15.75" thickTop="1">
      <c r="A78" s="532"/>
      <c r="B78" s="536" t="s">
        <v>2682</v>
      </c>
      <c r="C78" s="576" t="s">
        <v>2581</v>
      </c>
      <c r="D78" s="576" t="s">
        <v>2582</v>
      </c>
      <c r="E78" s="576" t="s">
        <v>2583</v>
      </c>
      <c r="F78" s="576" t="s">
        <v>2584</v>
      </c>
      <c r="G78" s="576" t="s">
        <v>2585</v>
      </c>
      <c r="H78" s="537"/>
      <c r="I78" s="537"/>
      <c r="J78" s="537"/>
      <c r="K78" s="538"/>
      <c r="L78" s="539"/>
      <c r="M78" s="540"/>
      <c r="N78" s="1150"/>
      <c r="O78" s="1150"/>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5"/>
      <c r="Q79" s="502"/>
    </row>
    <row r="80" spans="1:17" s="116" customFormat="1" ht="15.75" thickTop="1">
      <c r="A80" s="577"/>
      <c r="B80" s="536">
        <f>B25</f>
        <v>111</v>
      </c>
      <c r="C80" s="552"/>
      <c r="D80" s="552"/>
      <c r="E80" s="552"/>
      <c r="F80" s="552"/>
      <c r="G80" s="552"/>
      <c r="H80" s="552"/>
      <c r="I80" s="552"/>
      <c r="J80" s="552"/>
      <c r="K80" s="552"/>
      <c r="L80" s="578"/>
      <c r="M80" s="579"/>
      <c r="N80" s="1149"/>
      <c r="O80" s="1149"/>
      <c r="P80" s="45"/>
      <c r="Q80" s="502"/>
    </row>
    <row r="81" spans="1:17" s="116" customFormat="1" ht="15.75" thickBot="1">
      <c r="A81" s="577"/>
      <c r="B81" s="541"/>
      <c r="C81" s="558"/>
      <c r="D81" s="534"/>
      <c r="E81" s="534"/>
      <c r="F81" s="534"/>
      <c r="G81" s="534"/>
      <c r="H81" s="534"/>
      <c r="I81" s="534"/>
      <c r="J81" s="534"/>
      <c r="K81" s="534"/>
      <c r="L81" s="534"/>
      <c r="M81" s="535"/>
      <c r="N81" s="1151"/>
      <c r="O81" s="1151"/>
      <c r="P81" s="45"/>
      <c r="Q81" s="502"/>
    </row>
    <row r="82" spans="1:17" s="116" customFormat="1" ht="15.75" thickTop="1">
      <c r="A82" s="577"/>
      <c r="B82" s="536">
        <f>B26</f>
        <v>111</v>
      </c>
      <c r="C82" s="552"/>
      <c r="D82" s="552"/>
      <c r="E82" s="552"/>
      <c r="F82" s="552"/>
      <c r="G82" s="552"/>
      <c r="H82" s="552"/>
      <c r="I82" s="552"/>
      <c r="J82" s="552"/>
      <c r="K82" s="552"/>
      <c r="L82" s="578"/>
      <c r="M82" s="579"/>
      <c r="N82" s="1149"/>
      <c r="O82" s="1149"/>
      <c r="P82" s="45"/>
      <c r="Q82" s="502"/>
    </row>
    <row r="83" spans="1:17" s="116" customFormat="1" ht="15.75" thickBot="1">
      <c r="A83" s="577"/>
      <c r="B83" s="541"/>
      <c r="C83" s="558"/>
      <c r="D83" s="534"/>
      <c r="E83" s="534"/>
      <c r="F83" s="534"/>
      <c r="G83" s="534"/>
      <c r="H83" s="534"/>
      <c r="I83" s="534"/>
      <c r="J83" s="534"/>
      <c r="K83" s="534"/>
      <c r="L83" s="534"/>
      <c r="M83" s="535"/>
      <c r="N83" s="1151"/>
      <c r="O83" s="1151"/>
      <c r="P83" s="45"/>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5"/>
      <c r="Q86" s="502"/>
    </row>
    <row r="87" spans="1:17" ht="15.75" thickBot="1">
      <c r="A87" s="2623"/>
      <c r="B87" s="567"/>
      <c r="C87" s="568"/>
      <c r="D87" s="568"/>
      <c r="E87" s="568"/>
      <c r="F87" s="568"/>
      <c r="G87" s="589"/>
      <c r="H87" s="589"/>
      <c r="I87" s="589"/>
      <c r="J87" s="589"/>
      <c r="K87" s="589"/>
      <c r="L87" s="589"/>
      <c r="M87" s="590"/>
      <c r="N87" s="1151"/>
      <c r="O87" s="1151"/>
      <c r="P87" s="45"/>
      <c r="Q87" s="502"/>
    </row>
    <row r="88" spans="1:17">
      <c r="A88" s="525" t="s">
        <v>2547</v>
      </c>
      <c r="B88" s="526" t="s">
        <v>2596</v>
      </c>
      <c r="C88" s="528"/>
      <c r="D88" s="528"/>
      <c r="E88" s="528"/>
      <c r="F88" s="528"/>
      <c r="G88" s="528"/>
      <c r="H88" s="528"/>
      <c r="I88" s="528"/>
      <c r="J88" s="528"/>
      <c r="K88" s="529"/>
      <c r="L88" s="530"/>
      <c r="M88" s="531"/>
      <c r="N88" s="1150"/>
      <c r="O88" s="1150"/>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5"/>
      <c r="Q89" s="502"/>
    </row>
    <row r="90" spans="1:17" ht="15.75" thickTop="1">
      <c r="A90" s="532"/>
      <c r="B90" s="536" t="s">
        <v>2597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5"/>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2598</v>
      </c>
      <c r="C93" s="552"/>
      <c r="D93" s="552"/>
      <c r="E93" s="581"/>
      <c r="F93" s="581"/>
      <c r="G93" s="581"/>
      <c r="H93" s="581"/>
      <c r="I93" s="581"/>
      <c r="J93" s="581"/>
      <c r="K93" s="582"/>
      <c r="L93" s="583"/>
      <c r="M93" s="584"/>
      <c r="N93" s="1150"/>
      <c r="O93" s="1150"/>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5"/>
      <c r="Q94" s="502"/>
    </row>
    <row r="95" spans="1:17" ht="15" thickTop="1">
      <c r="A95" s="597"/>
      <c r="B95" s="536" t="s">
        <v>2600</v>
      </c>
      <c r="C95" s="552"/>
      <c r="D95" s="552"/>
      <c r="E95" s="552"/>
      <c r="F95" s="581"/>
      <c r="G95" s="581"/>
      <c r="H95" s="581"/>
      <c r="I95" s="581"/>
      <c r="J95" s="581"/>
      <c r="K95" s="582"/>
      <c r="L95" s="583"/>
      <c r="M95" s="584"/>
      <c r="N95" s="1150"/>
      <c r="O95" s="1150"/>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5"/>
      <c r="Q99" s="502"/>
    </row>
    <row r="100" spans="1:17" s="469" customFormat="1" ht="15" thickTop="1">
      <c r="A100" s="591"/>
      <c r="B100" s="536" t="s">
        <v>2601</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2602</v>
      </c>
      <c r="C102" s="552"/>
      <c r="D102" s="552"/>
      <c r="E102" s="552"/>
      <c r="F102" s="552"/>
      <c r="G102" s="552"/>
      <c r="H102" s="581"/>
      <c r="I102" s="581"/>
      <c r="J102" s="581"/>
      <c r="K102" s="582"/>
      <c r="L102" s="583"/>
      <c r="M102" s="584"/>
      <c r="N102" s="1150"/>
      <c r="O102" s="1150"/>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5"/>
      <c r="Q103" s="502"/>
    </row>
    <row r="104" spans="1:17" ht="15" thickTop="1">
      <c r="A104" s="597"/>
      <c r="B104" s="536" t="s">
        <v>2604</v>
      </c>
      <c r="C104" s="552"/>
      <c r="D104" s="552"/>
      <c r="E104" s="552"/>
      <c r="F104" s="552"/>
      <c r="G104" s="552"/>
      <c r="H104" s="581"/>
      <c r="I104" s="581"/>
      <c r="J104" s="581"/>
      <c r="K104" s="582"/>
      <c r="L104" s="583"/>
      <c r="M104" s="584"/>
      <c r="N104" s="1150"/>
      <c r="O104" s="1150"/>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5"/>
      <c r="Q105" s="502"/>
    </row>
    <row r="106" spans="1:17" ht="15" thickTop="1">
      <c r="A106" s="597"/>
      <c r="B106" s="634" t="s">
        <v>2690</v>
      </c>
      <c r="C106" s="576" t="s">
        <v>2581</v>
      </c>
      <c r="D106" s="576" t="s">
        <v>2582</v>
      </c>
      <c r="E106" s="576" t="s">
        <v>2583</v>
      </c>
      <c r="F106" s="576" t="s">
        <v>2584</v>
      </c>
      <c r="G106" s="576" t="s">
        <v>2585</v>
      </c>
      <c r="H106" s="537"/>
      <c r="I106" s="537"/>
      <c r="J106" s="537"/>
      <c r="K106" s="538"/>
      <c r="L106" s="539"/>
      <c r="M106" s="540"/>
      <c r="N106" s="1151"/>
      <c r="O106" s="1151"/>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5"/>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5"/>
      <c r="Q110" s="502"/>
    </row>
    <row r="111" spans="1:17" ht="15.75" thickBot="1">
      <c r="A111" s="532"/>
      <c r="B111" s="541"/>
      <c r="C111" s="558"/>
      <c r="D111" s="534"/>
      <c r="E111" s="534"/>
      <c r="F111" s="534"/>
      <c r="G111" s="558"/>
      <c r="H111" s="560"/>
      <c r="I111" s="560"/>
      <c r="J111" s="560"/>
      <c r="K111" s="560"/>
      <c r="L111" s="560"/>
      <c r="M111" s="561"/>
      <c r="N111" s="1151"/>
      <c r="O111" s="1151"/>
      <c r="P111" s="45"/>
      <c r="Q111" s="502"/>
    </row>
    <row r="112" spans="1:17" ht="15" thickTop="1">
      <c r="A112" s="597"/>
      <c r="B112" s="544">
        <f>B40</f>
        <v>111</v>
      </c>
      <c r="C112" s="521"/>
      <c r="D112" s="521"/>
      <c r="E112" s="521"/>
      <c r="F112" s="521"/>
      <c r="G112" s="585"/>
      <c r="H112" s="585"/>
      <c r="I112" s="585"/>
      <c r="J112" s="585"/>
      <c r="K112" s="521"/>
      <c r="L112" s="522"/>
      <c r="M112" s="588"/>
      <c r="N112" s="1150"/>
      <c r="O112" s="1150"/>
      <c r="P112" s="45"/>
      <c r="Q112" s="502"/>
    </row>
    <row r="113" spans="1:17" ht="15.75" thickBot="1">
      <c r="A113" s="2623"/>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60" priority="16" stopIfTrue="1" operator="containsText" text="超过">
      <formula>NOT(ISERROR(SEARCH("超过",F46)))</formula>
    </cfRule>
  </conditionalFormatting>
  <conditionalFormatting sqref="H48">
    <cfRule type="containsText" dxfId="159" priority="15" stopIfTrue="1" operator="containsText" text="超过">
      <formula>NOT(ISERROR(SEARCH("超过",H48)))</formula>
    </cfRule>
  </conditionalFormatting>
  <conditionalFormatting sqref="F48">
    <cfRule type="containsText" dxfId="158" priority="14" stopIfTrue="1" operator="containsText" text="超过">
      <formula>NOT(ISERROR(SEARCH("超过",F48)))</formula>
    </cfRule>
  </conditionalFormatting>
  <conditionalFormatting sqref="F47 H47">
    <cfRule type="containsText" dxfId="157" priority="13" stopIfTrue="1" operator="containsText" text="超过">
      <formula>NOT(ISERROR(SEARCH("超过",F47)))</formula>
    </cfRule>
  </conditionalFormatting>
  <conditionalFormatting sqref="E46">
    <cfRule type="expression" dxfId="156" priority="12" stopIfTrue="1">
      <formula>$F$46="超过30%"</formula>
    </cfRule>
  </conditionalFormatting>
  <conditionalFormatting sqref="E47">
    <cfRule type="expression" dxfId="155" priority="11" stopIfTrue="1">
      <formula>$F$47="超过20%"</formula>
    </cfRule>
  </conditionalFormatting>
  <conditionalFormatting sqref="E48">
    <cfRule type="expression" dxfId="154" priority="10" stopIfTrue="1">
      <formula>$F$48="超过30%"</formula>
    </cfRule>
  </conditionalFormatting>
  <conditionalFormatting sqref="G48">
    <cfRule type="expression" dxfId="153" priority="9" stopIfTrue="1">
      <formula>$H$48="超过30%"</formula>
    </cfRule>
  </conditionalFormatting>
  <conditionalFormatting sqref="G46">
    <cfRule type="expression" dxfId="152" priority="8" stopIfTrue="1">
      <formula>$H$46="超过30%"</formula>
    </cfRule>
  </conditionalFormatting>
  <conditionalFormatting sqref="G47">
    <cfRule type="expression" dxfId="151" priority="7" stopIfTrue="1">
      <formula>$H$47="超过20%"</formula>
    </cfRule>
  </conditionalFormatting>
  <conditionalFormatting sqref="J46">
    <cfRule type="containsText" dxfId="150" priority="6" stopIfTrue="1" operator="containsText" text="超过">
      <formula>NOT(ISERROR(SEARCH("超过",J46)))</formula>
    </cfRule>
  </conditionalFormatting>
  <conditionalFormatting sqref="J48">
    <cfRule type="containsText" dxfId="149" priority="5" stopIfTrue="1" operator="containsText" text="超过">
      <formula>NOT(ISERROR(SEARCH("超过",J48)))</formula>
    </cfRule>
  </conditionalFormatting>
  <conditionalFormatting sqref="J47">
    <cfRule type="containsText" dxfId="148" priority="4" stopIfTrue="1" operator="containsText" text="超过">
      <formula>NOT(ISERROR(SEARCH("超过",J47)))</formula>
    </cfRule>
  </conditionalFormatting>
  <conditionalFormatting sqref="I46">
    <cfRule type="expression" dxfId="147" priority="3" stopIfTrue="1">
      <formula>$J$46="超过30%"</formula>
    </cfRule>
  </conditionalFormatting>
  <conditionalFormatting sqref="I47">
    <cfRule type="expression" dxfId="146" priority="2" stopIfTrue="1">
      <formula>$J$47="超过20%"</formula>
    </cfRule>
  </conditionalFormatting>
  <conditionalFormatting sqref="I48">
    <cfRule type="expression" dxfId="14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opLeftCell="A10" zoomScale="90" zoomScaleNormal="90" workbookViewId="0">
      <selection activeCell="C22" sqref="C22"/>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2512</v>
      </c>
      <c r="B1" s="2656" t="s">
        <v>2686</v>
      </c>
      <c r="C1" s="1615" t="s">
        <v>2514</v>
      </c>
      <c r="D1" s="1616" t="s">
        <v>3041</v>
      </c>
      <c r="E1" s="1625"/>
      <c r="F1" s="2571" t="s">
        <v>3046</v>
      </c>
      <c r="G1" s="1626" t="s">
        <v>2516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1394</v>
      </c>
      <c r="B2" s="1414" t="e">
        <f>IF(C2="——",ROUND(C43*D3/10000,0),ROUND(C43*D3/10000,0)-D2)</f>
        <v>#DIV/0!</v>
      </c>
      <c r="C2" s="2573" t="s">
        <v>70</v>
      </c>
      <c r="D2" s="1122" t="e">
        <f ca="1">SUMIF(INDIRECT("'"&amp;F2&amp;"'"&amp;"!A:A"),"承租人权益价值",INDIRECT("'"&amp;F2&amp;"'"&amp;"!c:c"))</f>
        <v>#REF!</v>
      </c>
      <c r="E2" s="2574" t="s">
        <v>2315</v>
      </c>
      <c r="F2" s="2575"/>
      <c r="G2" s="1123"/>
      <c r="H2" s="1123"/>
      <c r="I2" s="1123"/>
      <c r="J2" s="1123"/>
      <c r="K2" s="1123"/>
      <c r="L2" s="1126"/>
      <c r="M2" s="1127"/>
      <c r="N2" s="1127"/>
      <c r="O2" s="1127"/>
      <c r="P2" s="764"/>
      <c r="Q2" s="764"/>
      <c r="R2" s="764"/>
      <c r="S2" s="764"/>
      <c r="T2" s="764"/>
      <c r="U2" s="764"/>
      <c r="V2" s="764"/>
      <c r="W2" s="764"/>
      <c r="X2" s="764"/>
      <c r="Y2" s="764"/>
      <c r="Z2" s="764"/>
      <c r="AA2" s="764"/>
      <c r="AB2" s="764"/>
      <c r="AC2" s="778"/>
    </row>
    <row r="3" spans="1:29" s="396" customFormat="1" ht="28.5" customHeight="1" thickBot="1">
      <c r="A3" s="245" t="s">
        <v>1395</v>
      </c>
      <c r="B3" s="607" t="e">
        <f>IF(C2="——",C43,ROUND(B2*10000/D3,0))</f>
        <v>#DIV/0!</v>
      </c>
      <c r="C3" s="398" t="s">
        <v>2518</v>
      </c>
      <c r="D3" s="397">
        <f>IF(D1="",'数据-汇总表'!E3,SUMIF('数据-汇总表'!$C19:$C33,D1,'数据-汇总表'!$E19:$E33))</f>
        <v>0</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9" t="s">
        <v>2519</v>
      </c>
      <c r="B4" s="400"/>
      <c r="C4" s="3275" t="s">
        <v>2520</v>
      </c>
      <c r="D4" s="3276"/>
      <c r="E4" s="3277" t="s">
        <v>2521</v>
      </c>
      <c r="F4" s="3278"/>
      <c r="G4" s="3275" t="s">
        <v>2522</v>
      </c>
      <c r="H4" s="3276"/>
      <c r="I4" s="3275" t="s">
        <v>2523</v>
      </c>
      <c r="J4" s="3276"/>
      <c r="K4" s="608" t="s">
        <v>2524</v>
      </c>
      <c r="L4" s="1128"/>
      <c r="M4" s="1129"/>
      <c r="N4" s="1129"/>
      <c r="O4" s="1129"/>
      <c r="P4" s="3279" t="s">
        <v>2525</v>
      </c>
      <c r="Q4" s="3280"/>
      <c r="R4" s="3262" t="s">
        <v>2521</v>
      </c>
      <c r="S4" s="3263"/>
      <c r="T4" s="3262" t="s">
        <v>2522</v>
      </c>
      <c r="U4" s="3263"/>
      <c r="V4" s="3287" t="s">
        <v>2523</v>
      </c>
      <c r="W4" s="3287"/>
      <c r="X4" s="2932"/>
      <c r="Y4" s="3262" t="s">
        <v>2525</v>
      </c>
      <c r="Z4" s="3263"/>
      <c r="AA4" s="3257" t="s">
        <v>2521</v>
      </c>
      <c r="AB4" s="3258" t="s">
        <v>2522</v>
      </c>
      <c r="AC4" s="3257" t="s">
        <v>2523</v>
      </c>
    </row>
    <row r="5" spans="1:29" ht="15">
      <c r="A5" s="402"/>
      <c r="B5" s="403"/>
      <c r="C5" s="3268" t="s">
        <v>2526</v>
      </c>
      <c r="D5" s="3269"/>
      <c r="E5" s="3303" t="s">
        <v>3054</v>
      </c>
      <c r="F5" s="3267"/>
      <c r="G5" s="3304" t="s">
        <v>3056</v>
      </c>
      <c r="H5" s="3269"/>
      <c r="I5" s="3304" t="s">
        <v>3058</v>
      </c>
      <c r="J5" s="3269"/>
      <c r="K5" s="608"/>
      <c r="L5" s="1128"/>
      <c r="M5" s="1129"/>
      <c r="N5" s="1129"/>
      <c r="O5" s="1129"/>
      <c r="P5" s="3281"/>
      <c r="Q5" s="3282"/>
      <c r="R5" s="3264"/>
      <c r="S5" s="3265"/>
      <c r="T5" s="3264"/>
      <c r="U5" s="3265"/>
      <c r="V5" s="3287"/>
      <c r="W5" s="3287"/>
      <c r="X5" s="2932"/>
      <c r="Y5" s="3264"/>
      <c r="Z5" s="3265"/>
      <c r="AA5" s="3258"/>
      <c r="AB5" s="3258"/>
      <c r="AC5" s="3258"/>
    </row>
    <row r="6" spans="1:29" ht="15.75" thickBot="1">
      <c r="A6" s="404"/>
      <c r="B6" s="405"/>
      <c r="C6" s="3270" t="s">
        <v>2530</v>
      </c>
      <c r="D6" s="3271"/>
      <c r="E6" s="3272" t="s">
        <v>2530</v>
      </c>
      <c r="F6" s="3273"/>
      <c r="G6" s="3270" t="s">
        <v>2530</v>
      </c>
      <c r="H6" s="3271"/>
      <c r="I6" s="3270" t="s">
        <v>2530</v>
      </c>
      <c r="J6" s="3271"/>
      <c r="K6" s="608" t="s">
        <v>2531</v>
      </c>
      <c r="L6" s="1128"/>
      <c r="M6" s="1129"/>
      <c r="N6" s="1129"/>
      <c r="O6" s="1129"/>
      <c r="P6" s="3283"/>
      <c r="Q6" s="3284"/>
      <c r="R6" s="3264"/>
      <c r="S6" s="3265"/>
      <c r="T6" s="3285"/>
      <c r="U6" s="3286"/>
      <c r="V6" s="3287"/>
      <c r="W6" s="3287"/>
      <c r="X6" s="2932"/>
      <c r="Y6" s="3285"/>
      <c r="Z6" s="3286"/>
      <c r="AA6" s="3259"/>
      <c r="AB6" s="3259"/>
      <c r="AC6" s="3259"/>
    </row>
    <row r="7" spans="1:29" s="116" customFormat="1" ht="15.75" thickBot="1">
      <c r="A7" s="406" t="s">
        <v>2532</v>
      </c>
      <c r="B7" s="407"/>
      <c r="C7" s="408">
        <f>'数据-取费表'!B2</f>
        <v>43207</v>
      </c>
      <c r="D7" s="409">
        <v>100</v>
      </c>
      <c r="E7" s="410">
        <v>43200</v>
      </c>
      <c r="F7" s="411">
        <f>SUMIF(52:52,YEAR(E7)&amp;"-"&amp;MONTH(E7),53:53)</f>
        <v>100</v>
      </c>
      <c r="G7" s="410">
        <v>43200</v>
      </c>
      <c r="H7" s="409">
        <f>SUMIF(52:52,YEAR(G7)&amp;"-"&amp;MONTH(G7),53:53)</f>
        <v>100</v>
      </c>
      <c r="I7" s="410">
        <v>43200</v>
      </c>
      <c r="J7" s="409">
        <f>SUMIF(52:52,YEAR(I7)&amp;"-"&amp;MONTH(I7),53:53)</f>
        <v>100</v>
      </c>
      <c r="K7" s="609"/>
      <c r="L7" s="1130"/>
      <c r="M7" s="1131"/>
      <c r="N7" s="1131"/>
      <c r="O7" s="1131"/>
      <c r="P7" s="3260" t="s">
        <v>2533</v>
      </c>
      <c r="Q7" s="3288"/>
      <c r="R7" s="766" t="s">
        <v>17</v>
      </c>
      <c r="S7" s="767">
        <f t="shared" ref="S7:S15" si="0">F7</f>
        <v>100</v>
      </c>
      <c r="T7" s="766" t="s">
        <v>17</v>
      </c>
      <c r="U7" s="767">
        <f t="shared" ref="U7:U15" si="1">H7</f>
        <v>100</v>
      </c>
      <c r="V7" s="766" t="s">
        <v>17</v>
      </c>
      <c r="W7" s="767">
        <f t="shared" ref="W7:W15" si="2">J7</f>
        <v>100</v>
      </c>
      <c r="X7" s="768"/>
      <c r="Y7" s="3260" t="s">
        <v>2533</v>
      </c>
      <c r="Z7" s="3261"/>
      <c r="AA7" s="769">
        <f>D7/F7</f>
        <v>1</v>
      </c>
      <c r="AB7" s="769">
        <f>D7/H7</f>
        <v>1</v>
      </c>
      <c r="AC7" s="769">
        <f>D7/J7</f>
        <v>1</v>
      </c>
    </row>
    <row r="8" spans="1:29" s="116" customFormat="1" ht="15.75" thickBot="1">
      <c r="A8" s="406" t="s">
        <v>2534</v>
      </c>
      <c r="B8" s="407"/>
      <c r="C8" s="412" t="s">
        <v>2535</v>
      </c>
      <c r="D8" s="409">
        <v>100</v>
      </c>
      <c r="E8" s="412" t="s">
        <v>3048</v>
      </c>
      <c r="F8" s="411">
        <f>SUMIF(55:55,E8,56:56)-SUMIF(55:55,C8,56:56)+100</f>
        <v>100</v>
      </c>
      <c r="G8" s="412" t="s">
        <v>3048</v>
      </c>
      <c r="H8" s="409">
        <f>SUMIF(55:55,G8,56:56)-SUMIF(55:55,C8,56:56)+100</f>
        <v>100</v>
      </c>
      <c r="I8" s="412"/>
      <c r="J8" s="409">
        <f>SUMIF(55:55,I8,56:56)-SUMIF(55:55,C8,56:56)+100</f>
        <v>0</v>
      </c>
      <c r="K8" s="609"/>
      <c r="L8" s="1130"/>
      <c r="M8" s="1131"/>
      <c r="N8" s="1131"/>
      <c r="O8" s="1131"/>
      <c r="P8" s="3260" t="s">
        <v>2536</v>
      </c>
      <c r="Q8" s="3261"/>
      <c r="R8" s="766" t="s">
        <v>17</v>
      </c>
      <c r="S8" s="767">
        <f t="shared" si="0"/>
        <v>100</v>
      </c>
      <c r="T8" s="766" t="s">
        <v>17</v>
      </c>
      <c r="U8" s="767">
        <f t="shared" si="1"/>
        <v>100</v>
      </c>
      <c r="V8" s="766" t="s">
        <v>17</v>
      </c>
      <c r="W8" s="767">
        <f t="shared" si="2"/>
        <v>0</v>
      </c>
      <c r="X8" s="768"/>
      <c r="Y8" s="3260" t="s">
        <v>2536</v>
      </c>
      <c r="Z8" s="3261"/>
      <c r="AA8" s="769">
        <f t="shared" ref="AA8:AA40" si="3">D8/F8</f>
        <v>1</v>
      </c>
      <c r="AB8" s="769">
        <f t="shared" ref="AB8:AB40" si="4">D8/H8</f>
        <v>1</v>
      </c>
      <c r="AC8" s="769" t="e">
        <f t="shared" ref="AC8:AC40" si="5">D8/J8</f>
        <v>#DIV/0!</v>
      </c>
    </row>
    <row r="9" spans="1:29" s="116" customFormat="1">
      <c r="A9" s="413" t="s">
        <v>2537</v>
      </c>
      <c r="B9" s="71" t="s">
        <v>2538</v>
      </c>
      <c r="C9" s="2936" t="s">
        <v>3057</v>
      </c>
      <c r="D9" s="133">
        <v>100</v>
      </c>
      <c r="E9" s="417">
        <v>0</v>
      </c>
      <c r="F9" s="133">
        <f>SUMIF(57:57,E9,58:58)-SUMIF(57:57,C9,58:58)+100</f>
        <v>0</v>
      </c>
      <c r="G9" s="415">
        <v>0</v>
      </c>
      <c r="H9" s="133">
        <f>SUMIF(57:57,G9,58:58)-SUMIF(57:57,C9,58:58)+100</f>
        <v>0</v>
      </c>
      <c r="I9" s="415"/>
      <c r="J9" s="133">
        <f>SUMIF(57:57,I9,58:58)-SUMIF(57:57,C9,58:58)+100</f>
        <v>0</v>
      </c>
      <c r="K9" s="609"/>
      <c r="L9" s="1130"/>
      <c r="M9" s="1131"/>
      <c r="N9" s="1131"/>
      <c r="O9" s="1132"/>
      <c r="P9" s="3274" t="s">
        <v>2539</v>
      </c>
      <c r="Q9" s="2926" t="str">
        <f t="shared" ref="Q9:Q15" si="6">B9</f>
        <v>用途</v>
      </c>
      <c r="R9" s="766" t="s">
        <v>17</v>
      </c>
      <c r="S9" s="767">
        <f t="shared" si="0"/>
        <v>0</v>
      </c>
      <c r="T9" s="766" t="s">
        <v>17</v>
      </c>
      <c r="U9" s="767">
        <f t="shared" si="1"/>
        <v>0</v>
      </c>
      <c r="V9" s="766" t="s">
        <v>17</v>
      </c>
      <c r="W9" s="767">
        <f t="shared" si="2"/>
        <v>0</v>
      </c>
      <c r="X9" s="768"/>
      <c r="Y9" s="3134" t="s">
        <v>2540</v>
      </c>
      <c r="Z9" s="2927" t="str">
        <f t="shared" ref="Z9:Z15" si="7">Q9</f>
        <v>用途</v>
      </c>
      <c r="AA9" s="769" t="e">
        <f t="shared" si="3"/>
        <v>#DIV/0!</v>
      </c>
      <c r="AB9" s="769" t="e">
        <f t="shared" si="4"/>
        <v>#DIV/0!</v>
      </c>
      <c r="AC9" s="769" t="e">
        <f t="shared" si="5"/>
        <v>#DIV/0!</v>
      </c>
    </row>
    <row r="10" spans="1:29" s="425" customFormat="1" ht="27">
      <c r="A10" s="419"/>
      <c r="B10" s="2928" t="s">
        <v>2541</v>
      </c>
      <c r="C10" s="421" t="s">
        <v>3050</v>
      </c>
      <c r="D10" s="134">
        <v>100</v>
      </c>
      <c r="E10" s="421"/>
      <c r="F10" s="134">
        <f>SUMIF(59:59,E10,60:60)-SUMIF(59:59,C10,60:60)+100</f>
        <v>2</v>
      </c>
      <c r="G10" s="422"/>
      <c r="H10" s="134">
        <f>SUMIF(59:59,G10,60:60)-SUMIF(59:59,C10,60:60)+100</f>
        <v>2</v>
      </c>
      <c r="I10" s="421"/>
      <c r="J10" s="134">
        <f>SUMIF(59:59,I10,60:60)-SUMIF(59:59,C10,60:60)+100</f>
        <v>2</v>
      </c>
      <c r="K10" s="610">
        <v>2</v>
      </c>
      <c r="L10" s="1133"/>
      <c r="M10" s="1134"/>
      <c r="N10" s="1134"/>
      <c r="O10" s="1135"/>
      <c r="P10" s="3274"/>
      <c r="Q10" s="2926" t="str">
        <f t="shared" si="6"/>
        <v>土地使用年限（年）</v>
      </c>
      <c r="R10" s="766" t="s">
        <v>17</v>
      </c>
      <c r="S10" s="767">
        <f t="shared" si="0"/>
        <v>2</v>
      </c>
      <c r="T10" s="766" t="s">
        <v>17</v>
      </c>
      <c r="U10" s="767">
        <f t="shared" si="1"/>
        <v>2</v>
      </c>
      <c r="V10" s="766" t="s">
        <v>17</v>
      </c>
      <c r="W10" s="767">
        <f t="shared" si="2"/>
        <v>2</v>
      </c>
      <c r="X10" s="768"/>
      <c r="Y10" s="3134"/>
      <c r="Z10" s="2927" t="str">
        <f t="shared" si="7"/>
        <v>土地使用年限（年）</v>
      </c>
      <c r="AA10" s="769">
        <f t="shared" si="3"/>
        <v>50</v>
      </c>
      <c r="AB10" s="769">
        <f t="shared" si="4"/>
        <v>50</v>
      </c>
      <c r="AC10" s="769">
        <f t="shared" si="5"/>
        <v>50</v>
      </c>
    </row>
    <row r="11" spans="1:29" ht="15">
      <c r="A11" s="426"/>
      <c r="B11" s="2928" t="s">
        <v>2542</v>
      </c>
      <c r="C11" s="427"/>
      <c r="D11" s="134">
        <v>100</v>
      </c>
      <c r="E11" s="427"/>
      <c r="F11" s="134" t="e">
        <f>LOOKUP(E11,62:62,63:63)-LOOKUP(C11,62:62,63:63)+100</f>
        <v>#N/A</v>
      </c>
      <c r="G11" s="428"/>
      <c r="H11" s="134" t="e">
        <f>LOOKUP(G11,62:62,63:63)-LOOKUP(C11,62:62,63:63)+100</f>
        <v>#N/A</v>
      </c>
      <c r="I11" s="427"/>
      <c r="J11" s="134" t="e">
        <f>LOOKUP(I11,62:62,63:63)-LOOKUP(C11,62:62,63:63)+100</f>
        <v>#N/A</v>
      </c>
      <c r="K11" s="610">
        <v>2</v>
      </c>
      <c r="L11" s="1136"/>
      <c r="M11" s="1129"/>
      <c r="N11" s="1129"/>
      <c r="O11" s="1137"/>
      <c r="P11" s="3274"/>
      <c r="Q11" s="2926" t="str">
        <f t="shared" si="6"/>
        <v>容积率</v>
      </c>
      <c r="R11" s="766" t="s">
        <v>17</v>
      </c>
      <c r="S11" s="767" t="e">
        <f t="shared" si="0"/>
        <v>#N/A</v>
      </c>
      <c r="T11" s="766" t="s">
        <v>17</v>
      </c>
      <c r="U11" s="767" t="e">
        <f t="shared" si="1"/>
        <v>#N/A</v>
      </c>
      <c r="V11" s="766" t="s">
        <v>17</v>
      </c>
      <c r="W11" s="767" t="e">
        <f t="shared" si="2"/>
        <v>#N/A</v>
      </c>
      <c r="X11" s="768"/>
      <c r="Y11" s="3134"/>
      <c r="Z11" s="2927" t="str">
        <f t="shared" si="7"/>
        <v>容积率</v>
      </c>
      <c r="AA11" s="769" t="e">
        <f t="shared" si="3"/>
        <v>#N/A</v>
      </c>
      <c r="AB11" s="769" t="e">
        <f t="shared" si="4"/>
        <v>#N/A</v>
      </c>
      <c r="AC11" s="769" t="e">
        <f t="shared" si="5"/>
        <v>#N/A</v>
      </c>
    </row>
    <row r="12" spans="1:29" s="116" customFormat="1" ht="15">
      <c r="A12" s="429"/>
      <c r="B12" s="2587">
        <v>111</v>
      </c>
      <c r="C12" s="430"/>
      <c r="D12" s="431">
        <v>100</v>
      </c>
      <c r="E12" s="432"/>
      <c r="F12" s="134">
        <f>SUMIF(64:64,E12,65:65)-SUMIF(64:64,C12,65:65)+100</f>
        <v>100</v>
      </c>
      <c r="G12" s="2679"/>
      <c r="H12" s="134">
        <f>SUMIF(64:64,G12,65:65)-SUMIF(64:64,C12,65:65)+100</f>
        <v>100</v>
      </c>
      <c r="I12" s="467"/>
      <c r="J12" s="134">
        <f>SUMIF(64:64,I12,65:65)-SUMIF(64:64,C12,65:65)+100</f>
        <v>100</v>
      </c>
      <c r="K12" s="611"/>
      <c r="L12" s="1130"/>
      <c r="M12" s="1131"/>
      <c r="N12" s="1131"/>
      <c r="O12" s="1132"/>
      <c r="P12" s="3274"/>
      <c r="Q12" s="2926">
        <f t="shared" si="6"/>
        <v>111</v>
      </c>
      <c r="R12" s="766" t="s">
        <v>17</v>
      </c>
      <c r="S12" s="767">
        <f t="shared" si="0"/>
        <v>100</v>
      </c>
      <c r="T12" s="766" t="s">
        <v>17</v>
      </c>
      <c r="U12" s="767">
        <f t="shared" si="1"/>
        <v>100</v>
      </c>
      <c r="V12" s="766" t="s">
        <v>17</v>
      </c>
      <c r="W12" s="767">
        <f t="shared" si="2"/>
        <v>100</v>
      </c>
      <c r="X12" s="768"/>
      <c r="Y12" s="3134"/>
      <c r="Z12" s="2927">
        <f t="shared" si="7"/>
        <v>111</v>
      </c>
      <c r="AA12" s="769">
        <f>D12/F12</f>
        <v>1</v>
      </c>
      <c r="AB12" s="769">
        <f>D12/H12</f>
        <v>1</v>
      </c>
      <c r="AC12" s="769">
        <f>D12/J12</f>
        <v>1</v>
      </c>
    </row>
    <row r="13" spans="1:29" ht="15">
      <c r="A13" s="426"/>
      <c r="B13" s="2587">
        <v>111</v>
      </c>
      <c r="C13" s="432"/>
      <c r="D13" s="433">
        <v>100</v>
      </c>
      <c r="E13" s="432"/>
      <c r="F13" s="134">
        <f>SUMIF(66:66,E13,67:67)-SUMIF(66:66,C13,67:67)+100</f>
        <v>100</v>
      </c>
      <c r="G13" s="2679"/>
      <c r="H13" s="433">
        <f>SUMIF(66:66,G13,67:67)-SUMIF(66:66,C13,67:67)+100</f>
        <v>100</v>
      </c>
      <c r="I13" s="467"/>
      <c r="J13" s="433">
        <f>SUMIF(66:66,I13,67:67)-SUMIF(66:66,C13,67:67)+100</f>
        <v>100</v>
      </c>
      <c r="K13" s="611"/>
      <c r="L13" s="1138"/>
      <c r="M13" s="1129"/>
      <c r="N13" s="1129"/>
      <c r="O13" s="1137"/>
      <c r="P13" s="3274"/>
      <c r="Q13" s="2926">
        <f t="shared" si="6"/>
        <v>111</v>
      </c>
      <c r="R13" s="766" t="s">
        <v>17</v>
      </c>
      <c r="S13" s="767">
        <f t="shared" si="0"/>
        <v>100</v>
      </c>
      <c r="T13" s="766" t="s">
        <v>17</v>
      </c>
      <c r="U13" s="767">
        <f t="shared" si="1"/>
        <v>100</v>
      </c>
      <c r="V13" s="766" t="s">
        <v>17</v>
      </c>
      <c r="W13" s="767">
        <f t="shared" si="2"/>
        <v>100</v>
      </c>
      <c r="X13" s="768"/>
      <c r="Y13" s="3134"/>
      <c r="Z13" s="2927">
        <f t="shared" si="7"/>
        <v>111</v>
      </c>
      <c r="AA13" s="769">
        <f t="shared" si="3"/>
        <v>1</v>
      </c>
      <c r="AB13" s="769">
        <f t="shared" si="4"/>
        <v>1</v>
      </c>
      <c r="AC13" s="769">
        <f t="shared" si="5"/>
        <v>1</v>
      </c>
    </row>
    <row r="14" spans="1:29" ht="15.75" thickBot="1">
      <c r="A14" s="434"/>
      <c r="B14" s="2589">
        <v>111</v>
      </c>
      <c r="C14" s="435"/>
      <c r="D14" s="436">
        <v>100</v>
      </c>
      <c r="E14" s="435"/>
      <c r="F14" s="436">
        <f>SUMIF(68:68,E14,69:69)-SUMIF(68:68,C14,69:69)+100</f>
        <v>100</v>
      </c>
      <c r="G14" s="2679"/>
      <c r="H14" s="436">
        <f>SUMIF(68:68,G14,69:69)-SUMIF(68:68,C14,69:69)+100</f>
        <v>100</v>
      </c>
      <c r="I14" s="467"/>
      <c r="J14" s="436">
        <f>SUMIF(68:68,I14,69:69)-SUMIF(68:68,C14,69:69)+100</f>
        <v>100</v>
      </c>
      <c r="K14" s="611"/>
      <c r="L14" s="1138"/>
      <c r="M14" s="1129"/>
      <c r="N14" s="1129"/>
      <c r="O14" s="1137"/>
      <c r="P14" s="3274"/>
      <c r="Q14" s="2926">
        <f t="shared" si="6"/>
        <v>111</v>
      </c>
      <c r="R14" s="766" t="s">
        <v>17</v>
      </c>
      <c r="S14" s="767">
        <f t="shared" si="0"/>
        <v>100</v>
      </c>
      <c r="T14" s="766" t="s">
        <v>17</v>
      </c>
      <c r="U14" s="767">
        <f t="shared" si="1"/>
        <v>100</v>
      </c>
      <c r="V14" s="766" t="s">
        <v>17</v>
      </c>
      <c r="W14" s="767">
        <f t="shared" si="2"/>
        <v>100</v>
      </c>
      <c r="X14" s="768"/>
      <c r="Y14" s="3134"/>
      <c r="Z14" s="2927">
        <f t="shared" si="7"/>
        <v>111</v>
      </c>
      <c r="AA14" s="769">
        <f t="shared" si="3"/>
        <v>1</v>
      </c>
      <c r="AB14" s="769">
        <f t="shared" si="4"/>
        <v>1</v>
      </c>
      <c r="AC14" s="769">
        <f t="shared" si="5"/>
        <v>1</v>
      </c>
    </row>
    <row r="15" spans="1:29" ht="15">
      <c r="A15" s="438" t="s">
        <v>2543</v>
      </c>
      <c r="B15" s="69" t="s">
        <v>2687</v>
      </c>
      <c r="C15" s="2680">
        <f>估价对象房地状况!G3</f>
        <v>0</v>
      </c>
      <c r="D15" s="439">
        <v>100</v>
      </c>
      <c r="E15" s="440"/>
      <c r="F15" s="441">
        <f>SUMIF(70:70,E16,71:71)-SUMIF(70:70,C16,71:71)+100</f>
        <v>100</v>
      </c>
      <c r="G15" s="442"/>
      <c r="H15" s="439">
        <f>SUMIF(70:70,G16,71:71)-SUMIF(70:70,C16,71:71)+100</f>
        <v>100</v>
      </c>
      <c r="I15" s="440"/>
      <c r="J15" s="439">
        <f>SUMIF(70:70,I16,71:71)-SUMIF(70:70,C16,71:71)+100</f>
        <v>100</v>
      </c>
      <c r="K15" s="612">
        <v>2</v>
      </c>
      <c r="L15" s="1138"/>
      <c r="M15" s="1129"/>
      <c r="N15" s="1129"/>
      <c r="O15" s="1137"/>
      <c r="P15" s="3289" t="s">
        <v>2544</v>
      </c>
      <c r="Q15" s="2930" t="str">
        <f t="shared" si="6"/>
        <v>产业集聚程度</v>
      </c>
      <c r="R15" s="770" t="s">
        <v>17</v>
      </c>
      <c r="S15" s="771">
        <f t="shared" si="0"/>
        <v>100</v>
      </c>
      <c r="T15" s="770" t="s">
        <v>17</v>
      </c>
      <c r="U15" s="771">
        <f t="shared" si="1"/>
        <v>100</v>
      </c>
      <c r="V15" s="770" t="s">
        <v>17</v>
      </c>
      <c r="W15" s="771">
        <f t="shared" si="2"/>
        <v>100</v>
      </c>
      <c r="X15" s="2932"/>
      <c r="Y15" s="3289" t="s">
        <v>2544</v>
      </c>
      <c r="Z15" s="2933" t="str">
        <f t="shared" si="7"/>
        <v>产业集聚程度</v>
      </c>
      <c r="AA15" s="2931">
        <f t="shared" si="3"/>
        <v>1</v>
      </c>
      <c r="AB15" s="2931">
        <f t="shared" si="4"/>
        <v>1</v>
      </c>
      <c r="AC15" s="2931">
        <f t="shared" si="5"/>
        <v>1</v>
      </c>
    </row>
    <row r="16" spans="1:29" ht="15">
      <c r="A16" s="426"/>
      <c r="B16" s="444"/>
      <c r="C16" s="445" t="s">
        <v>3055</v>
      </c>
      <c r="D16" s="446"/>
      <c r="E16" s="445" t="s">
        <v>3055</v>
      </c>
      <c r="F16" s="447"/>
      <c r="G16" s="445" t="s">
        <v>3055</v>
      </c>
      <c r="H16" s="448"/>
      <c r="I16" s="445" t="s">
        <v>3055</v>
      </c>
      <c r="J16" s="446"/>
      <c r="K16" s="613"/>
      <c r="L16" s="1138"/>
      <c r="M16" s="1129"/>
      <c r="N16" s="1129"/>
      <c r="O16" s="1137"/>
      <c r="P16" s="3290"/>
      <c r="Q16" s="2930"/>
      <c r="R16" s="770"/>
      <c r="S16" s="771"/>
      <c r="T16" s="770"/>
      <c r="U16" s="771"/>
      <c r="V16" s="770"/>
      <c r="W16" s="771"/>
      <c r="X16" s="2932"/>
      <c r="Y16" s="3290"/>
      <c r="Z16" s="2933"/>
      <c r="AA16" s="2931">
        <v>1</v>
      </c>
      <c r="AB16" s="2931">
        <v>1</v>
      </c>
      <c r="AC16" s="2931">
        <v>1</v>
      </c>
    </row>
    <row r="17" spans="1:29" ht="15">
      <c r="A17" s="426"/>
      <c r="B17" s="449" t="s">
        <v>2089</v>
      </c>
      <c r="C17" s="2594">
        <f>估价对象房地状况!G4</f>
        <v>0</v>
      </c>
      <c r="D17" s="448">
        <v>100</v>
      </c>
      <c r="E17" s="450"/>
      <c r="F17" s="451">
        <f>SUMIF(72:72,E18,73:73)-SUMIF(72:72,C18,73:73)+100</f>
        <v>100</v>
      </c>
      <c r="G17" s="452"/>
      <c r="H17" s="453">
        <f>SUMIF(72:72,G18,73:73)-SUMIF(72:72,C18,73:73)+100</f>
        <v>100</v>
      </c>
      <c r="I17" s="450"/>
      <c r="J17" s="453">
        <f>SUMIF(72:72,I18,73:73)-SUMIF(72:72,C18,73:73)+100</f>
        <v>94</v>
      </c>
      <c r="K17" s="612">
        <v>2</v>
      </c>
      <c r="L17" s="1138"/>
      <c r="M17" s="1129"/>
      <c r="N17" s="1129"/>
      <c r="O17" s="1137"/>
      <c r="P17" s="3290"/>
      <c r="Q17" s="2930" t="str">
        <f>B17</f>
        <v>交通便捷度</v>
      </c>
      <c r="R17" s="770" t="s">
        <v>17</v>
      </c>
      <c r="S17" s="771">
        <f>F17</f>
        <v>100</v>
      </c>
      <c r="T17" s="770" t="s">
        <v>17</v>
      </c>
      <c r="U17" s="771">
        <f>H17</f>
        <v>100</v>
      </c>
      <c r="V17" s="770" t="s">
        <v>17</v>
      </c>
      <c r="W17" s="771">
        <f>J17</f>
        <v>94</v>
      </c>
      <c r="X17" s="2932"/>
      <c r="Y17" s="3290"/>
      <c r="Z17" s="2933" t="str">
        <f>Q17</f>
        <v>交通便捷度</v>
      </c>
      <c r="AA17" s="2931">
        <f t="shared" si="3"/>
        <v>1</v>
      </c>
      <c r="AB17" s="2931">
        <f t="shared" si="4"/>
        <v>1</v>
      </c>
      <c r="AC17" s="2931">
        <f t="shared" si="5"/>
        <v>1.0638297872340425</v>
      </c>
    </row>
    <row r="18" spans="1:29" ht="15">
      <c r="A18" s="426"/>
      <c r="B18" s="454"/>
      <c r="C18" s="2595" t="s">
        <v>3055</v>
      </c>
      <c r="D18" s="448"/>
      <c r="E18" s="2597" t="s">
        <v>3055</v>
      </c>
      <c r="F18" s="451"/>
      <c r="G18" s="2596" t="s">
        <v>3055</v>
      </c>
      <c r="H18" s="446"/>
      <c r="I18" s="2597" t="s">
        <v>3064</v>
      </c>
      <c r="J18" s="446"/>
      <c r="K18" s="613"/>
      <c r="L18" s="1138"/>
      <c r="M18" s="1129"/>
      <c r="N18" s="1129"/>
      <c r="O18" s="1137"/>
      <c r="P18" s="3290"/>
      <c r="Q18" s="2930"/>
      <c r="R18" s="770"/>
      <c r="S18" s="771"/>
      <c r="T18" s="770"/>
      <c r="U18" s="771"/>
      <c r="V18" s="770"/>
      <c r="W18" s="771"/>
      <c r="X18" s="2932"/>
      <c r="Y18" s="3290"/>
      <c r="Z18" s="2933"/>
      <c r="AA18" s="2931">
        <v>1</v>
      </c>
      <c r="AB18" s="2931">
        <v>1</v>
      </c>
      <c r="AC18" s="2931">
        <v>1</v>
      </c>
    </row>
    <row r="19" spans="1:29" ht="15">
      <c r="A19" s="426"/>
      <c r="B19" s="449" t="s">
        <v>2672</v>
      </c>
      <c r="C19" s="2594">
        <f>估价对象房地状况!G5</f>
        <v>0</v>
      </c>
      <c r="D19" s="453">
        <v>100</v>
      </c>
      <c r="E19" s="455"/>
      <c r="F19" s="456">
        <f>SUMIF(74:74,E20,75:75)-SUMIF(74:74,C20,75:75)+100</f>
        <v>100</v>
      </c>
      <c r="G19" s="457"/>
      <c r="H19" s="448">
        <f>SUMIF(74:74,G20,75:75)-SUMIF(74:74,C20,75:75)+100</f>
        <v>100</v>
      </c>
      <c r="I19" s="455"/>
      <c r="J19" s="448">
        <f>SUMIF(74:74,I20,75:75)-SUMIF(74:74,C20,75:75)+100</f>
        <v>100</v>
      </c>
      <c r="K19" s="612">
        <v>2</v>
      </c>
      <c r="L19" s="1138"/>
      <c r="M19" s="1129"/>
      <c r="N19" s="1129"/>
      <c r="O19" s="1137"/>
      <c r="P19" s="3290"/>
      <c r="Q19" s="2930" t="str">
        <f>B19</f>
        <v>公共配套设施</v>
      </c>
      <c r="R19" s="770" t="s">
        <v>17</v>
      </c>
      <c r="S19" s="771">
        <f>F19</f>
        <v>100</v>
      </c>
      <c r="T19" s="770" t="s">
        <v>17</v>
      </c>
      <c r="U19" s="771">
        <f>H19</f>
        <v>100</v>
      </c>
      <c r="V19" s="770" t="s">
        <v>17</v>
      </c>
      <c r="W19" s="771">
        <f>J19</f>
        <v>100</v>
      </c>
      <c r="X19" s="2932"/>
      <c r="Y19" s="3290"/>
      <c r="Z19" s="2933" t="str">
        <f>Q19</f>
        <v>公共配套设施</v>
      </c>
      <c r="AA19" s="2931">
        <f t="shared" si="3"/>
        <v>1</v>
      </c>
      <c r="AB19" s="2931">
        <f t="shared" si="4"/>
        <v>1</v>
      </c>
      <c r="AC19" s="2931">
        <f t="shared" si="5"/>
        <v>1</v>
      </c>
    </row>
    <row r="20" spans="1:29" ht="15">
      <c r="A20" s="426"/>
      <c r="B20" s="454"/>
      <c r="C20" s="445"/>
      <c r="D20" s="446"/>
      <c r="E20" s="2592"/>
      <c r="F20" s="447"/>
      <c r="G20" s="2591"/>
      <c r="H20" s="446"/>
      <c r="I20" s="2592"/>
      <c r="J20" s="446"/>
      <c r="K20" s="613"/>
      <c r="L20" s="1138"/>
      <c r="M20" s="1129"/>
      <c r="N20" s="1129"/>
      <c r="O20" s="1137"/>
      <c r="P20" s="3290"/>
      <c r="Q20" s="2930"/>
      <c r="R20" s="770"/>
      <c r="S20" s="771"/>
      <c r="T20" s="770"/>
      <c r="U20" s="771"/>
      <c r="V20" s="770"/>
      <c r="W20" s="771"/>
      <c r="X20" s="2932"/>
      <c r="Y20" s="3290"/>
      <c r="Z20" s="2933"/>
      <c r="AA20" s="2931">
        <v>1</v>
      </c>
      <c r="AB20" s="2931">
        <v>1</v>
      </c>
      <c r="AC20" s="2931">
        <v>1</v>
      </c>
    </row>
    <row r="21" spans="1:29" ht="15">
      <c r="A21" s="426"/>
      <c r="B21" s="1380" t="s">
        <v>2673</v>
      </c>
      <c r="C21" s="2594">
        <f>估价对象房地状况!G6</f>
        <v>0</v>
      </c>
      <c r="D21" s="448">
        <v>100</v>
      </c>
      <c r="E21" s="455"/>
      <c r="F21" s="456">
        <f>SUMIF(76:76,E22,77:77)-SUMIF(76:76,C22,77:77)+100</f>
        <v>100</v>
      </c>
      <c r="G21" s="457"/>
      <c r="H21" s="448">
        <f>SUMIF(76:76,G22,77:77)-SUMIF(76:76,C22,77:77)+100</f>
        <v>100</v>
      </c>
      <c r="I21" s="455"/>
      <c r="J21" s="448">
        <f>SUMIF(76:76,I22,77:77)-SUMIF(76:76,C22,77:77)+100</f>
        <v>100</v>
      </c>
      <c r="K21" s="612">
        <v>2</v>
      </c>
      <c r="L21" s="1138"/>
      <c r="M21" s="1129"/>
      <c r="N21" s="1129"/>
      <c r="O21" s="1137"/>
      <c r="P21" s="3290"/>
      <c r="Q21" s="2930" t="str">
        <f>B21</f>
        <v>基础设施水平</v>
      </c>
      <c r="R21" s="770" t="s">
        <v>17</v>
      </c>
      <c r="S21" s="771">
        <f>F21</f>
        <v>100</v>
      </c>
      <c r="T21" s="770" t="s">
        <v>17</v>
      </c>
      <c r="U21" s="771">
        <f>H21</f>
        <v>100</v>
      </c>
      <c r="V21" s="770" t="s">
        <v>17</v>
      </c>
      <c r="W21" s="771">
        <f>J21</f>
        <v>100</v>
      </c>
      <c r="X21" s="2932"/>
      <c r="Y21" s="3290"/>
      <c r="Z21" s="2933" t="str">
        <f>Q21</f>
        <v>基础设施水平</v>
      </c>
      <c r="AA21" s="2931">
        <f t="shared" ref="AA21" si="8">D21/F21</f>
        <v>1</v>
      </c>
      <c r="AB21" s="2931">
        <f t="shared" ref="AB21" si="9">D21/H21</f>
        <v>1</v>
      </c>
      <c r="AC21" s="2931">
        <f t="shared" ref="AC21" si="10">D21/J21</f>
        <v>1</v>
      </c>
    </row>
    <row r="22" spans="1:29" ht="15">
      <c r="A22" s="426"/>
      <c r="B22" s="1380"/>
      <c r="C22" s="2595"/>
      <c r="D22" s="446"/>
      <c r="E22" s="445"/>
      <c r="F22" s="447"/>
      <c r="G22" s="445"/>
      <c r="H22" s="446"/>
      <c r="I22" s="445"/>
      <c r="J22" s="446"/>
      <c r="K22" s="1379"/>
      <c r="L22" s="1138"/>
      <c r="M22" s="1129"/>
      <c r="N22" s="1129"/>
      <c r="O22" s="1137"/>
      <c r="P22" s="3290"/>
      <c r="Q22" s="2930"/>
      <c r="R22" s="770"/>
      <c r="S22" s="771"/>
      <c r="T22" s="770"/>
      <c r="U22" s="771"/>
      <c r="V22" s="770"/>
      <c r="W22" s="771"/>
      <c r="X22" s="2932"/>
      <c r="Y22" s="3290"/>
      <c r="Z22" s="2933"/>
      <c r="AA22" s="2931">
        <v>1</v>
      </c>
      <c r="AB22" s="2931">
        <v>1</v>
      </c>
      <c r="AC22" s="2931">
        <v>1</v>
      </c>
    </row>
    <row r="23" spans="1:29" ht="15">
      <c r="A23" s="426"/>
      <c r="B23" s="449" t="s">
        <v>2674</v>
      </c>
      <c r="C23" s="2594">
        <f>估价对象房地状况!G7</f>
        <v>0</v>
      </c>
      <c r="D23" s="448">
        <v>100</v>
      </c>
      <c r="E23" s="450"/>
      <c r="F23" s="451">
        <f>SUMIF(78:78,E24,79:79)-SUMIF(78:78,C24,79:79)+100</f>
        <v>100</v>
      </c>
      <c r="G23" s="452"/>
      <c r="H23" s="448">
        <f>SUMIF(78:78,G24,79:79)-SUMIF(78:78,C24,79:79)+100</f>
        <v>100</v>
      </c>
      <c r="I23" s="450"/>
      <c r="J23" s="448">
        <f>SUMIF(78:78,I24,79:79)-SUMIF(78:78,C24,79:79)+100</f>
        <v>100</v>
      </c>
      <c r="K23" s="612">
        <v>2</v>
      </c>
      <c r="L23" s="1138"/>
      <c r="M23" s="1129"/>
      <c r="N23" s="1129"/>
      <c r="O23" s="1137"/>
      <c r="P23" s="3290"/>
      <c r="Q23" s="2930" t="str">
        <f>B23</f>
        <v>环境质量</v>
      </c>
      <c r="R23" s="770" t="s">
        <v>17</v>
      </c>
      <c r="S23" s="771">
        <f>F23</f>
        <v>100</v>
      </c>
      <c r="T23" s="770" t="s">
        <v>17</v>
      </c>
      <c r="U23" s="771">
        <f>H23</f>
        <v>100</v>
      </c>
      <c r="V23" s="770" t="s">
        <v>17</v>
      </c>
      <c r="W23" s="771">
        <f>J23</f>
        <v>100</v>
      </c>
      <c r="X23" s="2932"/>
      <c r="Y23" s="3290"/>
      <c r="Z23" s="2933" t="str">
        <f>Q23</f>
        <v>环境质量</v>
      </c>
      <c r="AA23" s="2931">
        <f t="shared" si="3"/>
        <v>1</v>
      </c>
      <c r="AB23" s="2931">
        <f t="shared" si="4"/>
        <v>1</v>
      </c>
      <c r="AC23" s="2931">
        <f t="shared" si="5"/>
        <v>1</v>
      </c>
    </row>
    <row r="24" spans="1:29" ht="15">
      <c r="A24" s="426"/>
      <c r="B24" s="1380"/>
      <c r="C24" s="445"/>
      <c r="D24" s="446"/>
      <c r="E24" s="2592"/>
      <c r="F24" s="447"/>
      <c r="G24" s="2591"/>
      <c r="H24" s="446"/>
      <c r="I24" s="2592"/>
      <c r="J24" s="446"/>
      <c r="K24" s="613"/>
      <c r="L24" s="1138"/>
      <c r="M24" s="1129"/>
      <c r="N24" s="1129"/>
      <c r="O24" s="1137"/>
      <c r="P24" s="3290"/>
      <c r="Q24" s="2930"/>
      <c r="R24" s="770"/>
      <c r="S24" s="771"/>
      <c r="T24" s="770"/>
      <c r="U24" s="771"/>
      <c r="V24" s="770"/>
      <c r="W24" s="771"/>
      <c r="X24" s="2932"/>
      <c r="Y24" s="3290"/>
      <c r="Z24" s="2933"/>
      <c r="AA24" s="2931">
        <v>1</v>
      </c>
      <c r="AB24" s="2931">
        <v>1</v>
      </c>
      <c r="AC24" s="2931">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290"/>
      <c r="Q25" s="2930">
        <f>B25</f>
        <v>111</v>
      </c>
      <c r="R25" s="770" t="s">
        <v>17</v>
      </c>
      <c r="S25" s="771">
        <f>F25</f>
        <v>100</v>
      </c>
      <c r="T25" s="770" t="s">
        <v>17</v>
      </c>
      <c r="U25" s="771">
        <f>H25</f>
        <v>100</v>
      </c>
      <c r="V25" s="770" t="s">
        <v>17</v>
      </c>
      <c r="W25" s="771">
        <f>J25</f>
        <v>100</v>
      </c>
      <c r="X25" s="2932"/>
      <c r="Y25" s="3290"/>
      <c r="Z25" s="2933">
        <f>Q25</f>
        <v>111</v>
      </c>
      <c r="AA25" s="2931">
        <f t="shared" si="3"/>
        <v>1</v>
      </c>
      <c r="AB25" s="2931">
        <f t="shared" si="4"/>
        <v>1</v>
      </c>
      <c r="AC25" s="2931">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290"/>
      <c r="Q26" s="2930">
        <f t="shared" ref="Q26:Q40" si="11">B26</f>
        <v>111</v>
      </c>
      <c r="R26" s="770" t="s">
        <v>17</v>
      </c>
      <c r="S26" s="771">
        <f>F26</f>
        <v>100</v>
      </c>
      <c r="T26" s="770" t="s">
        <v>17</v>
      </c>
      <c r="U26" s="771">
        <f>H26</f>
        <v>100</v>
      </c>
      <c r="V26" s="770" t="s">
        <v>17</v>
      </c>
      <c r="W26" s="771">
        <f>J26</f>
        <v>100</v>
      </c>
      <c r="X26" s="2932"/>
      <c r="Y26" s="3290"/>
      <c r="Z26" s="2933">
        <f>Q26</f>
        <v>111</v>
      </c>
      <c r="AA26" s="2931">
        <f t="shared" si="3"/>
        <v>1</v>
      </c>
      <c r="AB26" s="2931">
        <f t="shared" si="4"/>
        <v>1</v>
      </c>
      <c r="AC26" s="2931">
        <f t="shared" si="5"/>
        <v>1</v>
      </c>
    </row>
    <row r="27" spans="1:29" s="116"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290"/>
      <c r="Q27" s="2926">
        <f t="shared" si="11"/>
        <v>111</v>
      </c>
      <c r="R27" s="766" t="s">
        <v>17</v>
      </c>
      <c r="S27" s="767">
        <f>F27</f>
        <v>100</v>
      </c>
      <c r="T27" s="766" t="s">
        <v>17</v>
      </c>
      <c r="U27" s="767">
        <f>H27</f>
        <v>100</v>
      </c>
      <c r="V27" s="766" t="s">
        <v>17</v>
      </c>
      <c r="W27" s="767">
        <f>J27</f>
        <v>100</v>
      </c>
      <c r="X27" s="768"/>
      <c r="Y27" s="3290"/>
      <c r="Z27" s="2927">
        <f>Q27</f>
        <v>111</v>
      </c>
      <c r="AA27" s="2931">
        <f>D27/F27</f>
        <v>1</v>
      </c>
      <c r="AB27" s="2931">
        <f>D27/H27</f>
        <v>1</v>
      </c>
      <c r="AC27" s="2931">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290"/>
      <c r="Q28" s="2930">
        <f t="shared" si="11"/>
        <v>111</v>
      </c>
      <c r="R28" s="770" t="s">
        <v>17</v>
      </c>
      <c r="S28" s="771">
        <f t="shared" ref="S28:S40" si="12">F28</f>
        <v>100</v>
      </c>
      <c r="T28" s="770" t="s">
        <v>17</v>
      </c>
      <c r="U28" s="771">
        <f t="shared" ref="U28:U40" si="13">H28</f>
        <v>100</v>
      </c>
      <c r="V28" s="770" t="s">
        <v>17</v>
      </c>
      <c r="W28" s="771">
        <f t="shared" ref="W28:W40" si="14">J28</f>
        <v>100</v>
      </c>
      <c r="X28" s="2932"/>
      <c r="Y28" s="3290"/>
      <c r="Z28" s="2933">
        <f t="shared" ref="Z28:Z40" si="15">Q28</f>
        <v>111</v>
      </c>
      <c r="AA28" s="2931">
        <f t="shared" si="3"/>
        <v>1</v>
      </c>
      <c r="AB28" s="2931">
        <f t="shared" si="4"/>
        <v>1</v>
      </c>
      <c r="AC28" s="2931">
        <f t="shared" si="5"/>
        <v>1</v>
      </c>
    </row>
    <row r="29" spans="1:29" ht="15">
      <c r="A29" s="464" t="s">
        <v>2547</v>
      </c>
      <c r="B29" s="71" t="s">
        <v>2677</v>
      </c>
      <c r="C29" s="2666"/>
      <c r="D29" s="465">
        <v>100</v>
      </c>
      <c r="E29" s="2666"/>
      <c r="F29" s="459">
        <f>SUMIF(88:88,E29,89:89)-SUMIF(88:88,C29,89:89)+100</f>
        <v>100</v>
      </c>
      <c r="G29" s="2666"/>
      <c r="H29" s="433">
        <f>SUMIF(88:88,G29,89:89)-SUMIF(88:88,C29,89:89)+100</f>
        <v>100</v>
      </c>
      <c r="I29" s="2666"/>
      <c r="J29" s="465">
        <f>SUMIF(88:88,I29,89:89)-SUMIF(88:88,C29,89:89)+100</f>
        <v>100</v>
      </c>
      <c r="K29" s="610">
        <v>2</v>
      </c>
      <c r="L29" s="1138"/>
      <c r="M29" s="1129"/>
      <c r="N29" s="1129"/>
      <c r="O29" s="1137"/>
      <c r="P29" s="3291" t="s">
        <v>2549</v>
      </c>
      <c r="Q29" s="2930" t="str">
        <f t="shared" si="11"/>
        <v>建筑类型</v>
      </c>
      <c r="R29" s="770" t="s">
        <v>17</v>
      </c>
      <c r="S29" s="771">
        <f t="shared" si="12"/>
        <v>100</v>
      </c>
      <c r="T29" s="770" t="s">
        <v>17</v>
      </c>
      <c r="U29" s="771">
        <f t="shared" si="13"/>
        <v>100</v>
      </c>
      <c r="V29" s="770" t="s">
        <v>17</v>
      </c>
      <c r="W29" s="771">
        <f t="shared" si="14"/>
        <v>100</v>
      </c>
      <c r="X29" s="2932"/>
      <c r="Y29" s="3292" t="s">
        <v>2549</v>
      </c>
      <c r="Z29" s="2933" t="str">
        <f t="shared" si="15"/>
        <v>建筑类型</v>
      </c>
      <c r="AA29" s="2931">
        <f t="shared" si="3"/>
        <v>1</v>
      </c>
      <c r="AB29" s="2931">
        <f t="shared" si="4"/>
        <v>1</v>
      </c>
      <c r="AC29" s="2931">
        <f t="shared" si="5"/>
        <v>1</v>
      </c>
    </row>
    <row r="30" spans="1:29" s="469" customFormat="1" ht="15">
      <c r="A30" s="466"/>
      <c r="B30" s="2928" t="s">
        <v>2550</v>
      </c>
      <c r="C30" s="467"/>
      <c r="D30" s="134">
        <v>100</v>
      </c>
      <c r="E30" s="428"/>
      <c r="F30" s="423">
        <f>LOOKUP(E30,91:91,92:92)-LOOKUP(C30,91:91,92:92)+100</f>
        <v>100</v>
      </c>
      <c r="G30" s="427"/>
      <c r="H30" s="134">
        <f>LOOKUP(G30,91:91,92:92)-LOOKUP(C30,91:91,92:92)+100</f>
        <v>100</v>
      </c>
      <c r="I30" s="427"/>
      <c r="J30" s="134">
        <f>LOOKUP(I30,91:91,92:92)-LOOKUP(C30,91:91,92:92)+100</f>
        <v>100</v>
      </c>
      <c r="K30" s="611"/>
      <c r="L30" s="1136"/>
      <c r="M30" s="1139"/>
      <c r="N30" s="1139"/>
      <c r="O30" s="1140"/>
      <c r="P30" s="3292"/>
      <c r="Q30" s="772" t="str">
        <f t="shared" si="11"/>
        <v>项目建筑规模</v>
      </c>
      <c r="R30" s="773" t="s">
        <v>17</v>
      </c>
      <c r="S30" s="774">
        <f t="shared" si="12"/>
        <v>100</v>
      </c>
      <c r="T30" s="773" t="s">
        <v>17</v>
      </c>
      <c r="U30" s="774">
        <f t="shared" si="13"/>
        <v>100</v>
      </c>
      <c r="V30" s="773" t="s">
        <v>17</v>
      </c>
      <c r="W30" s="774">
        <f t="shared" si="14"/>
        <v>100</v>
      </c>
      <c r="X30" s="775"/>
      <c r="Y30" s="3292"/>
      <c r="Z30" s="776" t="str">
        <f t="shared" si="15"/>
        <v>项目建筑规模</v>
      </c>
      <c r="AA30" s="2931">
        <f t="shared" si="3"/>
        <v>1</v>
      </c>
      <c r="AB30" s="2931">
        <f t="shared" si="4"/>
        <v>1</v>
      </c>
      <c r="AC30" s="2931">
        <f t="shared" si="5"/>
        <v>1</v>
      </c>
    </row>
    <row r="31" spans="1:29" ht="15">
      <c r="A31" s="470"/>
      <c r="B31" s="2928" t="s">
        <v>2551</v>
      </c>
      <c r="C31" s="458"/>
      <c r="D31" s="433">
        <v>100</v>
      </c>
      <c r="E31" s="458"/>
      <c r="F31" s="459">
        <f>SUMIF(93:93,E31,94:94)-SUMIF(93:93,C31,94:94)+100</f>
        <v>100</v>
      </c>
      <c r="G31" s="458"/>
      <c r="H31" s="433">
        <f>SUMIF(93:93,G31,94:94)-SUMIF(93:93,C31,94:94)+100</f>
        <v>100</v>
      </c>
      <c r="I31" s="458"/>
      <c r="J31" s="433">
        <f>SUMIF(93:93,I31,94:94)-SUMIF(93:93,C31,94:94)+100</f>
        <v>100</v>
      </c>
      <c r="K31" s="610">
        <v>2</v>
      </c>
      <c r="L31" s="1138"/>
      <c r="M31" s="1129"/>
      <c r="N31" s="1129"/>
      <c r="O31" s="1137"/>
      <c r="P31" s="3292"/>
      <c r="Q31" s="2930" t="str">
        <f t="shared" si="11"/>
        <v>建筑结构</v>
      </c>
      <c r="R31" s="770" t="s">
        <v>17</v>
      </c>
      <c r="S31" s="771">
        <f t="shared" si="12"/>
        <v>100</v>
      </c>
      <c r="T31" s="770" t="s">
        <v>17</v>
      </c>
      <c r="U31" s="771">
        <f t="shared" si="13"/>
        <v>100</v>
      </c>
      <c r="V31" s="770" t="s">
        <v>17</v>
      </c>
      <c r="W31" s="771">
        <f t="shared" si="14"/>
        <v>100</v>
      </c>
      <c r="X31" s="2932"/>
      <c r="Y31" s="3292"/>
      <c r="Z31" s="2933" t="str">
        <f t="shared" si="15"/>
        <v>建筑结构</v>
      </c>
      <c r="AA31" s="2931">
        <f t="shared" si="3"/>
        <v>1</v>
      </c>
      <c r="AB31" s="2931">
        <f t="shared" si="4"/>
        <v>1</v>
      </c>
      <c r="AC31" s="2931">
        <f t="shared" si="5"/>
        <v>1</v>
      </c>
    </row>
    <row r="32" spans="1:29" ht="15">
      <c r="A32" s="470"/>
      <c r="B32" s="2928" t="s">
        <v>2645</v>
      </c>
      <c r="C32" s="458"/>
      <c r="D32" s="433">
        <v>100</v>
      </c>
      <c r="E32" s="458"/>
      <c r="F32" s="459">
        <f>SUMIF(95:95,E32,96:96)-SUMIF(95:95,C32,96:96)+100</f>
        <v>100</v>
      </c>
      <c r="G32" s="458"/>
      <c r="H32" s="433">
        <f>SUMIF(95:95,G32,96:96)-SUMIF(95:95,C32,96:96)+100</f>
        <v>100</v>
      </c>
      <c r="I32" s="458"/>
      <c r="J32" s="433">
        <f>SUMIF(95:95,I32,96:96)-SUMIF(95:95,C32,96:96)+100</f>
        <v>100</v>
      </c>
      <c r="K32" s="610">
        <v>2</v>
      </c>
      <c r="L32" s="1138"/>
      <c r="M32" s="1129"/>
      <c r="N32" s="1129"/>
      <c r="O32" s="1137"/>
      <c r="P32" s="3292"/>
      <c r="Q32" s="2930" t="str">
        <f t="shared" si="11"/>
        <v>公共部分装修</v>
      </c>
      <c r="R32" s="770" t="s">
        <v>17</v>
      </c>
      <c r="S32" s="771">
        <f t="shared" si="12"/>
        <v>100</v>
      </c>
      <c r="T32" s="770" t="s">
        <v>17</v>
      </c>
      <c r="U32" s="771">
        <f t="shared" si="13"/>
        <v>100</v>
      </c>
      <c r="V32" s="770" t="s">
        <v>17</v>
      </c>
      <c r="W32" s="771">
        <f t="shared" si="14"/>
        <v>100</v>
      </c>
      <c r="X32" s="2932"/>
      <c r="Y32" s="3292"/>
      <c r="Z32" s="2933" t="str">
        <f t="shared" si="15"/>
        <v>公共部分装修</v>
      </c>
      <c r="AA32" s="2931">
        <f t="shared" si="3"/>
        <v>1</v>
      </c>
      <c r="AB32" s="2931">
        <f t="shared" si="4"/>
        <v>1</v>
      </c>
      <c r="AC32" s="2931">
        <f t="shared" si="5"/>
        <v>1</v>
      </c>
    </row>
    <row r="33" spans="1:29" ht="15">
      <c r="A33" s="470"/>
      <c r="B33" s="2928" t="s">
        <v>2646</v>
      </c>
      <c r="C33" s="467"/>
      <c r="D33" s="433">
        <v>100</v>
      </c>
      <c r="E33" s="472"/>
      <c r="F33" s="459" t="e">
        <f>LOOKUP(E33,98:98,99:99)-LOOKUP(C33,98:98,99:99)+100</f>
        <v>#N/A</v>
      </c>
      <c r="G33" s="472"/>
      <c r="H33" s="459" t="e">
        <f>LOOKUP(G33,98:98,99:99)-LOOKUP(C33,98:98,99:99)+100</f>
        <v>#N/A</v>
      </c>
      <c r="I33" s="472"/>
      <c r="J33" s="433" t="e">
        <f>LOOKUP(I33,98:98,99:99)-LOOKUP(C33,98:98,99:99)+100</f>
        <v>#N/A</v>
      </c>
      <c r="K33" s="610">
        <v>2</v>
      </c>
      <c r="L33" s="1138"/>
      <c r="M33" s="1129"/>
      <c r="N33" s="1129"/>
      <c r="O33" s="1137"/>
      <c r="P33" s="3292"/>
      <c r="Q33" s="2930" t="str">
        <f t="shared" si="11"/>
        <v>成新度</v>
      </c>
      <c r="R33" s="770" t="s">
        <v>17</v>
      </c>
      <c r="S33" s="771" t="e">
        <f t="shared" si="12"/>
        <v>#N/A</v>
      </c>
      <c r="T33" s="770" t="s">
        <v>17</v>
      </c>
      <c r="U33" s="771" t="e">
        <f t="shared" si="13"/>
        <v>#N/A</v>
      </c>
      <c r="V33" s="770" t="s">
        <v>17</v>
      </c>
      <c r="W33" s="771" t="e">
        <f t="shared" si="14"/>
        <v>#N/A</v>
      </c>
      <c r="X33" s="2932"/>
      <c r="Y33" s="3292"/>
      <c r="Z33" s="2933" t="str">
        <f t="shared" si="15"/>
        <v>成新度</v>
      </c>
      <c r="AA33" s="2931" t="e">
        <f t="shared" si="3"/>
        <v>#N/A</v>
      </c>
      <c r="AB33" s="2931" t="e">
        <f t="shared" si="4"/>
        <v>#N/A</v>
      </c>
      <c r="AC33" s="2931" t="e">
        <f t="shared" si="5"/>
        <v>#N/A</v>
      </c>
    </row>
    <row r="34" spans="1:29" s="116" customFormat="1" ht="15">
      <c r="A34" s="471"/>
      <c r="B34" s="2928" t="s">
        <v>2679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v>2</v>
      </c>
      <c r="L34" s="1130"/>
      <c r="M34" s="1131"/>
      <c r="N34" s="1131"/>
      <c r="O34" s="1132"/>
      <c r="P34" s="3292"/>
      <c r="Q34" s="2926" t="str">
        <f t="shared" si="11"/>
        <v>物业管理</v>
      </c>
      <c r="R34" s="766" t="s">
        <v>17</v>
      </c>
      <c r="S34" s="767">
        <f t="shared" si="12"/>
        <v>100</v>
      </c>
      <c r="T34" s="766" t="s">
        <v>17</v>
      </c>
      <c r="U34" s="767">
        <f t="shared" si="13"/>
        <v>100</v>
      </c>
      <c r="V34" s="766" t="s">
        <v>17</v>
      </c>
      <c r="W34" s="767">
        <f t="shared" si="14"/>
        <v>100</v>
      </c>
      <c r="X34" s="768"/>
      <c r="Y34" s="3292"/>
      <c r="Z34" s="2927" t="str">
        <f t="shared" si="15"/>
        <v>物业管理</v>
      </c>
      <c r="AA34" s="769">
        <f t="shared" si="3"/>
        <v>1</v>
      </c>
      <c r="AB34" s="769">
        <f t="shared" si="4"/>
        <v>1</v>
      </c>
      <c r="AC34" s="769">
        <f t="shared" si="5"/>
        <v>1</v>
      </c>
    </row>
    <row r="35" spans="1:29" ht="15">
      <c r="A35" s="470"/>
      <c r="B35" s="2928" t="s">
        <v>2647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v>2</v>
      </c>
      <c r="L35" s="1138"/>
      <c r="M35" s="1129"/>
      <c r="N35" s="1129"/>
      <c r="O35" s="1137"/>
      <c r="P35" s="3292" t="s">
        <v>2549</v>
      </c>
      <c r="Q35" s="2930" t="str">
        <f t="shared" si="11"/>
        <v>市政基础设施</v>
      </c>
      <c r="R35" s="770" t="s">
        <v>17</v>
      </c>
      <c r="S35" s="771">
        <f t="shared" si="12"/>
        <v>100</v>
      </c>
      <c r="T35" s="770" t="s">
        <v>17</v>
      </c>
      <c r="U35" s="771">
        <f t="shared" si="13"/>
        <v>100</v>
      </c>
      <c r="V35" s="770" t="s">
        <v>17</v>
      </c>
      <c r="W35" s="771">
        <f t="shared" si="14"/>
        <v>100</v>
      </c>
      <c r="X35" s="2932"/>
      <c r="Y35" s="3292" t="s">
        <v>2549</v>
      </c>
      <c r="Z35" s="2933" t="str">
        <f t="shared" si="15"/>
        <v>市政基础设施</v>
      </c>
      <c r="AA35" s="2931">
        <f t="shared" si="3"/>
        <v>1</v>
      </c>
      <c r="AB35" s="2931">
        <f t="shared" si="4"/>
        <v>1</v>
      </c>
      <c r="AC35" s="2931">
        <f t="shared" si="5"/>
        <v>1</v>
      </c>
    </row>
    <row r="36" spans="1:29" ht="15">
      <c r="A36" s="470"/>
      <c r="B36" s="2928" t="s">
        <v>2652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v>2</v>
      </c>
      <c r="L36" s="1138"/>
      <c r="M36" s="1129"/>
      <c r="N36" s="1129"/>
      <c r="O36" s="1137"/>
      <c r="P36" s="3292"/>
      <c r="Q36" s="2930" t="str">
        <f t="shared" si="11"/>
        <v>内部装修</v>
      </c>
      <c r="R36" s="770" t="s">
        <v>17</v>
      </c>
      <c r="S36" s="771">
        <f t="shared" si="12"/>
        <v>100</v>
      </c>
      <c r="T36" s="770" t="s">
        <v>17</v>
      </c>
      <c r="U36" s="771">
        <f t="shared" si="13"/>
        <v>100</v>
      </c>
      <c r="V36" s="770" t="s">
        <v>17</v>
      </c>
      <c r="W36" s="771">
        <f t="shared" si="14"/>
        <v>100</v>
      </c>
      <c r="X36" s="2932"/>
      <c r="Y36" s="3292"/>
      <c r="Z36" s="2933" t="str">
        <f t="shared" si="15"/>
        <v>内部装修</v>
      </c>
      <c r="AA36" s="2931">
        <f t="shared" si="3"/>
        <v>1</v>
      </c>
      <c r="AB36" s="2931">
        <f t="shared" si="4"/>
        <v>1</v>
      </c>
      <c r="AC36" s="2931">
        <f t="shared" si="5"/>
        <v>1</v>
      </c>
    </row>
    <row r="37" spans="1:29" ht="15">
      <c r="A37" s="470"/>
      <c r="B37" s="2928" t="s">
        <v>2688</v>
      </c>
      <c r="C37" s="614" t="s">
        <v>3055</v>
      </c>
      <c r="D37" s="433">
        <v>100</v>
      </c>
      <c r="E37" s="614" t="s">
        <v>3055</v>
      </c>
      <c r="F37" s="459">
        <f>SUMIF(106:106,E37,107:107)-SUMIF(106:106,C37,107:107)+100</f>
        <v>100</v>
      </c>
      <c r="G37" s="614" t="s">
        <v>3055</v>
      </c>
      <c r="H37" s="433">
        <f>SUMIF(106:106,G37,107:107)-SUMIF(106:106,C37,107:107)+100</f>
        <v>100</v>
      </c>
      <c r="I37" s="614" t="s">
        <v>3055</v>
      </c>
      <c r="J37" s="433">
        <f>SUMIF(106:106,I37,107:107)-SUMIF(106:106,C37,107:107)+100</f>
        <v>100</v>
      </c>
      <c r="K37" s="610">
        <v>2</v>
      </c>
      <c r="L37" s="1138"/>
      <c r="M37" s="1129"/>
      <c r="N37" s="1129"/>
      <c r="O37" s="1137"/>
      <c r="P37" s="3292"/>
      <c r="Q37" s="2930" t="str">
        <f t="shared" si="11"/>
        <v>内部装修状况</v>
      </c>
      <c r="R37" s="770" t="s">
        <v>17</v>
      </c>
      <c r="S37" s="771">
        <f t="shared" si="12"/>
        <v>100</v>
      </c>
      <c r="T37" s="770" t="s">
        <v>17</v>
      </c>
      <c r="U37" s="771">
        <f t="shared" si="13"/>
        <v>100</v>
      </c>
      <c r="V37" s="770" t="s">
        <v>17</v>
      </c>
      <c r="W37" s="771">
        <f t="shared" si="14"/>
        <v>100</v>
      </c>
      <c r="X37" s="2932"/>
      <c r="Y37" s="3292"/>
      <c r="Z37" s="2933" t="str">
        <f t="shared" si="15"/>
        <v>内部装修状况</v>
      </c>
      <c r="AA37" s="2931">
        <f t="shared" si="3"/>
        <v>1</v>
      </c>
      <c r="AB37" s="2931">
        <f t="shared" si="4"/>
        <v>1</v>
      </c>
      <c r="AC37" s="2931">
        <f t="shared" si="5"/>
        <v>1</v>
      </c>
    </row>
    <row r="38" spans="1:29" s="469" customFormat="1" ht="15">
      <c r="A38" s="466"/>
      <c r="B38" s="1382">
        <v>22</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292"/>
      <c r="Q38" s="772">
        <f t="shared" si="11"/>
        <v>22</v>
      </c>
      <c r="R38" s="773" t="s">
        <v>17</v>
      </c>
      <c r="S38" s="774">
        <f t="shared" si="12"/>
        <v>100</v>
      </c>
      <c r="T38" s="773" t="s">
        <v>17</v>
      </c>
      <c r="U38" s="774">
        <f t="shared" si="13"/>
        <v>100</v>
      </c>
      <c r="V38" s="773" t="s">
        <v>17</v>
      </c>
      <c r="W38" s="774">
        <f t="shared" si="14"/>
        <v>100</v>
      </c>
      <c r="X38" s="775"/>
      <c r="Y38" s="3292"/>
      <c r="Z38" s="776">
        <f t="shared" si="15"/>
        <v>22</v>
      </c>
      <c r="AA38" s="2931">
        <f t="shared" si="3"/>
        <v>1</v>
      </c>
      <c r="AB38" s="2931">
        <f t="shared" si="4"/>
        <v>1</v>
      </c>
      <c r="AC38" s="2931">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292"/>
      <c r="Q39" s="2930">
        <f t="shared" si="11"/>
        <v>111</v>
      </c>
      <c r="R39" s="770" t="s">
        <v>17</v>
      </c>
      <c r="S39" s="771">
        <f t="shared" si="12"/>
        <v>100</v>
      </c>
      <c r="T39" s="770" t="s">
        <v>17</v>
      </c>
      <c r="U39" s="771">
        <f t="shared" si="13"/>
        <v>100</v>
      </c>
      <c r="V39" s="770" t="s">
        <v>17</v>
      </c>
      <c r="W39" s="771">
        <f t="shared" si="14"/>
        <v>100</v>
      </c>
      <c r="X39" s="2932"/>
      <c r="Y39" s="3292"/>
      <c r="Z39" s="2933">
        <f t="shared" si="15"/>
        <v>111</v>
      </c>
      <c r="AA39" s="2931">
        <f t="shared" si="3"/>
        <v>1</v>
      </c>
      <c r="AB39" s="2931">
        <f t="shared" si="4"/>
        <v>1</v>
      </c>
      <c r="AC39" s="2931">
        <f t="shared" si="5"/>
        <v>1</v>
      </c>
    </row>
    <row r="40" spans="1:29" ht="15.75" thickBot="1">
      <c r="A40" s="476"/>
      <c r="B40" s="258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300"/>
      <c r="Q40" s="2930">
        <f t="shared" si="11"/>
        <v>111</v>
      </c>
      <c r="R40" s="770" t="s">
        <v>17</v>
      </c>
      <c r="S40" s="771">
        <f t="shared" si="12"/>
        <v>100</v>
      </c>
      <c r="T40" s="770" t="s">
        <v>17</v>
      </c>
      <c r="U40" s="771">
        <f t="shared" si="13"/>
        <v>100</v>
      </c>
      <c r="V40" s="770" t="s">
        <v>17</v>
      </c>
      <c r="W40" s="771">
        <f t="shared" si="14"/>
        <v>100</v>
      </c>
      <c r="X40" s="2932"/>
      <c r="Y40" s="3300"/>
      <c r="Z40" s="2933">
        <f t="shared" si="15"/>
        <v>111</v>
      </c>
      <c r="AA40" s="2931">
        <f t="shared" si="3"/>
        <v>1</v>
      </c>
      <c r="AB40" s="2931">
        <f t="shared" si="4"/>
        <v>1</v>
      </c>
      <c r="AC40" s="2931">
        <f t="shared" si="5"/>
        <v>1</v>
      </c>
    </row>
    <row r="41" spans="1:29" ht="15">
      <c r="A41" s="477" t="s">
        <v>2561</v>
      </c>
      <c r="B41" s="478"/>
      <c r="C41" s="1403" t="s">
        <v>1</v>
      </c>
      <c r="D41" s="1404"/>
      <c r="E41" s="1405">
        <v>4.5</v>
      </c>
      <c r="F41" s="1406"/>
      <c r="G41" s="1407">
        <v>3.78</v>
      </c>
      <c r="H41" s="1408"/>
      <c r="I41" s="1405">
        <v>3.5</v>
      </c>
      <c r="J41" s="1408"/>
      <c r="K41" s="779"/>
      <c r="L41" s="1141"/>
      <c r="M41" s="1142"/>
      <c r="N41" s="1129"/>
      <c r="O41" s="1142"/>
      <c r="P41" s="3274" t="str">
        <f>A41</f>
        <v>成交单价（元/平方米）</v>
      </c>
      <c r="Q41" s="3274"/>
      <c r="R41" s="3301">
        <f>E41</f>
        <v>4.5</v>
      </c>
      <c r="S41" s="3301"/>
      <c r="T41" s="3301">
        <f>G41</f>
        <v>3.78</v>
      </c>
      <c r="U41" s="3301"/>
      <c r="V41" s="3301">
        <f>I41</f>
        <v>3.5</v>
      </c>
      <c r="W41" s="3301"/>
      <c r="X41" s="755"/>
      <c r="Y41" s="777"/>
      <c r="Z41" s="755"/>
      <c r="AA41" s="755"/>
      <c r="AB41" s="755"/>
      <c r="AC41" s="755"/>
    </row>
    <row r="42" spans="1:29" ht="15.75" thickBot="1">
      <c r="A42" s="484" t="s">
        <v>2562</v>
      </c>
      <c r="B42" s="485"/>
      <c r="C42" s="1409" t="e">
        <f>R43</f>
        <v>#DIV/0!</v>
      </c>
      <c r="D42" s="1410"/>
      <c r="E42" s="1411" t="e">
        <f>R42</f>
        <v>#DIV/0!</v>
      </c>
      <c r="F42" s="1411"/>
      <c r="G42" s="1409" t="e">
        <f>T42</f>
        <v>#DIV/0!</v>
      </c>
      <c r="H42" s="1410"/>
      <c r="I42" s="1411" t="e">
        <f>V42</f>
        <v>#DIV/0!</v>
      </c>
      <c r="J42" s="1410"/>
      <c r="K42" s="780"/>
      <c r="L42" s="1141"/>
      <c r="M42" s="1142"/>
      <c r="N42" s="1129"/>
      <c r="O42" s="1142"/>
      <c r="P42" s="3274" t="str">
        <f>A42</f>
        <v>比较价值（元/平方米）</v>
      </c>
      <c r="Q42" s="3274"/>
      <c r="R42" s="3301" t="e">
        <f>IF(F1="售价",ROUND(PRODUCT(R41,AA7:AA40),0),ROUND(PRODUCT(R41,AA7:AA40),1))</f>
        <v>#DIV/0!</v>
      </c>
      <c r="S42" s="3301"/>
      <c r="T42" s="3301" t="e">
        <f>IF(F1="售价",ROUND(PRODUCT(T41,AB7:AB40),0),ROUND(PRODUCT(T41,AB7:AB40),1))</f>
        <v>#DIV/0!</v>
      </c>
      <c r="U42" s="3301"/>
      <c r="V42" s="3301" t="e">
        <f>IF(F1="售价",ROUND(PRODUCT(V41,AC7:AC40),0),ROUND(PRODUCT(V41,AC7:AC40),1))</f>
        <v>#DIV/0!</v>
      </c>
      <c r="W42" s="3301"/>
      <c r="X42" s="755"/>
      <c r="Y42" s="755"/>
      <c r="Z42" s="755"/>
      <c r="AA42" s="755"/>
      <c r="AB42" s="755"/>
      <c r="AC42" s="755"/>
    </row>
    <row r="43" spans="1:29" ht="15.75" thickBot="1">
      <c r="A43" s="490" t="s">
        <v>2563</v>
      </c>
      <c r="B43" s="491"/>
      <c r="C43" s="1413" t="e">
        <f>R43</f>
        <v>#DIV/0!</v>
      </c>
      <c r="D43" s="1413"/>
      <c r="E43" s="1413"/>
      <c r="F43" s="1413"/>
      <c r="G43" s="1413"/>
      <c r="H43" s="1413"/>
      <c r="I43" s="1413"/>
      <c r="J43" s="1413"/>
      <c r="K43" s="781"/>
      <c r="L43" s="1141"/>
      <c r="M43" s="1142"/>
      <c r="N43" s="1142"/>
      <c r="O43" s="1142"/>
      <c r="P43" s="3294" t="str">
        <f>A43</f>
        <v>估价对象XX用房的比较价值（楼面单价，元/平方米）</v>
      </c>
      <c r="Q43" s="3295"/>
      <c r="R43" s="3302" t="e">
        <f>IF(F1="售价",ROUND(AVERAGE(R42:V42),0),ROUND(AVERAGE(R42:V42),1))</f>
        <v>#DIV/0!</v>
      </c>
      <c r="S43" s="3302"/>
      <c r="T43" s="3302"/>
      <c r="U43" s="3302"/>
      <c r="V43" s="3302"/>
      <c r="W43" s="3302"/>
      <c r="X43" s="755"/>
      <c r="Y43" s="755"/>
      <c r="Z43" s="755"/>
      <c r="AA43" s="755"/>
      <c r="AB43" s="755"/>
      <c r="AC43" s="755"/>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2564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2565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2566</v>
      </c>
      <c r="D48" s="499"/>
      <c r="E48" s="497">
        <f>IF(E41&lt;G41,G41/E41-1,E41/G41-1)</f>
        <v>0.19047619047619047</v>
      </c>
      <c r="F48" s="498" t="str">
        <f>IF(OR(E48&gt;=0.3,E48&lt;=-0.3),"超过30%","")</f>
        <v/>
      </c>
      <c r="G48" s="497">
        <f>IF(G41&lt;I41,I41/G41-1,G41/I41-1)</f>
        <v>7.9999999999999849E-2</v>
      </c>
      <c r="H48" s="498" t="str">
        <f>IF(OR(G48&gt;=0.3,G48&lt;=-0.3),"超过30%","")</f>
        <v/>
      </c>
      <c r="I48" s="497">
        <f>IF(I41&lt;E41,E41/I41-1,I41/E41-1)</f>
        <v>0.28571428571428581</v>
      </c>
      <c r="J48" s="498" t="str">
        <f>IF(OR(I48&gt;=0.3,I48&lt;=-0.3),"超过30%","")</f>
        <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9" t="s">
        <v>2567</v>
      </c>
      <c r="B51" s="755"/>
      <c r="C51" s="760"/>
      <c r="D51" s="760"/>
      <c r="E51" s="760"/>
      <c r="F51" s="761"/>
      <c r="G51" s="761"/>
      <c r="H51" s="760"/>
      <c r="I51" s="760"/>
      <c r="J51" s="760"/>
      <c r="K51" s="1158"/>
      <c r="L51" s="1159"/>
      <c r="M51" s="1157"/>
      <c r="N51" s="1157"/>
      <c r="O51" s="1157"/>
      <c r="P51" s="501"/>
      <c r="Q51" s="502"/>
    </row>
    <row r="52" spans="1:17" s="506" customFormat="1" ht="15">
      <c r="A52" s="503" t="s">
        <v>2532</v>
      </c>
      <c r="B52" s="504"/>
      <c r="C52" s="1569" t="str">
        <f>YEAR(C7)&amp;"-"&amp;MONTH(C7)</f>
        <v>2018-4</v>
      </c>
      <c r="D52" s="1570">
        <f>EDATE(C52,-1)</f>
        <v>43160</v>
      </c>
      <c r="E52" s="1570">
        <f t="shared" ref="E52:O52" si="16">EDATE(D52,-1)</f>
        <v>43132</v>
      </c>
      <c r="F52" s="1570">
        <f t="shared" si="16"/>
        <v>43101</v>
      </c>
      <c r="G52" s="1570">
        <f t="shared" si="16"/>
        <v>43070</v>
      </c>
      <c r="H52" s="1570">
        <f t="shared" si="16"/>
        <v>43040</v>
      </c>
      <c r="I52" s="1570">
        <f t="shared" si="16"/>
        <v>43009</v>
      </c>
      <c r="J52" s="1570">
        <f t="shared" si="16"/>
        <v>42979</v>
      </c>
      <c r="K52" s="1570">
        <f t="shared" si="16"/>
        <v>42948</v>
      </c>
      <c r="L52" s="1570">
        <f t="shared" si="16"/>
        <v>42917</v>
      </c>
      <c r="M52" s="1570">
        <f t="shared" si="16"/>
        <v>42887</v>
      </c>
      <c r="N52" s="1570">
        <f t="shared" si="16"/>
        <v>42856</v>
      </c>
      <c r="O52" s="1570">
        <f t="shared" si="16"/>
        <v>42826</v>
      </c>
      <c r="P52" s="505"/>
    </row>
    <row r="53" spans="1:17" s="116" customFormat="1" ht="15">
      <c r="A53" s="507"/>
      <c r="B53" s="508"/>
      <c r="C53" s="1568">
        <v>100</v>
      </c>
      <c r="D53" s="510"/>
      <c r="E53" s="510"/>
      <c r="F53" s="510"/>
      <c r="G53" s="510"/>
      <c r="H53" s="510"/>
      <c r="I53" s="510"/>
      <c r="J53" s="510"/>
      <c r="K53" s="510"/>
      <c r="L53" s="510"/>
      <c r="M53" s="511"/>
      <c r="N53" s="510"/>
      <c r="O53" s="512"/>
      <c r="P53" s="502"/>
    </row>
    <row r="54" spans="1:17" s="116" customFormat="1" ht="15.75" thickBot="1">
      <c r="A54" s="513" t="s">
        <v>2569</v>
      </c>
      <c r="B54" s="514"/>
      <c r="C54" s="515"/>
      <c r="D54" s="516"/>
      <c r="E54" s="516"/>
      <c r="F54" s="516"/>
      <c r="G54" s="516"/>
      <c r="H54" s="516"/>
      <c r="I54" s="516"/>
      <c r="J54" s="516"/>
      <c r="K54" s="516"/>
      <c r="L54" s="516"/>
      <c r="M54" s="517"/>
      <c r="N54" s="516"/>
      <c r="O54" s="518"/>
      <c r="P54" s="502"/>
      <c r="Q54" s="502"/>
    </row>
    <row r="55" spans="1:17" s="116" customFormat="1" ht="15">
      <c r="A55" s="519" t="s">
        <v>2534</v>
      </c>
      <c r="B55" s="508"/>
      <c r="C55" s="520" t="s">
        <v>2571</v>
      </c>
      <c r="D55" s="521"/>
      <c r="E55" s="521"/>
      <c r="F55" s="521"/>
      <c r="G55" s="521"/>
      <c r="H55" s="521"/>
      <c r="I55" s="521"/>
      <c r="J55" s="521"/>
      <c r="K55" s="521"/>
      <c r="L55" s="522"/>
      <c r="M55" s="523"/>
      <c r="N55" s="1149"/>
      <c r="O55" s="1149"/>
      <c r="P55" s="524"/>
      <c r="Q55" s="502"/>
    </row>
    <row r="56" spans="1:17" s="116"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2572</v>
      </c>
      <c r="B57" s="526" t="s">
        <v>2538</v>
      </c>
      <c r="C57" s="527" t="str">
        <f>C9</f>
        <v>工业</v>
      </c>
      <c r="D57" s="528"/>
      <c r="E57" s="528"/>
      <c r="F57" s="528"/>
      <c r="G57" s="528"/>
      <c r="H57" s="528"/>
      <c r="I57" s="528"/>
      <c r="J57" s="528"/>
      <c r="K57" s="529"/>
      <c r="L57" s="530"/>
      <c r="M57" s="531"/>
      <c r="N57" s="1150"/>
      <c r="O57" s="1150"/>
      <c r="P57" s="45"/>
      <c r="Q57" s="502"/>
    </row>
    <row r="58" spans="1:17" ht="15.75" thickBot="1">
      <c r="A58" s="532"/>
      <c r="B58" s="533"/>
      <c r="C58" s="534">
        <v>100</v>
      </c>
      <c r="D58" s="534"/>
      <c r="E58" s="534"/>
      <c r="F58" s="534"/>
      <c r="G58" s="534"/>
      <c r="H58" s="534"/>
      <c r="I58" s="534"/>
      <c r="J58" s="534"/>
      <c r="K58" s="534"/>
      <c r="L58" s="534"/>
      <c r="M58" s="535"/>
      <c r="N58" s="1151"/>
      <c r="O58" s="1151"/>
      <c r="P58" s="45"/>
      <c r="Q58" s="502"/>
    </row>
    <row r="59" spans="1:17" ht="27.75" thickTop="1">
      <c r="A59" s="532"/>
      <c r="B59" s="536" t="s">
        <v>2541</v>
      </c>
      <c r="C59" s="537" t="s">
        <v>2573</v>
      </c>
      <c r="D59" s="537" t="s">
        <v>2574</v>
      </c>
      <c r="E59" s="537" t="s">
        <v>2575</v>
      </c>
      <c r="F59" s="537" t="s">
        <v>2576</v>
      </c>
      <c r="G59" s="537" t="s">
        <v>2577</v>
      </c>
      <c r="H59" s="537" t="s">
        <v>2578</v>
      </c>
      <c r="I59" s="537" t="s">
        <v>2579</v>
      </c>
      <c r="J59" s="537"/>
      <c r="K59" s="538"/>
      <c r="L59" s="539"/>
      <c r="M59" s="540"/>
      <c r="N59" s="1150"/>
      <c r="O59" s="1150"/>
      <c r="P59" s="45"/>
      <c r="Q59" s="502"/>
    </row>
    <row r="60" spans="1:17" ht="15.75" thickBot="1">
      <c r="A60" s="532"/>
      <c r="B60" s="541"/>
      <c r="C60" s="542" t="s">
        <v>24</v>
      </c>
      <c r="D60" s="542" t="s">
        <v>25</v>
      </c>
      <c r="E60" s="542">
        <v>100</v>
      </c>
      <c r="F60" s="542">
        <f>E60-$K10</f>
        <v>98</v>
      </c>
      <c r="G60" s="542">
        <f>F60-$K10</f>
        <v>96</v>
      </c>
      <c r="H60" s="542">
        <f>G60-$K10</f>
        <v>94</v>
      </c>
      <c r="I60" s="542">
        <f>H60-$K10</f>
        <v>92</v>
      </c>
      <c r="J60" s="542"/>
      <c r="K60" s="542"/>
      <c r="L60" s="542"/>
      <c r="M60" s="543"/>
      <c r="N60" s="1151"/>
      <c r="O60" s="1151"/>
      <c r="P60" s="45"/>
      <c r="Q60" s="502"/>
    </row>
    <row r="61" spans="1:17" ht="15.75" thickTop="1">
      <c r="A61" s="532"/>
      <c r="B61" s="544" t="s">
        <v>2542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5"/>
      <c r="Q61" s="502"/>
    </row>
    <row r="62" spans="1:17" ht="15">
      <c r="A62" s="532"/>
      <c r="B62" s="546"/>
      <c r="C62" s="547"/>
      <c r="D62" s="547"/>
      <c r="E62" s="547"/>
      <c r="F62" s="547"/>
      <c r="G62" s="547"/>
      <c r="H62" s="547"/>
      <c r="I62" s="547"/>
      <c r="J62" s="547"/>
      <c r="K62" s="548"/>
      <c r="L62" s="549"/>
      <c r="M62" s="550"/>
      <c r="N62" s="1150"/>
      <c r="O62" s="1150"/>
      <c r="P62" s="45"/>
      <c r="Q62" s="502"/>
    </row>
    <row r="63" spans="1:17" ht="15.75" thickBot="1">
      <c r="A63" s="532"/>
      <c r="B63" s="533"/>
      <c r="C63" s="542">
        <v>100</v>
      </c>
      <c r="D63" s="542">
        <f t="shared" ref="D63:M63" si="18">C63-$K11</f>
        <v>98</v>
      </c>
      <c r="E63" s="542">
        <f t="shared" si="18"/>
        <v>96</v>
      </c>
      <c r="F63" s="542">
        <f t="shared" si="18"/>
        <v>94</v>
      </c>
      <c r="G63" s="542">
        <f t="shared" si="18"/>
        <v>92</v>
      </c>
      <c r="H63" s="542">
        <f t="shared" si="18"/>
        <v>90</v>
      </c>
      <c r="I63" s="542">
        <f t="shared" si="18"/>
        <v>88</v>
      </c>
      <c r="J63" s="542">
        <f t="shared" si="18"/>
        <v>86</v>
      </c>
      <c r="K63" s="542">
        <f t="shared" si="18"/>
        <v>84</v>
      </c>
      <c r="L63" s="542">
        <f t="shared" si="18"/>
        <v>82</v>
      </c>
      <c r="M63" s="543">
        <f t="shared" si="18"/>
        <v>80</v>
      </c>
      <c r="N63" s="1151"/>
      <c r="O63" s="1151"/>
      <c r="P63" s="45"/>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2543</v>
      </c>
      <c r="B70" s="526" t="s">
        <v>2689</v>
      </c>
      <c r="C70" s="571" t="s">
        <v>2581</v>
      </c>
      <c r="D70" s="571" t="s">
        <v>2582</v>
      </c>
      <c r="E70" s="571" t="s">
        <v>2583</v>
      </c>
      <c r="F70" s="571" t="s">
        <v>2584</v>
      </c>
      <c r="G70" s="571" t="s">
        <v>2585</v>
      </c>
      <c r="H70" s="527"/>
      <c r="I70" s="527"/>
      <c r="J70" s="527"/>
      <c r="K70" s="572"/>
      <c r="L70" s="573"/>
      <c r="M70" s="574"/>
      <c r="N70" s="1150"/>
      <c r="O70" s="1150"/>
      <c r="P70" s="575"/>
      <c r="Q70" s="502"/>
    </row>
    <row r="71" spans="1:17" ht="15.75" thickBot="1">
      <c r="A71" s="532"/>
      <c r="B71" s="541"/>
      <c r="C71" s="542">
        <v>100</v>
      </c>
      <c r="D71" s="542">
        <f>C71-$K15</f>
        <v>98</v>
      </c>
      <c r="E71" s="542">
        <f>D71-$K15</f>
        <v>96</v>
      </c>
      <c r="F71" s="542">
        <f>E71-$K15</f>
        <v>94</v>
      </c>
      <c r="G71" s="542">
        <f>F71-$K15</f>
        <v>92</v>
      </c>
      <c r="H71" s="542"/>
      <c r="I71" s="542"/>
      <c r="J71" s="542"/>
      <c r="K71" s="542"/>
      <c r="L71" s="542"/>
      <c r="M71" s="543"/>
      <c r="N71" s="1151"/>
      <c r="O71" s="1151"/>
      <c r="P71" s="45"/>
      <c r="Q71" s="502"/>
    </row>
    <row r="72" spans="1:17" ht="15.75" thickTop="1">
      <c r="A72" s="532"/>
      <c r="B72" s="536" t="s">
        <v>2586</v>
      </c>
      <c r="C72" s="576" t="s">
        <v>2581</v>
      </c>
      <c r="D72" s="576" t="s">
        <v>2582</v>
      </c>
      <c r="E72" s="576" t="s">
        <v>2583</v>
      </c>
      <c r="F72" s="576" t="s">
        <v>2584</v>
      </c>
      <c r="G72" s="576" t="s">
        <v>2585</v>
      </c>
      <c r="H72" s="537"/>
      <c r="I72" s="537"/>
      <c r="J72" s="537"/>
      <c r="K72" s="538"/>
      <c r="L72" s="539"/>
      <c r="M72" s="540"/>
      <c r="N72" s="1150"/>
      <c r="O72" s="1150"/>
      <c r="P72" s="45"/>
      <c r="Q72" s="502"/>
    </row>
    <row r="73" spans="1:17" ht="15.75" thickBot="1">
      <c r="A73" s="532"/>
      <c r="B73" s="541"/>
      <c r="C73" s="542">
        <v>100</v>
      </c>
      <c r="D73" s="542">
        <f>C73-$K17</f>
        <v>98</v>
      </c>
      <c r="E73" s="542">
        <f>D73-$K17</f>
        <v>96</v>
      </c>
      <c r="F73" s="542">
        <f>E73-$K17</f>
        <v>94</v>
      </c>
      <c r="G73" s="542">
        <f>F73-$K17</f>
        <v>92</v>
      </c>
      <c r="H73" s="542"/>
      <c r="I73" s="542"/>
      <c r="J73" s="542"/>
      <c r="K73" s="542"/>
      <c r="L73" s="542"/>
      <c r="M73" s="543"/>
      <c r="N73" s="1151"/>
      <c r="O73" s="1151"/>
      <c r="P73" s="45"/>
      <c r="Q73" s="502"/>
    </row>
    <row r="74" spans="1:17" ht="15.75" thickTop="1">
      <c r="A74" s="532"/>
      <c r="B74" s="536" t="s">
        <v>2587</v>
      </c>
      <c r="C74" s="576" t="s">
        <v>2581</v>
      </c>
      <c r="D74" s="576" t="s">
        <v>2582</v>
      </c>
      <c r="E74" s="576" t="s">
        <v>2583</v>
      </c>
      <c r="F74" s="576" t="s">
        <v>2584</v>
      </c>
      <c r="G74" s="576" t="s">
        <v>2585</v>
      </c>
      <c r="H74" s="537"/>
      <c r="I74" s="537"/>
      <c r="J74" s="537"/>
      <c r="K74" s="538"/>
      <c r="L74" s="539"/>
      <c r="M74" s="540"/>
      <c r="N74" s="1150"/>
      <c r="O74" s="1150"/>
      <c r="P74" s="45"/>
      <c r="Q74" s="502"/>
    </row>
    <row r="75" spans="1:17" ht="15.75" thickBot="1">
      <c r="A75" s="532"/>
      <c r="B75" s="541"/>
      <c r="C75" s="542">
        <v>100</v>
      </c>
      <c r="D75" s="542">
        <f>C75-$K19</f>
        <v>98</v>
      </c>
      <c r="E75" s="542">
        <f>D75-$K19</f>
        <v>96</v>
      </c>
      <c r="F75" s="542">
        <f>E75-$K19</f>
        <v>94</v>
      </c>
      <c r="G75" s="542">
        <f>F75-$K19</f>
        <v>92</v>
      </c>
      <c r="H75" s="542"/>
      <c r="I75" s="542"/>
      <c r="J75" s="542"/>
      <c r="K75" s="542"/>
      <c r="L75" s="542"/>
      <c r="M75" s="543"/>
      <c r="N75" s="1151"/>
      <c r="O75" s="1151"/>
      <c r="P75" s="45"/>
      <c r="Q75" s="502"/>
    </row>
    <row r="76" spans="1:17" ht="15.75" thickTop="1">
      <c r="A76" s="532"/>
      <c r="B76" s="544" t="s">
        <v>2673</v>
      </c>
      <c r="C76" s="658" t="s">
        <v>2659</v>
      </c>
      <c r="D76" s="658" t="s">
        <v>2660</v>
      </c>
      <c r="E76" s="658" t="s">
        <v>2661</v>
      </c>
      <c r="F76" s="658" t="s">
        <v>2662</v>
      </c>
      <c r="G76" s="658" t="s">
        <v>2663</v>
      </c>
      <c r="H76" s="537"/>
      <c r="I76" s="537"/>
      <c r="J76" s="537"/>
      <c r="K76" s="537"/>
      <c r="L76" s="537"/>
      <c r="M76" s="1378"/>
      <c r="N76" s="1151"/>
      <c r="O76" s="1151"/>
      <c r="P76" s="45"/>
      <c r="Q76" s="502"/>
    </row>
    <row r="77" spans="1:17" ht="15.75" thickBot="1">
      <c r="A77" s="532"/>
      <c r="B77" s="544"/>
      <c r="C77" s="542">
        <v>100</v>
      </c>
      <c r="D77" s="542">
        <f>C77-$K21</f>
        <v>98</v>
      </c>
      <c r="E77" s="542">
        <f>D77-$K21</f>
        <v>96</v>
      </c>
      <c r="F77" s="542">
        <f>E77-$K21</f>
        <v>94</v>
      </c>
      <c r="G77" s="542">
        <f>F77-$K21</f>
        <v>92</v>
      </c>
      <c r="H77" s="658"/>
      <c r="I77" s="658"/>
      <c r="J77" s="658"/>
      <c r="K77" s="658"/>
      <c r="L77" s="658"/>
      <c r="M77" s="448"/>
      <c r="N77" s="1151"/>
      <c r="O77" s="1151"/>
      <c r="P77" s="45"/>
      <c r="Q77" s="502"/>
    </row>
    <row r="78" spans="1:17" ht="15.75" thickTop="1">
      <c r="A78" s="532"/>
      <c r="B78" s="536" t="s">
        <v>2682</v>
      </c>
      <c r="C78" s="576" t="s">
        <v>2581</v>
      </c>
      <c r="D78" s="576" t="s">
        <v>2582</v>
      </c>
      <c r="E78" s="576" t="s">
        <v>2583</v>
      </c>
      <c r="F78" s="576" t="s">
        <v>2584</v>
      </c>
      <c r="G78" s="576" t="s">
        <v>2585</v>
      </c>
      <c r="H78" s="537"/>
      <c r="I78" s="537"/>
      <c r="J78" s="537"/>
      <c r="K78" s="538"/>
      <c r="L78" s="539"/>
      <c r="M78" s="540"/>
      <c r="N78" s="1150"/>
      <c r="O78" s="1150"/>
      <c r="P78" s="45"/>
      <c r="Q78" s="502"/>
    </row>
    <row r="79" spans="1:17" ht="15.75" thickBot="1">
      <c r="A79" s="532"/>
      <c r="B79" s="541"/>
      <c r="C79" s="542">
        <v>100</v>
      </c>
      <c r="D79" s="542">
        <f>C79-$K23</f>
        <v>98</v>
      </c>
      <c r="E79" s="542">
        <f>D79-$K23</f>
        <v>96</v>
      </c>
      <c r="F79" s="542">
        <f>E79-$K23</f>
        <v>94</v>
      </c>
      <c r="G79" s="542">
        <f>F79-$K23</f>
        <v>92</v>
      </c>
      <c r="H79" s="542"/>
      <c r="I79" s="542"/>
      <c r="J79" s="542"/>
      <c r="K79" s="542"/>
      <c r="L79" s="542"/>
      <c r="M79" s="543"/>
      <c r="N79" s="1151"/>
      <c r="O79" s="1151"/>
      <c r="P79" s="45"/>
      <c r="Q79" s="502"/>
    </row>
    <row r="80" spans="1:17" s="116" customFormat="1" ht="15.75" thickTop="1">
      <c r="A80" s="577"/>
      <c r="B80" s="536">
        <f>B25</f>
        <v>111</v>
      </c>
      <c r="C80" s="552"/>
      <c r="D80" s="552"/>
      <c r="E80" s="552"/>
      <c r="F80" s="552"/>
      <c r="G80" s="552"/>
      <c r="H80" s="552"/>
      <c r="I80" s="552"/>
      <c r="J80" s="552"/>
      <c r="K80" s="552"/>
      <c r="L80" s="578"/>
      <c r="M80" s="579"/>
      <c r="N80" s="1149"/>
      <c r="O80" s="1149"/>
      <c r="P80" s="45"/>
      <c r="Q80" s="502"/>
    </row>
    <row r="81" spans="1:17" s="116" customFormat="1" ht="15.75" thickBot="1">
      <c r="A81" s="577"/>
      <c r="B81" s="541"/>
      <c r="C81" s="558"/>
      <c r="D81" s="534"/>
      <c r="E81" s="534"/>
      <c r="F81" s="534"/>
      <c r="G81" s="534"/>
      <c r="H81" s="534"/>
      <c r="I81" s="534"/>
      <c r="J81" s="534"/>
      <c r="K81" s="534"/>
      <c r="L81" s="534"/>
      <c r="M81" s="535"/>
      <c r="N81" s="1151"/>
      <c r="O81" s="1151"/>
      <c r="P81" s="45"/>
      <c r="Q81" s="502"/>
    </row>
    <row r="82" spans="1:17" s="116" customFormat="1" ht="15.75" thickTop="1">
      <c r="A82" s="577"/>
      <c r="B82" s="536">
        <f>B26</f>
        <v>111</v>
      </c>
      <c r="C82" s="552"/>
      <c r="D82" s="552"/>
      <c r="E82" s="552"/>
      <c r="F82" s="552"/>
      <c r="G82" s="552"/>
      <c r="H82" s="552"/>
      <c r="I82" s="552"/>
      <c r="J82" s="552"/>
      <c r="K82" s="552"/>
      <c r="L82" s="578"/>
      <c r="M82" s="579"/>
      <c r="N82" s="1149"/>
      <c r="O82" s="1149"/>
      <c r="P82" s="45"/>
      <c r="Q82" s="502"/>
    </row>
    <row r="83" spans="1:17" s="116" customFormat="1" ht="15.75" thickBot="1">
      <c r="A83" s="577"/>
      <c r="B83" s="541"/>
      <c r="C83" s="558"/>
      <c r="D83" s="534"/>
      <c r="E83" s="534"/>
      <c r="F83" s="534"/>
      <c r="G83" s="534"/>
      <c r="H83" s="534"/>
      <c r="I83" s="534"/>
      <c r="J83" s="534"/>
      <c r="K83" s="534"/>
      <c r="L83" s="534"/>
      <c r="M83" s="535"/>
      <c r="N83" s="1151"/>
      <c r="O83" s="1151"/>
      <c r="P83" s="45"/>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5"/>
      <c r="Q86" s="502"/>
    </row>
    <row r="87" spans="1:17" ht="15.75" thickBot="1">
      <c r="A87" s="2623"/>
      <c r="B87" s="567"/>
      <c r="C87" s="568"/>
      <c r="D87" s="568"/>
      <c r="E87" s="568"/>
      <c r="F87" s="568"/>
      <c r="G87" s="589"/>
      <c r="H87" s="589"/>
      <c r="I87" s="589"/>
      <c r="J87" s="589"/>
      <c r="K87" s="589"/>
      <c r="L87" s="589"/>
      <c r="M87" s="590"/>
      <c r="N87" s="1151"/>
      <c r="O87" s="1151"/>
      <c r="P87" s="45"/>
      <c r="Q87" s="502"/>
    </row>
    <row r="88" spans="1:17">
      <c r="A88" s="525" t="s">
        <v>2547</v>
      </c>
      <c r="B88" s="526" t="s">
        <v>2596</v>
      </c>
      <c r="C88" s="528">
        <v>1</v>
      </c>
      <c r="D88" s="528">
        <v>2</v>
      </c>
      <c r="E88" s="528"/>
      <c r="F88" s="528"/>
      <c r="G88" s="528"/>
      <c r="H88" s="528"/>
      <c r="I88" s="528"/>
      <c r="J88" s="528"/>
      <c r="K88" s="529"/>
      <c r="L88" s="530"/>
      <c r="M88" s="531"/>
      <c r="N88" s="1150"/>
      <c r="O88" s="1150"/>
      <c r="P88" s="45"/>
      <c r="Q88" s="502"/>
    </row>
    <row r="89" spans="1:17" ht="15.75" thickBot="1">
      <c r="A89" s="532"/>
      <c r="B89" s="541"/>
      <c r="C89" s="542">
        <v>100</v>
      </c>
      <c r="D89" s="542">
        <f t="shared" ref="D89:M89" si="19">C89-$K29</f>
        <v>98</v>
      </c>
      <c r="E89" s="542">
        <f t="shared" si="19"/>
        <v>96</v>
      </c>
      <c r="F89" s="542">
        <f t="shared" si="19"/>
        <v>94</v>
      </c>
      <c r="G89" s="542">
        <f t="shared" si="19"/>
        <v>92</v>
      </c>
      <c r="H89" s="542">
        <f t="shared" si="19"/>
        <v>90</v>
      </c>
      <c r="I89" s="542">
        <f t="shared" si="19"/>
        <v>88</v>
      </c>
      <c r="J89" s="542">
        <f t="shared" si="19"/>
        <v>86</v>
      </c>
      <c r="K89" s="542">
        <f t="shared" si="19"/>
        <v>84</v>
      </c>
      <c r="L89" s="542">
        <f t="shared" si="19"/>
        <v>82</v>
      </c>
      <c r="M89" s="543">
        <f t="shared" si="19"/>
        <v>80</v>
      </c>
      <c r="N89" s="1151"/>
      <c r="O89" s="1151"/>
      <c r="P89" s="45"/>
      <c r="Q89" s="502"/>
    </row>
    <row r="90" spans="1:17" ht="29.25" thickTop="1">
      <c r="A90" s="532"/>
      <c r="B90" s="536" t="s">
        <v>2597</v>
      </c>
      <c r="C90" s="576" t="str">
        <f>C91&amp;"(含)"&amp;"-"&amp;D91</f>
        <v>0(含)-300</v>
      </c>
      <c r="D90" s="576" t="str">
        <f t="shared" ref="D90:L90" si="20">D91&amp;"(含)"&amp;"-"&amp;E91</f>
        <v>300(含)-600</v>
      </c>
      <c r="E90" s="576" t="str">
        <f t="shared" si="20"/>
        <v>600(含)-900</v>
      </c>
      <c r="F90" s="576" t="str">
        <f t="shared" si="20"/>
        <v>900(含)-1200</v>
      </c>
      <c r="G90" s="576" t="str">
        <f t="shared" si="20"/>
        <v>1200(含)-1500</v>
      </c>
      <c r="H90" s="576" t="str">
        <f t="shared" si="20"/>
        <v>1500(含)-2000</v>
      </c>
      <c r="I90" s="576" t="str">
        <f t="shared" si="20"/>
        <v>2000(含)-3000</v>
      </c>
      <c r="J90" s="576" t="str">
        <f t="shared" si="20"/>
        <v>3000(含)-4000</v>
      </c>
      <c r="K90" s="576" t="str">
        <f t="shared" si="20"/>
        <v>4000(含)-</v>
      </c>
      <c r="L90" s="576" t="str">
        <f t="shared" si="20"/>
        <v>(含)-</v>
      </c>
      <c r="M90" s="620" t="str">
        <f>M91&amp;"(含)"&amp;"-"&amp;P91</f>
        <v>(含)-</v>
      </c>
      <c r="N90" s="1149"/>
      <c r="O90" s="1149"/>
      <c r="P90" s="45"/>
      <c r="Q90" s="502"/>
    </row>
    <row r="91" spans="1:17" s="469" customFormat="1">
      <c r="A91" s="591"/>
      <c r="B91" s="592"/>
      <c r="C91" s="593">
        <v>0</v>
      </c>
      <c r="D91" s="593">
        <v>300</v>
      </c>
      <c r="E91" s="593">
        <v>600</v>
      </c>
      <c r="F91" s="593">
        <v>900</v>
      </c>
      <c r="G91" s="593">
        <v>1200</v>
      </c>
      <c r="H91" s="593">
        <v>1500</v>
      </c>
      <c r="I91" s="593">
        <v>2000</v>
      </c>
      <c r="J91" s="594">
        <v>3000</v>
      </c>
      <c r="K91" s="594">
        <v>4000</v>
      </c>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2598</v>
      </c>
      <c r="C93" s="2942" t="s">
        <v>3065</v>
      </c>
      <c r="D93" s="552"/>
      <c r="E93" s="581"/>
      <c r="F93" s="581"/>
      <c r="G93" s="581"/>
      <c r="H93" s="581"/>
      <c r="I93" s="581"/>
      <c r="J93" s="581"/>
      <c r="K93" s="582"/>
      <c r="L93" s="583"/>
      <c r="M93" s="584"/>
      <c r="N93" s="1150"/>
      <c r="O93" s="1150"/>
      <c r="P93" s="45"/>
      <c r="Q93" s="502"/>
    </row>
    <row r="94" spans="1:17" ht="15.75" thickBot="1">
      <c r="A94" s="532"/>
      <c r="B94" s="541"/>
      <c r="C94" s="542">
        <v>100</v>
      </c>
      <c r="D94" s="542">
        <f t="shared" ref="D94:M94" si="21">C94-$K31</f>
        <v>98</v>
      </c>
      <c r="E94" s="542">
        <f t="shared" si="21"/>
        <v>96</v>
      </c>
      <c r="F94" s="542">
        <f t="shared" si="21"/>
        <v>94</v>
      </c>
      <c r="G94" s="542">
        <f t="shared" si="21"/>
        <v>92</v>
      </c>
      <c r="H94" s="542">
        <f t="shared" si="21"/>
        <v>90</v>
      </c>
      <c r="I94" s="542">
        <f t="shared" si="21"/>
        <v>88</v>
      </c>
      <c r="J94" s="542">
        <f t="shared" si="21"/>
        <v>86</v>
      </c>
      <c r="K94" s="542">
        <f t="shared" si="21"/>
        <v>84</v>
      </c>
      <c r="L94" s="542">
        <f t="shared" si="21"/>
        <v>82</v>
      </c>
      <c r="M94" s="543">
        <f t="shared" si="21"/>
        <v>80</v>
      </c>
      <c r="N94" s="1151"/>
      <c r="O94" s="1151"/>
      <c r="P94" s="45"/>
      <c r="Q94" s="502"/>
    </row>
    <row r="95" spans="1:17" ht="15" thickTop="1">
      <c r="A95" s="597"/>
      <c r="B95" s="536" t="s">
        <v>2600</v>
      </c>
      <c r="C95" s="2942" t="s">
        <v>3067</v>
      </c>
      <c r="D95" s="2942" t="s">
        <v>3072</v>
      </c>
      <c r="E95" s="552"/>
      <c r="F95" s="581"/>
      <c r="G95" s="581"/>
      <c r="H95" s="581"/>
      <c r="I95" s="581"/>
      <c r="J95" s="581"/>
      <c r="K95" s="582"/>
      <c r="L95" s="583"/>
      <c r="M95" s="584"/>
      <c r="N95" s="1150"/>
      <c r="O95" s="1150"/>
      <c r="P95" s="45"/>
      <c r="Q95" s="502"/>
    </row>
    <row r="96" spans="1:17" ht="15.75" thickBot="1">
      <c r="A96" s="532"/>
      <c r="B96" s="541"/>
      <c r="C96" s="542">
        <v>100</v>
      </c>
      <c r="D96" s="542">
        <f t="shared" ref="D96:M96" si="22">C96-$K32</f>
        <v>98</v>
      </c>
      <c r="E96" s="542">
        <f t="shared" si="22"/>
        <v>96</v>
      </c>
      <c r="F96" s="542">
        <f t="shared" si="22"/>
        <v>94</v>
      </c>
      <c r="G96" s="542">
        <f t="shared" si="22"/>
        <v>92</v>
      </c>
      <c r="H96" s="542">
        <f t="shared" si="22"/>
        <v>90</v>
      </c>
      <c r="I96" s="542">
        <f t="shared" si="22"/>
        <v>88</v>
      </c>
      <c r="J96" s="542">
        <f t="shared" si="22"/>
        <v>86</v>
      </c>
      <c r="K96" s="542">
        <f t="shared" si="22"/>
        <v>84</v>
      </c>
      <c r="L96" s="542">
        <f t="shared" si="22"/>
        <v>82</v>
      </c>
      <c r="M96" s="543">
        <f t="shared" si="22"/>
        <v>80</v>
      </c>
      <c r="N96" s="1151"/>
      <c r="O96" s="1151"/>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5.75" thickBot="1">
      <c r="A99" s="532"/>
      <c r="B99" s="541"/>
      <c r="C99" s="580">
        <v>100</v>
      </c>
      <c r="D99" s="542">
        <f>C99+$K33</f>
        <v>102</v>
      </c>
      <c r="E99" s="542">
        <f t="shared" ref="E99:M99" si="23">D99+$K33</f>
        <v>104</v>
      </c>
      <c r="F99" s="542">
        <f t="shared" si="23"/>
        <v>106</v>
      </c>
      <c r="G99" s="542">
        <f t="shared" si="23"/>
        <v>108</v>
      </c>
      <c r="H99" s="542">
        <f t="shared" si="23"/>
        <v>110</v>
      </c>
      <c r="I99" s="542">
        <f t="shared" si="23"/>
        <v>112</v>
      </c>
      <c r="J99" s="542">
        <f t="shared" si="23"/>
        <v>114</v>
      </c>
      <c r="K99" s="542">
        <f t="shared" si="23"/>
        <v>116</v>
      </c>
      <c r="L99" s="542">
        <f t="shared" si="23"/>
        <v>118</v>
      </c>
      <c r="M99" s="542">
        <f t="shared" si="23"/>
        <v>120</v>
      </c>
      <c r="N99" s="1151"/>
      <c r="O99" s="1151"/>
      <c r="P99" s="45"/>
      <c r="Q99" s="502"/>
    </row>
    <row r="100" spans="1:17" s="469" customFormat="1" ht="15" thickTop="1">
      <c r="A100" s="591"/>
      <c r="B100" s="536" t="s">
        <v>2601</v>
      </c>
      <c r="C100" s="2942" t="s">
        <v>3070</v>
      </c>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98</v>
      </c>
      <c r="E101" s="542">
        <f t="shared" ref="E101:M101" si="24">D101-$K34</f>
        <v>96</v>
      </c>
      <c r="F101" s="542">
        <f t="shared" si="24"/>
        <v>94</v>
      </c>
      <c r="G101" s="542">
        <f t="shared" si="24"/>
        <v>92</v>
      </c>
      <c r="H101" s="542">
        <f t="shared" si="24"/>
        <v>90</v>
      </c>
      <c r="I101" s="542">
        <f t="shared" si="24"/>
        <v>88</v>
      </c>
      <c r="J101" s="542">
        <f t="shared" si="24"/>
        <v>86</v>
      </c>
      <c r="K101" s="542">
        <f t="shared" si="24"/>
        <v>84</v>
      </c>
      <c r="L101" s="542">
        <f t="shared" si="24"/>
        <v>82</v>
      </c>
      <c r="M101" s="542">
        <f t="shared" si="24"/>
        <v>80</v>
      </c>
      <c r="N101" s="1152"/>
      <c r="O101" s="1152"/>
      <c r="P101" s="556"/>
      <c r="Q101" s="557"/>
    </row>
    <row r="102" spans="1:17" ht="15" thickTop="1">
      <c r="A102" s="597"/>
      <c r="B102" s="536" t="s">
        <v>2602</v>
      </c>
      <c r="C102" s="2942" t="s">
        <v>3071</v>
      </c>
      <c r="D102" s="552"/>
      <c r="E102" s="552"/>
      <c r="F102" s="552"/>
      <c r="G102" s="552"/>
      <c r="H102" s="581"/>
      <c r="I102" s="581"/>
      <c r="J102" s="581"/>
      <c r="K102" s="582"/>
      <c r="L102" s="583"/>
      <c r="M102" s="584"/>
      <c r="N102" s="1150"/>
      <c r="O102" s="1150"/>
      <c r="P102" s="45"/>
      <c r="Q102" s="502"/>
    </row>
    <row r="103" spans="1:17" ht="15.75" thickBot="1">
      <c r="A103" s="532"/>
      <c r="B103" s="541"/>
      <c r="C103" s="542">
        <v>100</v>
      </c>
      <c r="D103" s="542">
        <f t="shared" ref="D103:M103" si="25">C103-$K35</f>
        <v>98</v>
      </c>
      <c r="E103" s="542">
        <f t="shared" si="25"/>
        <v>96</v>
      </c>
      <c r="F103" s="542">
        <f t="shared" si="25"/>
        <v>94</v>
      </c>
      <c r="G103" s="542">
        <f t="shared" si="25"/>
        <v>92</v>
      </c>
      <c r="H103" s="542">
        <f t="shared" si="25"/>
        <v>90</v>
      </c>
      <c r="I103" s="542">
        <f t="shared" si="25"/>
        <v>88</v>
      </c>
      <c r="J103" s="542">
        <f t="shared" si="25"/>
        <v>86</v>
      </c>
      <c r="K103" s="542">
        <f t="shared" si="25"/>
        <v>84</v>
      </c>
      <c r="L103" s="542">
        <f t="shared" si="25"/>
        <v>82</v>
      </c>
      <c r="M103" s="543">
        <f t="shared" si="25"/>
        <v>80</v>
      </c>
      <c r="N103" s="1151"/>
      <c r="O103" s="1151"/>
      <c r="P103" s="45"/>
      <c r="Q103" s="502"/>
    </row>
    <row r="104" spans="1:17" ht="15" thickTop="1">
      <c r="A104" s="597"/>
      <c r="B104" s="536" t="s">
        <v>2604</v>
      </c>
      <c r="C104" s="2942" t="s">
        <v>3067</v>
      </c>
      <c r="D104" s="2942" t="s">
        <v>3068</v>
      </c>
      <c r="E104" s="552"/>
      <c r="F104" s="552"/>
      <c r="G104" s="552"/>
      <c r="H104" s="581"/>
      <c r="I104" s="581"/>
      <c r="J104" s="581"/>
      <c r="K104" s="582"/>
      <c r="L104" s="583"/>
      <c r="M104" s="584"/>
      <c r="N104" s="1150"/>
      <c r="O104" s="1150"/>
      <c r="P104" s="45"/>
      <c r="Q104" s="502"/>
    </row>
    <row r="105" spans="1:17" ht="15.75" thickBot="1">
      <c r="A105" s="532"/>
      <c r="B105" s="541"/>
      <c r="C105" s="542">
        <v>100</v>
      </c>
      <c r="D105" s="542">
        <f>C105-$K36</f>
        <v>98</v>
      </c>
      <c r="E105" s="542">
        <f>D105-$K36</f>
        <v>96</v>
      </c>
      <c r="F105" s="542">
        <f>E105-$K36</f>
        <v>94</v>
      </c>
      <c r="G105" s="542">
        <f>F105-$K36</f>
        <v>92</v>
      </c>
      <c r="H105" s="542"/>
      <c r="I105" s="542"/>
      <c r="J105" s="542"/>
      <c r="K105" s="542"/>
      <c r="L105" s="542"/>
      <c r="M105" s="543"/>
      <c r="N105" s="1151"/>
      <c r="O105" s="1151"/>
      <c r="P105" s="45"/>
      <c r="Q105" s="502"/>
    </row>
    <row r="106" spans="1:17" ht="15" thickTop="1">
      <c r="A106" s="597"/>
      <c r="B106" s="634" t="s">
        <v>2690</v>
      </c>
      <c r="C106" s="576" t="s">
        <v>2581</v>
      </c>
      <c r="D106" s="576" t="s">
        <v>2582</v>
      </c>
      <c r="E106" s="576" t="s">
        <v>2583</v>
      </c>
      <c r="F106" s="576" t="s">
        <v>2584</v>
      </c>
      <c r="G106" s="576" t="s">
        <v>2585</v>
      </c>
      <c r="H106" s="537"/>
      <c r="I106" s="537"/>
      <c r="J106" s="537"/>
      <c r="K106" s="538"/>
      <c r="L106" s="539"/>
      <c r="M106" s="540"/>
      <c r="N106" s="1151"/>
      <c r="O106" s="1151"/>
      <c r="P106" s="635"/>
      <c r="Q106" s="636"/>
    </row>
    <row r="107" spans="1:17" ht="15.75" thickBot="1">
      <c r="A107" s="532"/>
      <c r="B107" s="541"/>
      <c r="C107" s="580">
        <v>100</v>
      </c>
      <c r="D107" s="542">
        <f t="shared" ref="D107:M107" si="26">C107-$K37</f>
        <v>98</v>
      </c>
      <c r="E107" s="542">
        <f t="shared" si="26"/>
        <v>96</v>
      </c>
      <c r="F107" s="542">
        <f t="shared" si="26"/>
        <v>94</v>
      </c>
      <c r="G107" s="542">
        <f t="shared" si="26"/>
        <v>92</v>
      </c>
      <c r="H107" s="542">
        <f t="shared" si="26"/>
        <v>90</v>
      </c>
      <c r="I107" s="542">
        <f t="shared" si="26"/>
        <v>88</v>
      </c>
      <c r="J107" s="542">
        <f t="shared" si="26"/>
        <v>86</v>
      </c>
      <c r="K107" s="542">
        <f t="shared" si="26"/>
        <v>84</v>
      </c>
      <c r="L107" s="542">
        <f t="shared" si="26"/>
        <v>82</v>
      </c>
      <c r="M107" s="542">
        <f t="shared" si="26"/>
        <v>80</v>
      </c>
      <c r="N107" s="1151"/>
      <c r="O107" s="1151"/>
      <c r="P107" s="45"/>
      <c r="Q107" s="502"/>
    </row>
    <row r="108" spans="1:17" s="469" customFormat="1" ht="15" thickTop="1">
      <c r="A108" s="591"/>
      <c r="B108" s="536">
        <f>B38</f>
        <v>22</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5"/>
      <c r="Q110" s="502"/>
    </row>
    <row r="111" spans="1:17" ht="15.75" thickBot="1">
      <c r="A111" s="532"/>
      <c r="B111" s="541"/>
      <c r="C111" s="558"/>
      <c r="D111" s="534"/>
      <c r="E111" s="534"/>
      <c r="F111" s="534"/>
      <c r="G111" s="558"/>
      <c r="H111" s="560"/>
      <c r="I111" s="560"/>
      <c r="J111" s="560"/>
      <c r="K111" s="560"/>
      <c r="L111" s="560"/>
      <c r="M111" s="561"/>
      <c r="N111" s="1151"/>
      <c r="O111" s="1151"/>
      <c r="P111" s="45"/>
      <c r="Q111" s="502"/>
    </row>
    <row r="112" spans="1:17" ht="15" thickTop="1">
      <c r="A112" s="597"/>
      <c r="B112" s="544">
        <f>B40</f>
        <v>111</v>
      </c>
      <c r="C112" s="521"/>
      <c r="D112" s="521"/>
      <c r="E112" s="521"/>
      <c r="F112" s="521"/>
      <c r="G112" s="585"/>
      <c r="H112" s="585"/>
      <c r="I112" s="585"/>
      <c r="J112" s="585"/>
      <c r="K112" s="521"/>
      <c r="L112" s="522"/>
      <c r="M112" s="588"/>
      <c r="N112" s="1150"/>
      <c r="O112" s="1150"/>
      <c r="P112" s="45"/>
      <c r="Q112" s="502"/>
    </row>
    <row r="113" spans="1:17" ht="15.75" thickBot="1">
      <c r="A113" s="2623"/>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46 H46">
    <cfRule type="containsText" dxfId="144" priority="16" stopIfTrue="1" operator="containsText" text="超过">
      <formula>NOT(ISERROR(SEARCH("超过",F46)))</formula>
    </cfRule>
  </conditionalFormatting>
  <conditionalFormatting sqref="H48">
    <cfRule type="containsText" dxfId="143" priority="15" stopIfTrue="1" operator="containsText" text="超过">
      <formula>NOT(ISERROR(SEARCH("超过",H48)))</formula>
    </cfRule>
  </conditionalFormatting>
  <conditionalFormatting sqref="F48">
    <cfRule type="containsText" dxfId="142" priority="14" stopIfTrue="1" operator="containsText" text="超过">
      <formula>NOT(ISERROR(SEARCH("超过",F48)))</formula>
    </cfRule>
  </conditionalFormatting>
  <conditionalFormatting sqref="F47 H47">
    <cfRule type="containsText" dxfId="141" priority="13" stopIfTrue="1" operator="containsText" text="超过">
      <formula>NOT(ISERROR(SEARCH("超过",F47)))</formula>
    </cfRule>
  </conditionalFormatting>
  <conditionalFormatting sqref="E46">
    <cfRule type="expression" dxfId="140" priority="12" stopIfTrue="1">
      <formula>$F$46="超过30%"</formula>
    </cfRule>
  </conditionalFormatting>
  <conditionalFormatting sqref="E47">
    <cfRule type="expression" dxfId="139" priority="11" stopIfTrue="1">
      <formula>$F$47="超过20%"</formula>
    </cfRule>
  </conditionalFormatting>
  <conditionalFormatting sqref="E48">
    <cfRule type="expression" dxfId="138" priority="10" stopIfTrue="1">
      <formula>$F$48="超过30%"</formula>
    </cfRule>
  </conditionalFormatting>
  <conditionalFormatting sqref="G48">
    <cfRule type="expression" dxfId="137" priority="9" stopIfTrue="1">
      <formula>$H$48="超过30%"</formula>
    </cfRule>
  </conditionalFormatting>
  <conditionalFormatting sqref="G46">
    <cfRule type="expression" dxfId="136" priority="8" stopIfTrue="1">
      <formula>$H$46="超过30%"</formula>
    </cfRule>
  </conditionalFormatting>
  <conditionalFormatting sqref="G47">
    <cfRule type="expression" dxfId="135" priority="7" stopIfTrue="1">
      <formula>$H$47="超过20%"</formula>
    </cfRule>
  </conditionalFormatting>
  <conditionalFormatting sqref="J46">
    <cfRule type="containsText" dxfId="134" priority="6" stopIfTrue="1" operator="containsText" text="超过">
      <formula>NOT(ISERROR(SEARCH("超过",J46)))</formula>
    </cfRule>
  </conditionalFormatting>
  <conditionalFormatting sqref="J48">
    <cfRule type="containsText" dxfId="133" priority="5" stopIfTrue="1" operator="containsText" text="超过">
      <formula>NOT(ISERROR(SEARCH("超过",J48)))</formula>
    </cfRule>
  </conditionalFormatting>
  <conditionalFormatting sqref="J47">
    <cfRule type="containsText" dxfId="132" priority="4" stopIfTrue="1" operator="containsText" text="超过">
      <formula>NOT(ISERROR(SEARCH("超过",J47)))</formula>
    </cfRule>
  </conditionalFormatting>
  <conditionalFormatting sqref="I46">
    <cfRule type="expression" dxfId="131" priority="3" stopIfTrue="1">
      <formula>$J$46="超过30%"</formula>
    </cfRule>
  </conditionalFormatting>
  <conditionalFormatting sqref="I47">
    <cfRule type="expression" dxfId="130" priority="2" stopIfTrue="1">
      <formula>$J$47="超过20%"</formula>
    </cfRule>
  </conditionalFormatting>
  <conditionalFormatting sqref="I48">
    <cfRule type="expression" dxfId="129"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D54" sqref="D54"/>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2512</v>
      </c>
      <c r="B1" s="2656" t="s">
        <v>2670</v>
      </c>
      <c r="C1" s="1615" t="s">
        <v>2514</v>
      </c>
      <c r="D1" s="1616"/>
      <c r="E1" s="1625"/>
      <c r="F1" s="2571" t="s">
        <v>3045</v>
      </c>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2314</v>
      </c>
      <c r="B2" s="1414" t="e">
        <f ca="1">IF(C2="——",ROUND(C50*D3/10000,0),ROUND(C50*D3/10000,0)-D2)</f>
        <v>#N/A</v>
      </c>
      <c r="C2" s="2573" t="s">
        <v>3113</v>
      </c>
      <c r="D2" s="1361" t="e">
        <f ca="1">SUMIF(INDIRECT("'"&amp;F2&amp;"'"&amp;"!A:A"),"承租人权益价值",INDIRECT("'"&amp;F2&amp;"'"&amp;"!c:c"))</f>
        <v>#N/A</v>
      </c>
      <c r="E2" s="2574" t="s">
        <v>2315</v>
      </c>
      <c r="F2" s="2575" t="s">
        <v>3119</v>
      </c>
      <c r="G2" s="1123"/>
      <c r="H2" s="1123"/>
      <c r="I2" s="1123"/>
      <c r="J2" s="1123"/>
      <c r="K2" s="1123"/>
      <c r="L2" s="1126"/>
      <c r="M2" s="1127"/>
      <c r="N2" s="1127"/>
      <c r="O2" s="1127"/>
      <c r="P2" s="764"/>
      <c r="Q2" s="764"/>
      <c r="R2" s="764"/>
      <c r="S2" s="764"/>
      <c r="T2" s="764"/>
      <c r="U2" s="764"/>
      <c r="V2" s="764"/>
      <c r="W2" s="764"/>
      <c r="X2" s="764"/>
      <c r="Y2" s="764"/>
      <c r="Z2" s="764"/>
      <c r="AA2" s="764"/>
      <c r="AB2" s="764"/>
      <c r="AC2" s="765"/>
    </row>
    <row r="3" spans="1:29" s="396" customFormat="1" ht="28.5" customHeight="1" thickBot="1">
      <c r="A3" s="245" t="s">
        <v>2316</v>
      </c>
      <c r="B3" s="607" t="e">
        <f ca="1">IF(C2="——",C50,ROUND(B2*10000/D3,0))</f>
        <v>#N/A</v>
      </c>
      <c r="C3" s="398" t="s">
        <v>2628</v>
      </c>
      <c r="D3" s="397">
        <f>IF(D1="",'数据-汇总表'!E3,SUMIF('数据-汇总表'!$C19:$C33,D1,'数据-汇总表'!$E19:$E33))</f>
        <v>72085.949999999983</v>
      </c>
      <c r="E3" s="2650"/>
      <c r="F3" s="1124"/>
      <c r="G3" s="1123"/>
      <c r="H3" s="1123"/>
      <c r="I3" s="1123"/>
      <c r="J3" s="1123"/>
      <c r="K3" s="1125"/>
      <c r="L3" s="1126"/>
      <c r="M3" s="1127"/>
      <c r="N3" s="1127"/>
      <c r="O3" s="1127"/>
      <c r="P3" s="764"/>
      <c r="Q3" s="764"/>
      <c r="R3" s="764"/>
      <c r="S3" s="764"/>
      <c r="T3" s="764"/>
      <c r="U3" s="764"/>
      <c r="V3" s="764"/>
      <c r="W3" s="764"/>
      <c r="X3" s="764"/>
      <c r="Y3" s="764"/>
      <c r="Z3" s="764"/>
      <c r="AA3" s="764"/>
      <c r="AB3" s="764"/>
      <c r="AC3" s="765"/>
    </row>
    <row r="4" spans="1:29" ht="15">
      <c r="A4" s="399" t="s">
        <v>2629</v>
      </c>
      <c r="B4" s="400"/>
      <c r="C4" s="3275" t="s">
        <v>2630</v>
      </c>
      <c r="D4" s="3276"/>
      <c r="E4" s="3277" t="s">
        <v>2631</v>
      </c>
      <c r="F4" s="3278"/>
      <c r="G4" s="3275" t="s">
        <v>2632</v>
      </c>
      <c r="H4" s="3276"/>
      <c r="I4" s="3275" t="s">
        <v>2633</v>
      </c>
      <c r="J4" s="3276"/>
      <c r="K4" s="608" t="s">
        <v>2634</v>
      </c>
      <c r="L4" s="1128"/>
      <c r="M4" s="1129"/>
      <c r="N4" s="1129"/>
      <c r="O4" s="1129"/>
      <c r="P4" s="3311" t="s">
        <v>2635</v>
      </c>
      <c r="Q4" s="3312"/>
      <c r="R4" s="3306" t="s">
        <v>2631</v>
      </c>
      <c r="S4" s="3307"/>
      <c r="T4" s="3306" t="s">
        <v>2632</v>
      </c>
      <c r="U4" s="3307"/>
      <c r="V4" s="3315" t="s">
        <v>2633</v>
      </c>
      <c r="W4" s="3315"/>
      <c r="X4" s="2657"/>
      <c r="Y4" s="3306" t="s">
        <v>2635</v>
      </c>
      <c r="Z4" s="3307"/>
      <c r="AA4" s="3305" t="s">
        <v>2631</v>
      </c>
      <c r="AB4" s="3305" t="s">
        <v>2632</v>
      </c>
      <c r="AC4" s="3308" t="s">
        <v>2633</v>
      </c>
    </row>
    <row r="5" spans="1:29" ht="15">
      <c r="A5" s="402"/>
      <c r="B5" s="403"/>
      <c r="C5" s="3304" t="s">
        <v>3080</v>
      </c>
      <c r="D5" s="3269"/>
      <c r="E5" s="3303" t="s">
        <v>3058</v>
      </c>
      <c r="F5" s="3267"/>
      <c r="G5" s="3304" t="s">
        <v>3124</v>
      </c>
      <c r="H5" s="3269"/>
      <c r="I5" s="3304" t="s">
        <v>3124</v>
      </c>
      <c r="J5" s="3269"/>
      <c r="K5" s="608"/>
      <c r="L5" s="1128"/>
      <c r="M5" s="1129"/>
      <c r="N5" s="1129"/>
      <c r="O5" s="1129"/>
      <c r="P5" s="3313"/>
      <c r="Q5" s="3282"/>
      <c r="R5" s="3264"/>
      <c r="S5" s="3265"/>
      <c r="T5" s="3264"/>
      <c r="U5" s="3265"/>
      <c r="V5" s="3287"/>
      <c r="W5" s="3287"/>
      <c r="X5" s="1808"/>
      <c r="Y5" s="3264"/>
      <c r="Z5" s="3265"/>
      <c r="AA5" s="3258"/>
      <c r="AB5" s="3258"/>
      <c r="AC5" s="3309"/>
    </row>
    <row r="6" spans="1:29" ht="15.75" thickBot="1">
      <c r="A6" s="404"/>
      <c r="B6" s="405"/>
      <c r="C6" s="3270" t="s">
        <v>2530</v>
      </c>
      <c r="D6" s="3271"/>
      <c r="E6" s="3272" t="s">
        <v>2530</v>
      </c>
      <c r="F6" s="3273"/>
      <c r="G6" s="3270" t="s">
        <v>2530</v>
      </c>
      <c r="H6" s="3271"/>
      <c r="I6" s="3270" t="s">
        <v>2530</v>
      </c>
      <c r="J6" s="3271"/>
      <c r="K6" s="608" t="s">
        <v>2531</v>
      </c>
      <c r="L6" s="1128"/>
      <c r="M6" s="1129"/>
      <c r="N6" s="1129"/>
      <c r="O6" s="1129"/>
      <c r="P6" s="3314"/>
      <c r="Q6" s="3284"/>
      <c r="R6" s="3264"/>
      <c r="S6" s="3265"/>
      <c r="T6" s="3285"/>
      <c r="U6" s="3286"/>
      <c r="V6" s="3287"/>
      <c r="W6" s="3287"/>
      <c r="X6" s="1808"/>
      <c r="Y6" s="3285"/>
      <c r="Z6" s="3286"/>
      <c r="AA6" s="3259"/>
      <c r="AB6" s="3259"/>
      <c r="AC6" s="3310"/>
    </row>
    <row r="7" spans="1:29" s="116" customFormat="1" ht="15.75" thickBot="1">
      <c r="A7" s="406" t="s">
        <v>2532</v>
      </c>
      <c r="B7" s="407"/>
      <c r="C7" s="408">
        <f>'数据-取费表'!B2</f>
        <v>43207</v>
      </c>
      <c r="D7" s="409">
        <v>100</v>
      </c>
      <c r="E7" s="410">
        <v>43200</v>
      </c>
      <c r="F7" s="411">
        <f>SUMIF(59:59,YEAR(E7)&amp;"-"&amp;MONTH(E7),60:60)</f>
        <v>100</v>
      </c>
      <c r="G7" s="410">
        <v>43200</v>
      </c>
      <c r="H7" s="409">
        <f>SUMIF(59:59,YEAR(G7)&amp;"-"&amp;MONTH(G7),60:60)</f>
        <v>100</v>
      </c>
      <c r="I7" s="410">
        <v>43200</v>
      </c>
      <c r="J7" s="409">
        <f>SUMIF(59:59,YEAR(I7)&amp;"-"&amp;MONTH(I7),60:60)</f>
        <v>100</v>
      </c>
      <c r="K7" s="609"/>
      <c r="L7" s="1130"/>
      <c r="M7" s="1131"/>
      <c r="N7" s="1131"/>
      <c r="O7" s="1131"/>
      <c r="P7" s="3316" t="s">
        <v>2533</v>
      </c>
      <c r="Q7" s="3288"/>
      <c r="R7" s="766" t="s">
        <v>17</v>
      </c>
      <c r="S7" s="767">
        <f t="shared" ref="S7:S15" si="0">F7</f>
        <v>100</v>
      </c>
      <c r="T7" s="766" t="s">
        <v>17</v>
      </c>
      <c r="U7" s="767">
        <f t="shared" ref="U7:U15" si="1">H7</f>
        <v>100</v>
      </c>
      <c r="V7" s="766" t="s">
        <v>17</v>
      </c>
      <c r="W7" s="767">
        <f t="shared" ref="W7:W15" si="2">J7</f>
        <v>100</v>
      </c>
      <c r="X7" s="768"/>
      <c r="Y7" s="3260" t="s">
        <v>2533</v>
      </c>
      <c r="Z7" s="3261"/>
      <c r="AA7" s="769">
        <f>D7/F7</f>
        <v>1</v>
      </c>
      <c r="AB7" s="769">
        <f>D7/H7</f>
        <v>1</v>
      </c>
      <c r="AC7" s="2658">
        <f>D7/J7</f>
        <v>1</v>
      </c>
    </row>
    <row r="8" spans="1:29" s="116" customFormat="1" ht="15.75" thickBot="1">
      <c r="A8" s="406" t="s">
        <v>2534</v>
      </c>
      <c r="B8" s="407"/>
      <c r="C8" s="412" t="s">
        <v>2636</v>
      </c>
      <c r="D8" s="409">
        <v>100</v>
      </c>
      <c r="E8" s="412" t="s">
        <v>3048</v>
      </c>
      <c r="F8" s="411">
        <f>SUMIF(62:62,E8,63:63)-SUMIF(62:62,C8,63:63)+100</f>
        <v>100</v>
      </c>
      <c r="G8" s="412" t="s">
        <v>3048</v>
      </c>
      <c r="H8" s="409">
        <f>SUMIF(62:62,G8,63:63)-SUMIF(62:62,C8,63:63)+100</f>
        <v>100</v>
      </c>
      <c r="I8" s="412" t="s">
        <v>3048</v>
      </c>
      <c r="J8" s="409">
        <f>SUMIF(62:62,I8,63:63)-SUMIF(62:62,C8,63:63)+100</f>
        <v>100</v>
      </c>
      <c r="K8" s="609"/>
      <c r="L8" s="1130"/>
      <c r="M8" s="1131"/>
      <c r="N8" s="1131"/>
      <c r="O8" s="1131"/>
      <c r="P8" s="3316" t="s">
        <v>2536</v>
      </c>
      <c r="Q8" s="3261"/>
      <c r="R8" s="766" t="s">
        <v>17</v>
      </c>
      <c r="S8" s="767">
        <f t="shared" si="0"/>
        <v>100</v>
      </c>
      <c r="T8" s="766" t="s">
        <v>17</v>
      </c>
      <c r="U8" s="767">
        <f t="shared" si="1"/>
        <v>100</v>
      </c>
      <c r="V8" s="766" t="s">
        <v>17</v>
      </c>
      <c r="W8" s="767">
        <f t="shared" si="2"/>
        <v>100</v>
      </c>
      <c r="X8" s="768"/>
      <c r="Y8" s="3260" t="s">
        <v>2536</v>
      </c>
      <c r="Z8" s="3261"/>
      <c r="AA8" s="769">
        <f t="shared" ref="AA8:AA47" si="3">D8/F8</f>
        <v>1</v>
      </c>
      <c r="AB8" s="769">
        <f t="shared" ref="AB8:AB47" si="4">D8/H8</f>
        <v>1</v>
      </c>
      <c r="AC8" s="2658">
        <f t="shared" ref="AC8:AC47" si="5">D8/J8</f>
        <v>1</v>
      </c>
    </row>
    <row r="9" spans="1:29" s="116" customFormat="1">
      <c r="A9" s="413" t="s">
        <v>2537</v>
      </c>
      <c r="B9" s="71" t="s">
        <v>2538</v>
      </c>
      <c r="C9" s="2936" t="s">
        <v>3102</v>
      </c>
      <c r="D9" s="133">
        <v>100</v>
      </c>
      <c r="E9" s="417" t="s">
        <v>3101</v>
      </c>
      <c r="F9" s="133">
        <f>SUMIF(64:64,E9,65:65)-SUMIF(64:64,C9,65:65)+100</f>
        <v>100</v>
      </c>
      <c r="G9" s="415" t="s">
        <v>3101</v>
      </c>
      <c r="H9" s="133">
        <f>SUMIF(64:64,G9,65:65)-SUMIF(64:64,C9,65:65)+100</f>
        <v>100</v>
      </c>
      <c r="I9" s="415" t="s">
        <v>3101</v>
      </c>
      <c r="J9" s="133">
        <f>SUMIF(64:64,I9,65:65)-SUMIF(64:64,C9,65:65)+100</f>
        <v>100</v>
      </c>
      <c r="K9" s="609"/>
      <c r="L9" s="1130"/>
      <c r="M9" s="1131"/>
      <c r="N9" s="1131"/>
      <c r="O9" s="1131"/>
      <c r="P9" s="3298" t="s">
        <v>2539</v>
      </c>
      <c r="Q9" s="1790" t="str">
        <f t="shared" ref="Q9:Q15" si="6">B9</f>
        <v>用途</v>
      </c>
      <c r="R9" s="766" t="s">
        <v>17</v>
      </c>
      <c r="S9" s="767">
        <f t="shared" si="0"/>
        <v>100</v>
      </c>
      <c r="T9" s="766" t="s">
        <v>17</v>
      </c>
      <c r="U9" s="767">
        <f t="shared" si="1"/>
        <v>100</v>
      </c>
      <c r="V9" s="766" t="s">
        <v>17</v>
      </c>
      <c r="W9" s="767">
        <f t="shared" si="2"/>
        <v>100</v>
      </c>
      <c r="X9" s="768"/>
      <c r="Y9" s="3134" t="s">
        <v>2540</v>
      </c>
      <c r="Z9" s="55" t="str">
        <f t="shared" ref="Z9:Z15" si="7">Q9</f>
        <v>用途</v>
      </c>
      <c r="AA9" s="769">
        <f t="shared" si="3"/>
        <v>1</v>
      </c>
      <c r="AB9" s="769">
        <f t="shared" si="4"/>
        <v>1</v>
      </c>
      <c r="AC9" s="2658">
        <f t="shared" si="5"/>
        <v>1</v>
      </c>
    </row>
    <row r="10" spans="1:29" s="425" customFormat="1" ht="27">
      <c r="A10" s="419"/>
      <c r="B10" s="420" t="s">
        <v>2541</v>
      </c>
      <c r="C10" s="421" t="s">
        <v>3050</v>
      </c>
      <c r="D10" s="134">
        <v>100</v>
      </c>
      <c r="E10" s="421" t="s">
        <v>3050</v>
      </c>
      <c r="F10" s="134">
        <f>SUMIF(66:66,E10,67:67)-SUMIF(66:66,C10,67:67)+100</f>
        <v>100</v>
      </c>
      <c r="G10" s="422" t="s">
        <v>3050</v>
      </c>
      <c r="H10" s="134">
        <f>SUMIF(66:66,G10,67:67)-SUMIF(66:66,C10,67:67)+100</f>
        <v>100</v>
      </c>
      <c r="I10" s="421" t="s">
        <v>3050</v>
      </c>
      <c r="J10" s="134">
        <f>SUMIF(66:66,I10,67:67)-SUMIF(66:66,C10,67:67)+100</f>
        <v>100</v>
      </c>
      <c r="K10" s="610">
        <v>1</v>
      </c>
      <c r="L10" s="1133"/>
      <c r="M10" s="1134"/>
      <c r="N10" s="1134"/>
      <c r="O10" s="1134"/>
      <c r="P10" s="3298"/>
      <c r="Q10" s="1790" t="str">
        <f t="shared" si="6"/>
        <v>土地使用年限（年）</v>
      </c>
      <c r="R10" s="766" t="s">
        <v>17</v>
      </c>
      <c r="S10" s="767">
        <f t="shared" si="0"/>
        <v>100</v>
      </c>
      <c r="T10" s="766" t="s">
        <v>17</v>
      </c>
      <c r="U10" s="767">
        <f t="shared" si="1"/>
        <v>100</v>
      </c>
      <c r="V10" s="766" t="s">
        <v>17</v>
      </c>
      <c r="W10" s="767">
        <f t="shared" si="2"/>
        <v>100</v>
      </c>
      <c r="X10" s="768"/>
      <c r="Y10" s="3134"/>
      <c r="Z10" s="55" t="str">
        <f t="shared" si="7"/>
        <v>土地使用年限（年）</v>
      </c>
      <c r="AA10" s="769">
        <f t="shared" si="3"/>
        <v>1</v>
      </c>
      <c r="AB10" s="769">
        <f t="shared" si="4"/>
        <v>1</v>
      </c>
      <c r="AC10" s="2658">
        <f t="shared" si="5"/>
        <v>1</v>
      </c>
    </row>
    <row r="11" spans="1:29" ht="15">
      <c r="A11" s="426"/>
      <c r="B11" s="420" t="s">
        <v>2542</v>
      </c>
      <c r="C11" s="427">
        <v>0</v>
      </c>
      <c r="D11" s="134">
        <v>100</v>
      </c>
      <c r="E11" s="427">
        <v>0</v>
      </c>
      <c r="F11" s="134">
        <f>LOOKUP(E11,69:69,70:70)-LOOKUP(C11,69:69,70:70)+100</f>
        <v>100</v>
      </c>
      <c r="G11" s="428">
        <v>0</v>
      </c>
      <c r="H11" s="134">
        <f>LOOKUP(G11,69:69,70:70)-LOOKUP(C11,69:69,70:70)+100</f>
        <v>100</v>
      </c>
      <c r="I11" s="427">
        <v>0</v>
      </c>
      <c r="J11" s="134">
        <f>LOOKUP(I11,69:69,70:70)-LOOKUP(C11,69:69,70:70)+100</f>
        <v>100</v>
      </c>
      <c r="K11" s="610"/>
      <c r="L11" s="1136"/>
      <c r="M11" s="1129"/>
      <c r="N11" s="1129"/>
      <c r="O11" s="1129"/>
      <c r="P11" s="3298"/>
      <c r="Q11" s="1790" t="str">
        <f t="shared" si="6"/>
        <v>容积率</v>
      </c>
      <c r="R11" s="766" t="s">
        <v>17</v>
      </c>
      <c r="S11" s="767">
        <f t="shared" si="0"/>
        <v>100</v>
      </c>
      <c r="T11" s="766" t="s">
        <v>17</v>
      </c>
      <c r="U11" s="767">
        <f t="shared" si="1"/>
        <v>100</v>
      </c>
      <c r="V11" s="766" t="s">
        <v>17</v>
      </c>
      <c r="W11" s="767">
        <f t="shared" si="2"/>
        <v>100</v>
      </c>
      <c r="X11" s="768"/>
      <c r="Y11" s="3134"/>
      <c r="Z11" s="55" t="str">
        <f t="shared" si="7"/>
        <v>容积率</v>
      </c>
      <c r="AA11" s="769">
        <f t="shared" si="3"/>
        <v>1</v>
      </c>
      <c r="AB11" s="769">
        <f t="shared" si="4"/>
        <v>1</v>
      </c>
      <c r="AC11" s="2658">
        <f t="shared" si="5"/>
        <v>1</v>
      </c>
    </row>
    <row r="12" spans="1:29" s="116" customFormat="1" ht="15">
      <c r="A12" s="429"/>
      <c r="B12" s="2587">
        <v>111</v>
      </c>
      <c r="C12" s="430"/>
      <c r="D12" s="431">
        <v>100</v>
      </c>
      <c r="E12" s="430"/>
      <c r="F12" s="134">
        <f>SUMIF(71:71,E12,72:72)-SUMIF(71:71,C12,72:72)+100</f>
        <v>100</v>
      </c>
      <c r="G12" s="2659"/>
      <c r="H12" s="134">
        <f>SUMIF(71:71,G12,72:72)-SUMIF(71:71,C12,72:72)+100</f>
        <v>100</v>
      </c>
      <c r="I12" s="430"/>
      <c r="J12" s="134">
        <f>SUMIF(71:71,I12,72:72)-SUMIF(71:71,C12,72:72)+100</f>
        <v>100</v>
      </c>
      <c r="K12" s="611"/>
      <c r="L12" s="1130"/>
      <c r="M12" s="1131"/>
      <c r="N12" s="1131"/>
      <c r="O12" s="1131"/>
      <c r="P12" s="3298"/>
      <c r="Q12" s="1790">
        <f t="shared" si="6"/>
        <v>111</v>
      </c>
      <c r="R12" s="766" t="s">
        <v>17</v>
      </c>
      <c r="S12" s="767">
        <f t="shared" si="0"/>
        <v>100</v>
      </c>
      <c r="T12" s="766" t="s">
        <v>17</v>
      </c>
      <c r="U12" s="767">
        <f t="shared" si="1"/>
        <v>100</v>
      </c>
      <c r="V12" s="766" t="s">
        <v>17</v>
      </c>
      <c r="W12" s="767">
        <f t="shared" si="2"/>
        <v>100</v>
      </c>
      <c r="X12" s="768"/>
      <c r="Y12" s="3134"/>
      <c r="Z12" s="55">
        <f t="shared" si="7"/>
        <v>111</v>
      </c>
      <c r="AA12" s="769">
        <f>D12/F12</f>
        <v>1</v>
      </c>
      <c r="AB12" s="769">
        <f>D12/H12</f>
        <v>1</v>
      </c>
      <c r="AC12" s="2658">
        <f>D12/J12</f>
        <v>1</v>
      </c>
    </row>
    <row r="13" spans="1:29" ht="15">
      <c r="A13" s="426"/>
      <c r="B13" s="2587">
        <v>111</v>
      </c>
      <c r="C13" s="432"/>
      <c r="D13" s="433">
        <v>100</v>
      </c>
      <c r="E13" s="430"/>
      <c r="F13" s="134">
        <f>SUMIF(73:73,E13,74:74)-SUMIF(73:73,C13,74:74)+100</f>
        <v>100</v>
      </c>
      <c r="G13" s="2659"/>
      <c r="H13" s="433">
        <f>SUMIF(73:73,G13,74:74)-SUMIF(73:73,C13,74:74)+100</f>
        <v>100</v>
      </c>
      <c r="I13" s="430"/>
      <c r="J13" s="433">
        <f>SUMIF(73:73,I13,74:74)-SUMIF(73:73,C13,74:74)+100</f>
        <v>100</v>
      </c>
      <c r="K13" s="611"/>
      <c r="L13" s="1138"/>
      <c r="M13" s="1129"/>
      <c r="N13" s="1129"/>
      <c r="O13" s="1129"/>
      <c r="P13" s="3298"/>
      <c r="Q13" s="1790">
        <f t="shared" si="6"/>
        <v>111</v>
      </c>
      <c r="R13" s="766" t="s">
        <v>17</v>
      </c>
      <c r="S13" s="767">
        <f t="shared" si="0"/>
        <v>100</v>
      </c>
      <c r="T13" s="766" t="s">
        <v>17</v>
      </c>
      <c r="U13" s="767">
        <f t="shared" si="1"/>
        <v>100</v>
      </c>
      <c r="V13" s="766" t="s">
        <v>17</v>
      </c>
      <c r="W13" s="767">
        <f t="shared" si="2"/>
        <v>100</v>
      </c>
      <c r="X13" s="768"/>
      <c r="Y13" s="3134"/>
      <c r="Z13" s="55">
        <f t="shared" si="7"/>
        <v>111</v>
      </c>
      <c r="AA13" s="769">
        <f t="shared" si="3"/>
        <v>1</v>
      </c>
      <c r="AB13" s="769">
        <f t="shared" si="4"/>
        <v>1</v>
      </c>
      <c r="AC13" s="2658">
        <f t="shared" si="5"/>
        <v>1</v>
      </c>
    </row>
    <row r="14" spans="1:29" ht="15.75" thickBot="1">
      <c r="A14" s="434"/>
      <c r="B14" s="2589">
        <v>111</v>
      </c>
      <c r="C14" s="435"/>
      <c r="D14" s="436">
        <v>100</v>
      </c>
      <c r="E14" s="626"/>
      <c r="F14" s="436">
        <f>SUMIF(75:75,E14,76:76)-SUMIF(75:75,C14,76:76)+100</f>
        <v>100</v>
      </c>
      <c r="G14" s="2659"/>
      <c r="H14" s="436">
        <f>SUMIF(75:75,G14,76:76)-SUMIF(75:75,C14,76:76)+100</f>
        <v>100</v>
      </c>
      <c r="I14" s="430"/>
      <c r="J14" s="436">
        <f>SUMIF(75:75,I14,76:76)-SUMIF(75:75,C14,76:76)+100</f>
        <v>100</v>
      </c>
      <c r="K14" s="611"/>
      <c r="L14" s="1138"/>
      <c r="M14" s="1129"/>
      <c r="N14" s="1129"/>
      <c r="O14" s="1129"/>
      <c r="P14" s="3298"/>
      <c r="Q14" s="1790">
        <f t="shared" si="6"/>
        <v>111</v>
      </c>
      <c r="R14" s="766" t="s">
        <v>17</v>
      </c>
      <c r="S14" s="767">
        <f t="shared" si="0"/>
        <v>100</v>
      </c>
      <c r="T14" s="766" t="s">
        <v>17</v>
      </c>
      <c r="U14" s="767">
        <f t="shared" si="1"/>
        <v>100</v>
      </c>
      <c r="V14" s="766" t="s">
        <v>17</v>
      </c>
      <c r="W14" s="767">
        <f t="shared" si="2"/>
        <v>100</v>
      </c>
      <c r="X14" s="768"/>
      <c r="Y14" s="3134"/>
      <c r="Z14" s="55">
        <f t="shared" si="7"/>
        <v>111</v>
      </c>
      <c r="AA14" s="769">
        <f t="shared" si="3"/>
        <v>1</v>
      </c>
      <c r="AB14" s="769">
        <f t="shared" si="4"/>
        <v>1</v>
      </c>
      <c r="AC14" s="2658">
        <f t="shared" si="5"/>
        <v>1</v>
      </c>
    </row>
    <row r="15" spans="1:29" ht="15">
      <c r="A15" s="438" t="s">
        <v>2543</v>
      </c>
      <c r="B15" s="627" t="s">
        <v>2671</v>
      </c>
      <c r="C15" s="2660">
        <f>估价对象房地状况!C5</f>
        <v>0</v>
      </c>
      <c r="D15" s="439">
        <v>100</v>
      </c>
      <c r="E15" s="442"/>
      <c r="F15" s="439">
        <f>SUMIF(77:77,E16,78:78)-SUMIF(77:77,C16,78:78)+100</f>
        <v>100</v>
      </c>
      <c r="G15" s="440"/>
      <c r="H15" s="439">
        <f>SUMIF(77:77,G16,78:78)-SUMIF(77:77,C16,78:78)+100</f>
        <v>100</v>
      </c>
      <c r="I15" s="440"/>
      <c r="J15" s="439">
        <f>SUMIF(77:77,I16,78:78)-SUMIF(77:77,C16,78:78)+100</f>
        <v>100</v>
      </c>
      <c r="K15" s="612">
        <v>2</v>
      </c>
      <c r="L15" s="1138"/>
      <c r="M15" s="1129"/>
      <c r="N15" s="1129"/>
      <c r="O15" s="1129"/>
      <c r="P15" s="3317" t="s">
        <v>2544</v>
      </c>
      <c r="Q15" s="1805" t="str">
        <f t="shared" si="6"/>
        <v>办公集聚程度</v>
      </c>
      <c r="R15" s="770" t="s">
        <v>17</v>
      </c>
      <c r="S15" s="771">
        <f t="shared" si="0"/>
        <v>100</v>
      </c>
      <c r="T15" s="770" t="s">
        <v>17</v>
      </c>
      <c r="U15" s="771">
        <f t="shared" si="1"/>
        <v>100</v>
      </c>
      <c r="V15" s="770" t="s">
        <v>17</v>
      </c>
      <c r="W15" s="771">
        <f t="shared" si="2"/>
        <v>100</v>
      </c>
      <c r="X15" s="1808"/>
      <c r="Y15" s="3289" t="s">
        <v>2544</v>
      </c>
      <c r="Z15" s="1809" t="str">
        <f t="shared" si="7"/>
        <v>办公集聚程度</v>
      </c>
      <c r="AA15" s="1806">
        <f t="shared" si="3"/>
        <v>1</v>
      </c>
      <c r="AB15" s="1806">
        <f t="shared" si="4"/>
        <v>1</v>
      </c>
      <c r="AC15" s="2661">
        <f t="shared" si="5"/>
        <v>1</v>
      </c>
    </row>
    <row r="16" spans="1:29" ht="15">
      <c r="A16" s="426"/>
      <c r="B16" s="628"/>
      <c r="C16" s="2598" t="s">
        <v>3055</v>
      </c>
      <c r="D16" s="446"/>
      <c r="E16" s="445" t="s">
        <v>3055</v>
      </c>
      <c r="F16" s="446"/>
      <c r="G16" s="2598" t="s">
        <v>3055</v>
      </c>
      <c r="H16" s="448"/>
      <c r="I16" s="445" t="s">
        <v>3055</v>
      </c>
      <c r="J16" s="446"/>
      <c r="K16" s="613"/>
      <c r="L16" s="1138"/>
      <c r="M16" s="1129"/>
      <c r="N16" s="1129"/>
      <c r="O16" s="1129"/>
      <c r="P16" s="3318"/>
      <c r="Q16" s="1805"/>
      <c r="R16" s="770"/>
      <c r="S16" s="771"/>
      <c r="T16" s="770"/>
      <c r="U16" s="771"/>
      <c r="V16" s="770"/>
      <c r="W16" s="771"/>
      <c r="X16" s="1808"/>
      <c r="Y16" s="3290"/>
      <c r="Z16" s="1809"/>
      <c r="AA16" s="1806">
        <v>1</v>
      </c>
      <c r="AB16" s="1806">
        <v>1</v>
      </c>
      <c r="AC16" s="2661">
        <v>1</v>
      </c>
    </row>
    <row r="17" spans="1:29" ht="15">
      <c r="A17" s="426"/>
      <c r="B17" s="629" t="s">
        <v>2089</v>
      </c>
      <c r="C17" s="2662">
        <f>估价对象房地状况!C6</f>
        <v>0</v>
      </c>
      <c r="D17" s="448">
        <v>100</v>
      </c>
      <c r="E17" s="452"/>
      <c r="F17" s="448">
        <f>SUMIF(79:79,E18,80:80)-SUMIF(79:79,C18,80:80)+100</f>
        <v>100</v>
      </c>
      <c r="G17" s="450"/>
      <c r="H17" s="453">
        <f>SUMIF(79:79,G18,80:80)-SUMIF(79:79,C18,80:80)+100</f>
        <v>100</v>
      </c>
      <c r="I17" s="450"/>
      <c r="J17" s="453">
        <f>SUMIF(79:79,I18,80:80)-SUMIF(79:79,C18,80:80)+100</f>
        <v>100</v>
      </c>
      <c r="K17" s="612">
        <v>2</v>
      </c>
      <c r="L17" s="1138"/>
      <c r="M17" s="1129"/>
      <c r="N17" s="1129"/>
      <c r="O17" s="1129"/>
      <c r="P17" s="3318"/>
      <c r="Q17" s="1805" t="str">
        <f>B17</f>
        <v>交通便捷度</v>
      </c>
      <c r="R17" s="770" t="s">
        <v>17</v>
      </c>
      <c r="S17" s="771">
        <f>F17</f>
        <v>100</v>
      </c>
      <c r="T17" s="770" t="s">
        <v>17</v>
      </c>
      <c r="U17" s="771">
        <f>H17</f>
        <v>100</v>
      </c>
      <c r="V17" s="770" t="s">
        <v>17</v>
      </c>
      <c r="W17" s="771">
        <f>J17</f>
        <v>100</v>
      </c>
      <c r="X17" s="1808"/>
      <c r="Y17" s="3290"/>
      <c r="Z17" s="1809" t="str">
        <f>Q17</f>
        <v>交通便捷度</v>
      </c>
      <c r="AA17" s="1806">
        <f t="shared" si="3"/>
        <v>1</v>
      </c>
      <c r="AB17" s="1806">
        <f t="shared" si="4"/>
        <v>1</v>
      </c>
      <c r="AC17" s="2661">
        <f t="shared" si="5"/>
        <v>1</v>
      </c>
    </row>
    <row r="18" spans="1:29" ht="15">
      <c r="A18" s="426"/>
      <c r="B18" s="630"/>
      <c r="C18" s="2663" t="s">
        <v>3055</v>
      </c>
      <c r="D18" s="448"/>
      <c r="E18" s="2596" t="s">
        <v>3055</v>
      </c>
      <c r="F18" s="448"/>
      <c r="G18" s="2597" t="s">
        <v>3055</v>
      </c>
      <c r="H18" s="446"/>
      <c r="I18" s="2597" t="s">
        <v>3055</v>
      </c>
      <c r="J18" s="446"/>
      <c r="K18" s="613"/>
      <c r="L18" s="1138"/>
      <c r="M18" s="1129"/>
      <c r="N18" s="1129"/>
      <c r="O18" s="1129"/>
      <c r="P18" s="3318"/>
      <c r="Q18" s="1805"/>
      <c r="R18" s="770"/>
      <c r="S18" s="771"/>
      <c r="T18" s="770"/>
      <c r="U18" s="771"/>
      <c r="V18" s="770"/>
      <c r="W18" s="771"/>
      <c r="X18" s="1808"/>
      <c r="Y18" s="3290"/>
      <c r="Z18" s="1809"/>
      <c r="AA18" s="1806">
        <v>1</v>
      </c>
      <c r="AB18" s="1806">
        <v>1</v>
      </c>
      <c r="AC18" s="2661">
        <v>1</v>
      </c>
    </row>
    <row r="19" spans="1:29" ht="15">
      <c r="A19" s="426"/>
      <c r="B19" s="629" t="s">
        <v>2672</v>
      </c>
      <c r="C19" s="2662">
        <f>估价对象房地状况!C7</f>
        <v>0</v>
      </c>
      <c r="D19" s="453">
        <v>100</v>
      </c>
      <c r="E19" s="457"/>
      <c r="F19" s="453">
        <f>SUMIF(81:81,E20,82:82)-SUMIF(81:81,C20,82:82)+100</f>
        <v>100</v>
      </c>
      <c r="G19" s="455"/>
      <c r="H19" s="448">
        <f>SUMIF(81:81,G20,82:82)-SUMIF(81:81,C20,82:82)+100</f>
        <v>100</v>
      </c>
      <c r="I19" s="455"/>
      <c r="J19" s="448">
        <f>SUMIF(81:81,I20,82:82)-SUMIF(81:81,C20,82:82)+100</f>
        <v>100</v>
      </c>
      <c r="K19" s="612">
        <v>1</v>
      </c>
      <c r="L19" s="1138"/>
      <c r="M19" s="1129"/>
      <c r="N19" s="1129"/>
      <c r="O19" s="1129"/>
      <c r="P19" s="3318"/>
      <c r="Q19" s="1805" t="str">
        <f>B19</f>
        <v>公共配套设施</v>
      </c>
      <c r="R19" s="770" t="s">
        <v>17</v>
      </c>
      <c r="S19" s="771">
        <f>F19</f>
        <v>100</v>
      </c>
      <c r="T19" s="770" t="s">
        <v>17</v>
      </c>
      <c r="U19" s="771">
        <f>H19</f>
        <v>100</v>
      </c>
      <c r="V19" s="770" t="s">
        <v>17</v>
      </c>
      <c r="W19" s="771">
        <f>J19</f>
        <v>100</v>
      </c>
      <c r="X19" s="1808"/>
      <c r="Y19" s="3290"/>
      <c r="Z19" s="1809" t="str">
        <f>Q19</f>
        <v>公共配套设施</v>
      </c>
      <c r="AA19" s="1806">
        <f t="shared" si="3"/>
        <v>1</v>
      </c>
      <c r="AB19" s="1806">
        <f t="shared" si="4"/>
        <v>1</v>
      </c>
      <c r="AC19" s="2661">
        <f t="shared" si="5"/>
        <v>1</v>
      </c>
    </row>
    <row r="20" spans="1:29" ht="15">
      <c r="A20" s="426"/>
      <c r="B20" s="630"/>
      <c r="C20" s="2598" t="s">
        <v>3055</v>
      </c>
      <c r="D20" s="446"/>
      <c r="E20" s="2591" t="s">
        <v>3055</v>
      </c>
      <c r="F20" s="446"/>
      <c r="G20" s="2592" t="s">
        <v>3055</v>
      </c>
      <c r="H20" s="446"/>
      <c r="I20" s="2592" t="s">
        <v>3055</v>
      </c>
      <c r="J20" s="446"/>
      <c r="K20" s="613"/>
      <c r="L20" s="1138"/>
      <c r="M20" s="1129"/>
      <c r="N20" s="1129"/>
      <c r="O20" s="1129"/>
      <c r="P20" s="3318"/>
      <c r="Q20" s="1805"/>
      <c r="R20" s="770"/>
      <c r="S20" s="771"/>
      <c r="T20" s="770"/>
      <c r="U20" s="771"/>
      <c r="V20" s="770"/>
      <c r="W20" s="771"/>
      <c r="X20" s="1808"/>
      <c r="Y20" s="3290"/>
      <c r="Z20" s="1809"/>
      <c r="AA20" s="1806">
        <v>1</v>
      </c>
      <c r="AB20" s="1806">
        <v>1</v>
      </c>
      <c r="AC20" s="2661">
        <v>1</v>
      </c>
    </row>
    <row r="21" spans="1:29" ht="15">
      <c r="A21" s="426"/>
      <c r="B21" s="631" t="s">
        <v>2673</v>
      </c>
      <c r="C21" s="2662">
        <f>估价对象房地状况!C8</f>
        <v>0</v>
      </c>
      <c r="D21" s="448">
        <v>100</v>
      </c>
      <c r="E21" s="457"/>
      <c r="F21" s="453">
        <f>SUMIF(83:83,E22,84:84)-SUMIF(83:83,C22,84:84)+100</f>
        <v>100</v>
      </c>
      <c r="G21" s="455"/>
      <c r="H21" s="448">
        <f>SUMIF(83:83,G22,84:84)-SUMIF(83:83,C22,84:84)+100</f>
        <v>100</v>
      </c>
      <c r="I21" s="455"/>
      <c r="J21" s="448">
        <f>SUMIF(83:83,I22,84:84)-SUMIF(83:83,C22,84:84)+100</f>
        <v>100</v>
      </c>
      <c r="K21" s="612">
        <v>1</v>
      </c>
      <c r="L21" s="1138"/>
      <c r="M21" s="1129"/>
      <c r="N21" s="1129"/>
      <c r="O21" s="1129"/>
      <c r="P21" s="3318"/>
      <c r="Q21" s="1805" t="str">
        <f>B21</f>
        <v>基础设施水平</v>
      </c>
      <c r="R21" s="770" t="s">
        <v>17</v>
      </c>
      <c r="S21" s="771">
        <f>F21</f>
        <v>100</v>
      </c>
      <c r="T21" s="770" t="s">
        <v>17</v>
      </c>
      <c r="U21" s="771">
        <f>H21</f>
        <v>100</v>
      </c>
      <c r="V21" s="770" t="s">
        <v>17</v>
      </c>
      <c r="W21" s="771">
        <f>J21</f>
        <v>100</v>
      </c>
      <c r="X21" s="1808"/>
      <c r="Y21" s="3290"/>
      <c r="Z21" s="1809" t="str">
        <f>Q21</f>
        <v>基础设施水平</v>
      </c>
      <c r="AA21" s="1806">
        <f t="shared" ref="AA21" si="8">D21/F21</f>
        <v>1</v>
      </c>
      <c r="AB21" s="1806">
        <f t="shared" ref="AB21" si="9">D21/H21</f>
        <v>1</v>
      </c>
      <c r="AC21" s="2661">
        <f t="shared" ref="AC21" si="10">D21/J21</f>
        <v>1</v>
      </c>
    </row>
    <row r="22" spans="1:29" ht="15">
      <c r="A22" s="426"/>
      <c r="B22" s="631"/>
      <c r="C22" s="2663" t="s">
        <v>3100</v>
      </c>
      <c r="D22" s="446"/>
      <c r="E22" s="445" t="s">
        <v>3100</v>
      </c>
      <c r="F22" s="446"/>
      <c r="G22" s="2598" t="s">
        <v>3100</v>
      </c>
      <c r="H22" s="446"/>
      <c r="I22" s="2598" t="s">
        <v>3100</v>
      </c>
      <c r="J22" s="446"/>
      <c r="K22" s="1379"/>
      <c r="L22" s="1138"/>
      <c r="M22" s="1129"/>
      <c r="N22" s="1129"/>
      <c r="O22" s="1129"/>
      <c r="P22" s="3318"/>
      <c r="Q22" s="1805"/>
      <c r="R22" s="770"/>
      <c r="S22" s="771"/>
      <c r="T22" s="770"/>
      <c r="U22" s="771"/>
      <c r="V22" s="770"/>
      <c r="W22" s="771"/>
      <c r="X22" s="1808"/>
      <c r="Y22" s="3290"/>
      <c r="Z22" s="1809"/>
      <c r="AA22" s="1806">
        <v>1</v>
      </c>
      <c r="AB22" s="1806">
        <v>1</v>
      </c>
      <c r="AC22" s="2661">
        <v>1</v>
      </c>
    </row>
    <row r="23" spans="1:29" ht="15">
      <c r="A23" s="426"/>
      <c r="B23" s="629" t="s">
        <v>2674</v>
      </c>
      <c r="C23" s="2662">
        <f>估价对象房地状况!C9</f>
        <v>0</v>
      </c>
      <c r="D23" s="448">
        <v>100</v>
      </c>
      <c r="E23" s="452"/>
      <c r="F23" s="448">
        <f>SUMIF(85:85,E24,86:86)-SUMIF(85:85,C24,86:86)+100</f>
        <v>100</v>
      </c>
      <c r="G23" s="450"/>
      <c r="H23" s="448">
        <f>SUMIF(85:85,G24,86:86)-SUMIF(85:85,C24,86:86)+100</f>
        <v>100</v>
      </c>
      <c r="I23" s="450"/>
      <c r="J23" s="448">
        <f>SUMIF(85:85,I24,86:86)-SUMIF(85:85,C24,86:86)+100</f>
        <v>100</v>
      </c>
      <c r="K23" s="612">
        <v>1</v>
      </c>
      <c r="L23" s="1138"/>
      <c r="M23" s="1129"/>
      <c r="N23" s="1129"/>
      <c r="O23" s="1129"/>
      <c r="P23" s="3318"/>
      <c r="Q23" s="1805" t="str">
        <f>B23</f>
        <v>环境质量</v>
      </c>
      <c r="R23" s="770" t="s">
        <v>17</v>
      </c>
      <c r="S23" s="771">
        <f>F23</f>
        <v>100</v>
      </c>
      <c r="T23" s="770" t="s">
        <v>17</v>
      </c>
      <c r="U23" s="771">
        <f>H23</f>
        <v>100</v>
      </c>
      <c r="V23" s="770" t="s">
        <v>17</v>
      </c>
      <c r="W23" s="771">
        <f>J23</f>
        <v>100</v>
      </c>
      <c r="X23" s="1808"/>
      <c r="Y23" s="3290"/>
      <c r="Z23" s="1809" t="str">
        <f>Q23</f>
        <v>环境质量</v>
      </c>
      <c r="AA23" s="1806">
        <f t="shared" si="3"/>
        <v>1</v>
      </c>
      <c r="AB23" s="1806">
        <f t="shared" si="4"/>
        <v>1</v>
      </c>
      <c r="AC23" s="2661">
        <f t="shared" si="5"/>
        <v>1</v>
      </c>
    </row>
    <row r="24" spans="1:29" ht="15">
      <c r="A24" s="426"/>
      <c r="B24" s="631"/>
      <c r="C24" s="2598" t="s">
        <v>3055</v>
      </c>
      <c r="D24" s="446"/>
      <c r="E24" s="2591" t="s">
        <v>3055</v>
      </c>
      <c r="F24" s="446"/>
      <c r="G24" s="2592" t="s">
        <v>3055</v>
      </c>
      <c r="H24" s="446"/>
      <c r="I24" s="2592" t="s">
        <v>3055</v>
      </c>
      <c r="J24" s="446"/>
      <c r="K24" s="613"/>
      <c r="L24" s="1138"/>
      <c r="M24" s="1129"/>
      <c r="N24" s="1129"/>
      <c r="O24" s="1129"/>
      <c r="P24" s="3318"/>
      <c r="Q24" s="1805"/>
      <c r="R24" s="770"/>
      <c r="S24" s="771"/>
      <c r="T24" s="770"/>
      <c r="U24" s="771"/>
      <c r="V24" s="770"/>
      <c r="W24" s="771"/>
      <c r="X24" s="1808"/>
      <c r="Y24" s="3290"/>
      <c r="Z24" s="1809"/>
      <c r="AA24" s="1806">
        <v>1</v>
      </c>
      <c r="AB24" s="1806">
        <v>1</v>
      </c>
      <c r="AC24" s="2661">
        <v>1</v>
      </c>
    </row>
    <row r="25" spans="1:29" ht="27">
      <c r="A25" s="402"/>
      <c r="B25" s="629" t="s">
        <v>2675</v>
      </c>
      <c r="C25" s="2945" t="s">
        <v>3106</v>
      </c>
      <c r="D25" s="433">
        <v>100</v>
      </c>
      <c r="E25" s="2946" t="s">
        <v>3105</v>
      </c>
      <c r="F25" s="433">
        <f>SUMIF(87:87,E26,88:88)-SUMIF(87:87,C26,88:88)+100</f>
        <v>100</v>
      </c>
      <c r="G25" s="2945" t="str">
        <f>C25</f>
        <v>广场南三路</v>
      </c>
      <c r="H25" s="433">
        <f>SUMIF(87:87,G26,88:88)-SUMIF(87:87,C26,88:88)+100</f>
        <v>100</v>
      </c>
      <c r="I25" s="2946" t="str">
        <f>C25</f>
        <v>广场南三路</v>
      </c>
      <c r="J25" s="433">
        <f>SUMIF(87:87,I26,88:88)-SUMIF(87:87,C26,88:88)+100</f>
        <v>100</v>
      </c>
      <c r="K25" s="612">
        <v>2</v>
      </c>
      <c r="L25" s="1138"/>
      <c r="M25" s="1129"/>
      <c r="N25" s="1129"/>
      <c r="O25" s="1129"/>
      <c r="P25" s="3318"/>
      <c r="Q25" s="1805" t="str">
        <f>B25</f>
        <v>毗邻道路的类型与等级</v>
      </c>
      <c r="R25" s="770" t="s">
        <v>17</v>
      </c>
      <c r="S25" s="771">
        <f>F25</f>
        <v>100</v>
      </c>
      <c r="T25" s="770" t="s">
        <v>17</v>
      </c>
      <c r="U25" s="771">
        <f>H25</f>
        <v>100</v>
      </c>
      <c r="V25" s="770" t="s">
        <v>17</v>
      </c>
      <c r="W25" s="771">
        <f>J25</f>
        <v>100</v>
      </c>
      <c r="X25" s="1808"/>
      <c r="Y25" s="3290"/>
      <c r="Z25" s="1809" t="str">
        <f>Q25</f>
        <v>毗邻道路的类型与等级</v>
      </c>
      <c r="AA25" s="1806">
        <f t="shared" si="3"/>
        <v>1</v>
      </c>
      <c r="AB25" s="1806">
        <f t="shared" si="4"/>
        <v>1</v>
      </c>
      <c r="AC25" s="2661">
        <f t="shared" si="5"/>
        <v>1</v>
      </c>
    </row>
    <row r="26" spans="1:29" ht="15">
      <c r="A26" s="402"/>
      <c r="B26" s="630"/>
      <c r="C26" s="632" t="s">
        <v>3104</v>
      </c>
      <c r="D26" s="433"/>
      <c r="E26" s="614" t="s">
        <v>3104</v>
      </c>
      <c r="F26" s="433"/>
      <c r="G26" s="632" t="s">
        <v>3104</v>
      </c>
      <c r="H26" s="433"/>
      <c r="I26" s="614" t="s">
        <v>3104</v>
      </c>
      <c r="J26" s="433"/>
      <c r="K26" s="613"/>
      <c r="L26" s="1138"/>
      <c r="M26" s="1129"/>
      <c r="N26" s="1129"/>
      <c r="O26" s="1129"/>
      <c r="P26" s="3318"/>
      <c r="Q26" s="1805"/>
      <c r="R26" s="770"/>
      <c r="S26" s="771"/>
      <c r="T26" s="770"/>
      <c r="U26" s="771"/>
      <c r="V26" s="770"/>
      <c r="W26" s="771"/>
      <c r="X26" s="1808"/>
      <c r="Y26" s="3290"/>
      <c r="Z26" s="1809"/>
      <c r="AA26" s="1806">
        <v>1</v>
      </c>
      <c r="AB26" s="1806">
        <v>1</v>
      </c>
      <c r="AC26" s="2661">
        <v>1</v>
      </c>
    </row>
    <row r="27" spans="1:29" ht="15">
      <c r="A27" s="426"/>
      <c r="B27" s="630" t="s">
        <v>2643</v>
      </c>
      <c r="C27" s="632" t="s">
        <v>3109</v>
      </c>
      <c r="D27" s="433">
        <v>100</v>
      </c>
      <c r="E27" s="614" t="s">
        <v>3109</v>
      </c>
      <c r="F27" s="433">
        <f>SUMIF(89:89,E27,90:90)-SUMIF(89:89,C27,90:90)+100</f>
        <v>100</v>
      </c>
      <c r="G27" s="632" t="s">
        <v>3109</v>
      </c>
      <c r="H27" s="433">
        <f>SUMIF(89:89,G27,90:90)-SUMIF(89:89,C27,90:90)+100</f>
        <v>100</v>
      </c>
      <c r="I27" s="614" t="s">
        <v>3111</v>
      </c>
      <c r="J27" s="433">
        <f>SUMIF(89:89,I27,90:90)-SUMIF(89:89,C27,90:90)+100</f>
        <v>99</v>
      </c>
      <c r="K27" s="610">
        <v>1</v>
      </c>
      <c r="L27" s="1138"/>
      <c r="M27" s="1129"/>
      <c r="N27" s="1129"/>
      <c r="O27" s="1129"/>
      <c r="P27" s="3318"/>
      <c r="Q27" s="1805" t="str">
        <f t="shared" ref="Q27:Q47" si="11">B27</f>
        <v>楼层</v>
      </c>
      <c r="R27" s="770" t="s">
        <v>17</v>
      </c>
      <c r="S27" s="771">
        <f>F27</f>
        <v>100</v>
      </c>
      <c r="T27" s="770" t="s">
        <v>17</v>
      </c>
      <c r="U27" s="771">
        <f>H27</f>
        <v>100</v>
      </c>
      <c r="V27" s="770" t="s">
        <v>17</v>
      </c>
      <c r="W27" s="771">
        <f>J27</f>
        <v>99</v>
      </c>
      <c r="X27" s="1808"/>
      <c r="Y27" s="3290"/>
      <c r="Z27" s="1809" t="str">
        <f>Q27</f>
        <v>楼层</v>
      </c>
      <c r="AA27" s="1806">
        <f t="shared" si="3"/>
        <v>1</v>
      </c>
      <c r="AB27" s="1806">
        <f t="shared" si="4"/>
        <v>1</v>
      </c>
      <c r="AC27" s="2661">
        <f t="shared" si="5"/>
        <v>1.0101010101010102</v>
      </c>
    </row>
    <row r="28" spans="1:29" s="116" customFormat="1" ht="15">
      <c r="A28" s="429"/>
      <c r="B28" s="629" t="s">
        <v>2676</v>
      </c>
      <c r="C28" s="2664"/>
      <c r="D28" s="460">
        <v>100</v>
      </c>
      <c r="E28" s="2652"/>
      <c r="F28" s="460">
        <f>SUMIF(91:91,E28,92:92)-SUMIF(91:91,C28,92:92)+100</f>
        <v>100</v>
      </c>
      <c r="G28" s="2664"/>
      <c r="H28" s="460">
        <f>SUMIF(91:91,G28,92:92)-SUMIF(91:91,C28,92:92)+100</f>
        <v>100</v>
      </c>
      <c r="I28" s="2652"/>
      <c r="J28" s="460">
        <f>SUMIF(91:91,I28,92:92)-SUMIF(91:91,C28,92:92)+100</f>
        <v>100</v>
      </c>
      <c r="K28" s="610"/>
      <c r="L28" s="1130"/>
      <c r="M28" s="1131"/>
      <c r="N28" s="1131"/>
      <c r="O28" s="1131"/>
      <c r="P28" s="3318"/>
      <c r="Q28" s="1790" t="str">
        <f t="shared" si="11"/>
        <v>朝向</v>
      </c>
      <c r="R28" s="766" t="s">
        <v>17</v>
      </c>
      <c r="S28" s="767">
        <f>F28</f>
        <v>100</v>
      </c>
      <c r="T28" s="766" t="s">
        <v>17</v>
      </c>
      <c r="U28" s="767">
        <f>H28</f>
        <v>100</v>
      </c>
      <c r="V28" s="766" t="s">
        <v>17</v>
      </c>
      <c r="W28" s="767">
        <f>J28</f>
        <v>100</v>
      </c>
      <c r="X28" s="768"/>
      <c r="Y28" s="3290"/>
      <c r="Z28" s="55" t="str">
        <f>Q28</f>
        <v>朝向</v>
      </c>
      <c r="AA28" s="1806">
        <f>D28/F28</f>
        <v>1</v>
      </c>
      <c r="AB28" s="1806">
        <f>D28/H28</f>
        <v>1</v>
      </c>
      <c r="AC28" s="2661">
        <f>D28/J28</f>
        <v>1</v>
      </c>
    </row>
    <row r="29" spans="1:29" ht="15">
      <c r="A29" s="426"/>
      <c r="B29" s="2665">
        <v>111</v>
      </c>
      <c r="C29" s="2602"/>
      <c r="D29" s="433">
        <v>100</v>
      </c>
      <c r="E29" s="430"/>
      <c r="F29" s="433">
        <f>SUMIF(93:93,E29,94:94)-SUMIF(93:93,C29,94:94)+100</f>
        <v>100</v>
      </c>
      <c r="G29" s="2659"/>
      <c r="H29" s="433">
        <f>SUMIF(93:93,G29,94:94)-SUMIF(93:93,C29,94:94)+100</f>
        <v>100</v>
      </c>
      <c r="I29" s="430"/>
      <c r="J29" s="433">
        <f>SUMIF(93:93,I29,94:94)-SUMIF(93:93,C29,94:94)+100</f>
        <v>100</v>
      </c>
      <c r="K29" s="611"/>
      <c r="L29" s="1138"/>
      <c r="M29" s="1129"/>
      <c r="N29" s="1129"/>
      <c r="O29" s="1129"/>
      <c r="P29" s="3318"/>
      <c r="Q29" s="1805">
        <f t="shared" si="11"/>
        <v>111</v>
      </c>
      <c r="R29" s="770" t="s">
        <v>17</v>
      </c>
      <c r="S29" s="771">
        <f t="shared" ref="S29:S47" si="12">F29</f>
        <v>100</v>
      </c>
      <c r="T29" s="770" t="s">
        <v>17</v>
      </c>
      <c r="U29" s="771">
        <f t="shared" ref="U29:U47" si="13">H29</f>
        <v>100</v>
      </c>
      <c r="V29" s="770" t="s">
        <v>17</v>
      </c>
      <c r="W29" s="771">
        <f t="shared" ref="W29:W47" si="14">J29</f>
        <v>100</v>
      </c>
      <c r="X29" s="1808"/>
      <c r="Y29" s="3290"/>
      <c r="Z29" s="1809">
        <f t="shared" ref="Z29:Z47" si="15">Q29</f>
        <v>111</v>
      </c>
      <c r="AA29" s="1806">
        <f t="shared" si="3"/>
        <v>1</v>
      </c>
      <c r="AB29" s="1806">
        <f t="shared" si="4"/>
        <v>1</v>
      </c>
      <c r="AC29" s="2661">
        <f t="shared" si="5"/>
        <v>1</v>
      </c>
    </row>
    <row r="30" spans="1:29" ht="15">
      <c r="A30" s="426"/>
      <c r="B30" s="2665">
        <v>111</v>
      </c>
      <c r="C30" s="2602"/>
      <c r="D30" s="433">
        <v>100</v>
      </c>
      <c r="E30" s="430"/>
      <c r="F30" s="433">
        <f>SUMIF(95:95,E30,96:96)-SUMIF(95:95,C30,96:96)+100</f>
        <v>100</v>
      </c>
      <c r="G30" s="2659"/>
      <c r="H30" s="433">
        <f>SUMIF(95:95,G30,96:96)-SUMIF(95:95,C30,96:96)+100</f>
        <v>100</v>
      </c>
      <c r="I30" s="430"/>
      <c r="J30" s="433">
        <f>SUMIF(95:95,I30,96:96)-SUMIF(95:95,C30,96:96)+100</f>
        <v>100</v>
      </c>
      <c r="K30" s="611"/>
      <c r="L30" s="1138"/>
      <c r="M30" s="1129"/>
      <c r="N30" s="1129"/>
      <c r="O30" s="1129"/>
      <c r="P30" s="3318"/>
      <c r="Q30" s="1805">
        <f t="shared" si="11"/>
        <v>111</v>
      </c>
      <c r="R30" s="770" t="s">
        <v>17</v>
      </c>
      <c r="S30" s="771">
        <f t="shared" si="12"/>
        <v>100</v>
      </c>
      <c r="T30" s="770" t="s">
        <v>17</v>
      </c>
      <c r="U30" s="771">
        <f t="shared" si="13"/>
        <v>100</v>
      </c>
      <c r="V30" s="770" t="s">
        <v>17</v>
      </c>
      <c r="W30" s="771">
        <f t="shared" si="14"/>
        <v>100</v>
      </c>
      <c r="X30" s="1808"/>
      <c r="Y30" s="3290"/>
      <c r="Z30" s="1809">
        <f t="shared" si="15"/>
        <v>111</v>
      </c>
      <c r="AA30" s="1806">
        <f t="shared" si="3"/>
        <v>1</v>
      </c>
      <c r="AB30" s="1806">
        <f t="shared" si="4"/>
        <v>1</v>
      </c>
      <c r="AC30" s="2661">
        <f t="shared" si="5"/>
        <v>1</v>
      </c>
    </row>
    <row r="31" spans="1:29" ht="15">
      <c r="A31" s="426"/>
      <c r="B31" s="2665">
        <v>111</v>
      </c>
      <c r="C31" s="2602"/>
      <c r="D31" s="433">
        <v>100</v>
      </c>
      <c r="E31" s="430"/>
      <c r="F31" s="433">
        <f>SUMIF(97:97,E31,98:98)-SUMIF(97:97,C31,98:98)+100</f>
        <v>100</v>
      </c>
      <c r="G31" s="2659"/>
      <c r="H31" s="433">
        <f>SUMIF(97:97,G31,98:98)-SUMIF(97:97,C31,98:98)+100</f>
        <v>100</v>
      </c>
      <c r="I31" s="430"/>
      <c r="J31" s="433">
        <f>SUMIF(97:97,I31,98:98)-SUMIF(97:97,C31,98:98)+100</f>
        <v>100</v>
      </c>
      <c r="K31" s="611"/>
      <c r="L31" s="1138"/>
      <c r="M31" s="1129"/>
      <c r="N31" s="1129"/>
      <c r="O31" s="1129"/>
      <c r="P31" s="3318"/>
      <c r="Q31" s="1805">
        <f t="shared" si="11"/>
        <v>111</v>
      </c>
      <c r="R31" s="770" t="s">
        <v>17</v>
      </c>
      <c r="S31" s="771">
        <f t="shared" si="12"/>
        <v>100</v>
      </c>
      <c r="T31" s="770" t="s">
        <v>17</v>
      </c>
      <c r="U31" s="771">
        <f t="shared" si="13"/>
        <v>100</v>
      </c>
      <c r="V31" s="770" t="s">
        <v>17</v>
      </c>
      <c r="W31" s="771">
        <f t="shared" si="14"/>
        <v>100</v>
      </c>
      <c r="X31" s="1808"/>
      <c r="Y31" s="3290"/>
      <c r="Z31" s="1809">
        <f t="shared" si="15"/>
        <v>111</v>
      </c>
      <c r="AA31" s="1806">
        <f t="shared" si="3"/>
        <v>1</v>
      </c>
      <c r="AB31" s="1806">
        <f t="shared" si="4"/>
        <v>1</v>
      </c>
      <c r="AC31" s="2661">
        <f t="shared" si="5"/>
        <v>1</v>
      </c>
    </row>
    <row r="32" spans="1:29" ht="15.75" thickBot="1">
      <c r="A32" s="434"/>
      <c r="B32" s="633">
        <v>111</v>
      </c>
      <c r="C32" s="2603"/>
      <c r="D32" s="436">
        <v>100</v>
      </c>
      <c r="E32" s="626"/>
      <c r="F32" s="436">
        <f>SUMIF(99:99,E32,100:100)-SUMIF(99:99,C32,100:100)+100</f>
        <v>100</v>
      </c>
      <c r="G32" s="2659"/>
      <c r="H32" s="436">
        <f>SUMIF(99:99,G32,100:100)-SUMIF(99:99,C32,100:100)+100</f>
        <v>100</v>
      </c>
      <c r="I32" s="430"/>
      <c r="J32" s="436">
        <f>SUMIF(99:99,I32,100:100)-SUMIF(99:99,C32,100:100)+100</f>
        <v>100</v>
      </c>
      <c r="K32" s="611"/>
      <c r="L32" s="1138"/>
      <c r="M32" s="1129"/>
      <c r="N32" s="1129"/>
      <c r="O32" s="1129"/>
      <c r="P32" s="3318"/>
      <c r="Q32" s="1805">
        <f t="shared" si="11"/>
        <v>111</v>
      </c>
      <c r="R32" s="770" t="s">
        <v>17</v>
      </c>
      <c r="S32" s="771">
        <f t="shared" si="12"/>
        <v>100</v>
      </c>
      <c r="T32" s="770" t="s">
        <v>17</v>
      </c>
      <c r="U32" s="771">
        <f t="shared" si="13"/>
        <v>100</v>
      </c>
      <c r="V32" s="770" t="s">
        <v>17</v>
      </c>
      <c r="W32" s="771">
        <f t="shared" si="14"/>
        <v>100</v>
      </c>
      <c r="X32" s="1808"/>
      <c r="Y32" s="3290"/>
      <c r="Z32" s="1809">
        <f t="shared" si="15"/>
        <v>111</v>
      </c>
      <c r="AA32" s="1806">
        <f t="shared" si="3"/>
        <v>1</v>
      </c>
      <c r="AB32" s="1806">
        <f t="shared" si="4"/>
        <v>1</v>
      </c>
      <c r="AC32" s="2661">
        <f t="shared" si="5"/>
        <v>1</v>
      </c>
    </row>
    <row r="33" spans="1:29" ht="15">
      <c r="A33" s="438" t="s">
        <v>2547</v>
      </c>
      <c r="B33" s="71" t="s">
        <v>2677</v>
      </c>
      <c r="C33" s="2666" t="s">
        <v>3077</v>
      </c>
      <c r="D33" s="465">
        <v>100</v>
      </c>
      <c r="E33" s="2666" t="s">
        <v>3077</v>
      </c>
      <c r="F33" s="459">
        <f>SUMIF(101:101,E33,102:102)-SUMIF(101:101,C33,102:102)+100</f>
        <v>100</v>
      </c>
      <c r="G33" s="2666" t="s">
        <v>3077</v>
      </c>
      <c r="H33" s="433">
        <f>SUMIF(101:101,G33,102:102)-SUMIF(101:101,C33,102:102)+100</f>
        <v>100</v>
      </c>
      <c r="I33" s="2666" t="s">
        <v>3077</v>
      </c>
      <c r="J33" s="465">
        <f>SUMIF(101:101,I33,102:102)-SUMIF(101:101,C33,102:102)+100</f>
        <v>100</v>
      </c>
      <c r="K33" s="610">
        <v>1</v>
      </c>
      <c r="L33" s="1138"/>
      <c r="M33" s="1129"/>
      <c r="N33" s="1129"/>
      <c r="O33" s="1129"/>
      <c r="P33" s="3319" t="s">
        <v>2549</v>
      </c>
      <c r="Q33" s="1805" t="str">
        <f t="shared" si="11"/>
        <v>建筑类型</v>
      </c>
      <c r="R33" s="770" t="s">
        <v>17</v>
      </c>
      <c r="S33" s="771">
        <f t="shared" si="12"/>
        <v>100</v>
      </c>
      <c r="T33" s="770" t="s">
        <v>17</v>
      </c>
      <c r="U33" s="771">
        <f t="shared" si="13"/>
        <v>100</v>
      </c>
      <c r="V33" s="770" t="s">
        <v>17</v>
      </c>
      <c r="W33" s="771">
        <f t="shared" si="14"/>
        <v>100</v>
      </c>
      <c r="X33" s="1808"/>
      <c r="Y33" s="3292" t="s">
        <v>2549</v>
      </c>
      <c r="Z33" s="1809" t="str">
        <f t="shared" si="15"/>
        <v>建筑类型</v>
      </c>
      <c r="AA33" s="1806">
        <f t="shared" si="3"/>
        <v>1</v>
      </c>
      <c r="AB33" s="1806">
        <f t="shared" si="4"/>
        <v>1</v>
      </c>
      <c r="AC33" s="2661">
        <f t="shared" si="5"/>
        <v>1</v>
      </c>
    </row>
    <row r="34" spans="1:29" s="469" customFormat="1" ht="15">
      <c r="A34" s="466"/>
      <c r="B34" s="420" t="s">
        <v>2550</v>
      </c>
      <c r="C34" s="467">
        <v>1921.93</v>
      </c>
      <c r="D34" s="134">
        <v>100</v>
      </c>
      <c r="E34" s="428">
        <f>E42</f>
        <v>1637</v>
      </c>
      <c r="F34" s="423">
        <f>LOOKUP(E34,104:104,105:105)-LOOKUP(C34,104:104,105:105)+100</f>
        <v>100</v>
      </c>
      <c r="G34" s="427">
        <f>G45</f>
        <v>2160</v>
      </c>
      <c r="H34" s="134">
        <f>LOOKUP(G34,104:104,105:105)-LOOKUP(C34,104:104,105:105)+100</f>
        <v>98</v>
      </c>
      <c r="I34" s="427">
        <f>I45</f>
        <v>1580</v>
      </c>
      <c r="J34" s="134">
        <f>LOOKUP(I34,104:104,105:105)-LOOKUP(C34,104:104,105:105)+100</f>
        <v>100</v>
      </c>
      <c r="K34" s="611"/>
      <c r="L34" s="1136"/>
      <c r="M34" s="1139"/>
      <c r="N34" s="1139"/>
      <c r="O34" s="1139"/>
      <c r="P34" s="3320"/>
      <c r="Q34" s="772" t="str">
        <f t="shared" si="11"/>
        <v>项目建筑规模</v>
      </c>
      <c r="R34" s="773" t="s">
        <v>17</v>
      </c>
      <c r="S34" s="774">
        <f t="shared" si="12"/>
        <v>100</v>
      </c>
      <c r="T34" s="773" t="s">
        <v>17</v>
      </c>
      <c r="U34" s="774">
        <f t="shared" si="13"/>
        <v>98</v>
      </c>
      <c r="V34" s="773" t="s">
        <v>17</v>
      </c>
      <c r="W34" s="774">
        <f t="shared" si="14"/>
        <v>100</v>
      </c>
      <c r="X34" s="775"/>
      <c r="Y34" s="3292"/>
      <c r="Z34" s="776" t="str">
        <f t="shared" si="15"/>
        <v>项目建筑规模</v>
      </c>
      <c r="AA34" s="1806">
        <f t="shared" si="3"/>
        <v>1</v>
      </c>
      <c r="AB34" s="1806">
        <f t="shared" si="4"/>
        <v>1.0204081632653061</v>
      </c>
      <c r="AC34" s="2661">
        <f t="shared" si="5"/>
        <v>1</v>
      </c>
    </row>
    <row r="35" spans="1:29" ht="15">
      <c r="A35" s="470"/>
      <c r="B35" s="420" t="s">
        <v>2551</v>
      </c>
      <c r="C35" s="458" t="s">
        <v>3043</v>
      </c>
      <c r="D35" s="433">
        <v>100</v>
      </c>
      <c r="E35" s="458" t="s">
        <v>3043</v>
      </c>
      <c r="F35" s="459">
        <f>SUMIF(106:106,E35,107:107)-SUMIF(106:106,C35,107:107)+100</f>
        <v>100</v>
      </c>
      <c r="G35" s="458" t="s">
        <v>3043</v>
      </c>
      <c r="H35" s="433">
        <f>SUMIF(106:106,G35,107:107)-SUMIF(106:106,C35,107:107)+100</f>
        <v>100</v>
      </c>
      <c r="I35" s="458" t="s">
        <v>3043</v>
      </c>
      <c r="J35" s="433">
        <f>SUMIF(106:106,I35,107:107)-SUMIF(106:106,C35,107:107)+100</f>
        <v>100</v>
      </c>
      <c r="K35" s="610">
        <v>1</v>
      </c>
      <c r="L35" s="1138"/>
      <c r="M35" s="1129"/>
      <c r="N35" s="1129"/>
      <c r="O35" s="1129"/>
      <c r="P35" s="3320"/>
      <c r="Q35" s="1805" t="str">
        <f t="shared" si="11"/>
        <v>建筑结构</v>
      </c>
      <c r="R35" s="770" t="s">
        <v>17</v>
      </c>
      <c r="S35" s="771">
        <f t="shared" si="12"/>
        <v>100</v>
      </c>
      <c r="T35" s="770" t="s">
        <v>17</v>
      </c>
      <c r="U35" s="771">
        <f t="shared" si="13"/>
        <v>100</v>
      </c>
      <c r="V35" s="770" t="s">
        <v>17</v>
      </c>
      <c r="W35" s="771">
        <f t="shared" si="14"/>
        <v>100</v>
      </c>
      <c r="X35" s="1808"/>
      <c r="Y35" s="3292"/>
      <c r="Z35" s="1809" t="str">
        <f t="shared" si="15"/>
        <v>建筑结构</v>
      </c>
      <c r="AA35" s="1806">
        <f t="shared" si="3"/>
        <v>1</v>
      </c>
      <c r="AB35" s="1806">
        <f t="shared" si="4"/>
        <v>1</v>
      </c>
      <c r="AC35" s="2661">
        <f t="shared" si="5"/>
        <v>1</v>
      </c>
    </row>
    <row r="36" spans="1:29" ht="15">
      <c r="A36" s="470"/>
      <c r="B36" s="420" t="s">
        <v>2645</v>
      </c>
      <c r="C36" s="458" t="s">
        <v>3066</v>
      </c>
      <c r="D36" s="433">
        <v>100</v>
      </c>
      <c r="E36" s="458" t="s">
        <v>3066</v>
      </c>
      <c r="F36" s="459">
        <f>SUMIF(108:108,E36,109:109)-SUMIF(108:108,C36,109:109)+100</f>
        <v>100</v>
      </c>
      <c r="G36" s="458" t="s">
        <v>3066</v>
      </c>
      <c r="H36" s="433">
        <f>SUMIF(108:108,G36,109:109)-SUMIF(108:108,C36,109:109)+100</f>
        <v>100</v>
      </c>
      <c r="I36" s="458" t="s">
        <v>3125</v>
      </c>
      <c r="J36" s="433">
        <f>SUMIF(108:108,I36,109:109)-SUMIF(108:108,C36,109:109)+100</f>
        <v>98</v>
      </c>
      <c r="K36" s="610">
        <v>2</v>
      </c>
      <c r="L36" s="1138"/>
      <c r="M36" s="1129"/>
      <c r="N36" s="1129"/>
      <c r="O36" s="1129"/>
      <c r="P36" s="3320"/>
      <c r="Q36" s="1805" t="str">
        <f t="shared" si="11"/>
        <v>公共部分装修</v>
      </c>
      <c r="R36" s="770" t="s">
        <v>17</v>
      </c>
      <c r="S36" s="771">
        <f t="shared" si="12"/>
        <v>100</v>
      </c>
      <c r="T36" s="770" t="s">
        <v>17</v>
      </c>
      <c r="U36" s="771">
        <f t="shared" si="13"/>
        <v>100</v>
      </c>
      <c r="V36" s="770" t="s">
        <v>17</v>
      </c>
      <c r="W36" s="771">
        <f t="shared" si="14"/>
        <v>98</v>
      </c>
      <c r="X36" s="1808"/>
      <c r="Y36" s="3292"/>
      <c r="Z36" s="1809" t="str">
        <f t="shared" si="15"/>
        <v>公共部分装修</v>
      </c>
      <c r="AA36" s="1806">
        <f t="shared" si="3"/>
        <v>1</v>
      </c>
      <c r="AB36" s="1806">
        <f t="shared" si="4"/>
        <v>1</v>
      </c>
      <c r="AC36" s="2661">
        <f t="shared" si="5"/>
        <v>1.0204081632653061</v>
      </c>
    </row>
    <row r="37" spans="1:29" ht="15">
      <c r="A37" s="470"/>
      <c r="B37" s="420" t="s">
        <v>2646</v>
      </c>
      <c r="C37" s="3009">
        <f>'数据-取费表'!N6</f>
        <v>0.05</v>
      </c>
      <c r="D37" s="433">
        <v>100</v>
      </c>
      <c r="E37" s="3009">
        <f>C37</f>
        <v>0.05</v>
      </c>
      <c r="F37" s="459" t="e">
        <f>LOOKUP(E37,111:111,112:112)-LOOKUP(C37,111:111,112:112)+100</f>
        <v>#N/A</v>
      </c>
      <c r="G37" s="3009">
        <f>C37</f>
        <v>0.05</v>
      </c>
      <c r="H37" s="459" t="e">
        <f>LOOKUP(G37,111:111,112:112)-LOOKUP(C37,111:111,112:112)+100</f>
        <v>#N/A</v>
      </c>
      <c r="I37" s="3010">
        <f>C37</f>
        <v>0.05</v>
      </c>
      <c r="J37" s="433" t="e">
        <f>LOOKUP(I37,111:111,112:112)-LOOKUP(C37,111:111,112:112)+100</f>
        <v>#N/A</v>
      </c>
      <c r="K37" s="610">
        <v>3</v>
      </c>
      <c r="L37" s="1138"/>
      <c r="M37" s="1129"/>
      <c r="N37" s="1129"/>
      <c r="O37" s="1129"/>
      <c r="P37" s="3320"/>
      <c r="Q37" s="1805" t="str">
        <f t="shared" si="11"/>
        <v>成新度</v>
      </c>
      <c r="R37" s="770" t="s">
        <v>17</v>
      </c>
      <c r="S37" s="771" t="e">
        <f t="shared" si="12"/>
        <v>#N/A</v>
      </c>
      <c r="T37" s="770" t="s">
        <v>17</v>
      </c>
      <c r="U37" s="771" t="e">
        <f t="shared" si="13"/>
        <v>#N/A</v>
      </c>
      <c r="V37" s="770" t="s">
        <v>17</v>
      </c>
      <c r="W37" s="771" t="e">
        <f t="shared" si="14"/>
        <v>#N/A</v>
      </c>
      <c r="X37" s="1808"/>
      <c r="Y37" s="3292"/>
      <c r="Z37" s="1809" t="str">
        <f t="shared" si="15"/>
        <v>成新度</v>
      </c>
      <c r="AA37" s="1806" t="e">
        <f t="shared" si="3"/>
        <v>#N/A</v>
      </c>
      <c r="AB37" s="1806" t="e">
        <f t="shared" si="4"/>
        <v>#N/A</v>
      </c>
      <c r="AC37" s="2661" t="e">
        <f t="shared" si="5"/>
        <v>#N/A</v>
      </c>
    </row>
    <row r="38" spans="1:29" s="116" customFormat="1" ht="15">
      <c r="A38" s="471"/>
      <c r="B38" s="420" t="s">
        <v>2678</v>
      </c>
      <c r="C38" s="458" t="s">
        <v>3074</v>
      </c>
      <c r="D38" s="134">
        <v>100</v>
      </c>
      <c r="E38" s="458" t="s">
        <v>3074</v>
      </c>
      <c r="F38" s="459">
        <f>SUMIF(113:113,E38,114:114)-SUMIF(113:113,C38,114:114)+100</f>
        <v>100</v>
      </c>
      <c r="G38" s="458" t="s">
        <v>3074</v>
      </c>
      <c r="H38" s="433">
        <f>SUMIF(113:113,G38,114:114)-SUMIF(113:113,C38,114:114)+100</f>
        <v>100</v>
      </c>
      <c r="I38" s="458" t="s">
        <v>3074</v>
      </c>
      <c r="J38" s="433">
        <f>SUMIF(113:113,I38,114:114)-SUMIF(113:113,C38,114:114)+100</f>
        <v>100</v>
      </c>
      <c r="K38" s="610"/>
      <c r="L38" s="1130"/>
      <c r="M38" s="1131"/>
      <c r="N38" s="1131"/>
      <c r="O38" s="1131"/>
      <c r="P38" s="3320"/>
      <c r="Q38" s="1790" t="str">
        <f t="shared" si="11"/>
        <v>写字楼等级</v>
      </c>
      <c r="R38" s="766" t="s">
        <v>17</v>
      </c>
      <c r="S38" s="767">
        <f t="shared" si="12"/>
        <v>100</v>
      </c>
      <c r="T38" s="766" t="s">
        <v>17</v>
      </c>
      <c r="U38" s="767">
        <f t="shared" si="13"/>
        <v>100</v>
      </c>
      <c r="V38" s="766" t="s">
        <v>17</v>
      </c>
      <c r="W38" s="767">
        <f t="shared" si="14"/>
        <v>100</v>
      </c>
      <c r="X38" s="768"/>
      <c r="Y38" s="3292"/>
      <c r="Z38" s="55" t="str">
        <f t="shared" si="15"/>
        <v>写字楼等级</v>
      </c>
      <c r="AA38" s="769">
        <f t="shared" si="3"/>
        <v>1</v>
      </c>
      <c r="AB38" s="769">
        <f t="shared" si="4"/>
        <v>1</v>
      </c>
      <c r="AC38" s="2658">
        <f t="shared" si="5"/>
        <v>1</v>
      </c>
    </row>
    <row r="39" spans="1:29" ht="15">
      <c r="A39" s="470"/>
      <c r="B39" s="420" t="s">
        <v>2679</v>
      </c>
      <c r="C39" s="458" t="s">
        <v>3069</v>
      </c>
      <c r="D39" s="433">
        <v>100</v>
      </c>
      <c r="E39" s="458" t="s">
        <v>3069</v>
      </c>
      <c r="F39" s="459">
        <f>SUMIF(115:115,E39,116:116)-SUMIF(115:115,C39,116:116)+100</f>
        <v>100</v>
      </c>
      <c r="G39" s="458" t="s">
        <v>3069</v>
      </c>
      <c r="H39" s="433">
        <f>SUMIF(115:115,G39,116:116)-SUMIF(115:115,C39,116:116)+100</f>
        <v>100</v>
      </c>
      <c r="I39" s="458" t="s">
        <v>3069</v>
      </c>
      <c r="J39" s="433">
        <f>SUMIF(115:115,I39,116:116)-SUMIF(115:115,C39,116:116)+100</f>
        <v>100</v>
      </c>
      <c r="K39" s="610">
        <v>1</v>
      </c>
      <c r="L39" s="1138"/>
      <c r="M39" s="1129"/>
      <c r="N39" s="1129"/>
      <c r="O39" s="1129"/>
      <c r="P39" s="3320" t="s">
        <v>2549</v>
      </c>
      <c r="Q39" s="1805" t="str">
        <f t="shared" si="11"/>
        <v>物业管理</v>
      </c>
      <c r="R39" s="770" t="s">
        <v>17</v>
      </c>
      <c r="S39" s="771">
        <f t="shared" si="12"/>
        <v>100</v>
      </c>
      <c r="T39" s="770" t="s">
        <v>17</v>
      </c>
      <c r="U39" s="771">
        <f t="shared" si="13"/>
        <v>100</v>
      </c>
      <c r="V39" s="770" t="s">
        <v>17</v>
      </c>
      <c r="W39" s="771">
        <f t="shared" si="14"/>
        <v>100</v>
      </c>
      <c r="X39" s="1808"/>
      <c r="Y39" s="3292" t="s">
        <v>2549</v>
      </c>
      <c r="Z39" s="1809" t="str">
        <f t="shared" si="15"/>
        <v>物业管理</v>
      </c>
      <c r="AA39" s="1806">
        <f t="shared" si="3"/>
        <v>1</v>
      </c>
      <c r="AB39" s="1806">
        <f t="shared" si="4"/>
        <v>1</v>
      </c>
      <c r="AC39" s="2661">
        <f t="shared" si="5"/>
        <v>1</v>
      </c>
    </row>
    <row r="40" spans="1:29" ht="15">
      <c r="A40" s="470"/>
      <c r="B40" s="420" t="s">
        <v>2647</v>
      </c>
      <c r="C40" s="458" t="s">
        <v>3100</v>
      </c>
      <c r="D40" s="433">
        <v>100</v>
      </c>
      <c r="E40" s="458" t="s">
        <v>3100</v>
      </c>
      <c r="F40" s="459">
        <f>SUMIF(117:117,E40,118:118)-SUMIF(117:117,C40,118:118)+100</f>
        <v>100</v>
      </c>
      <c r="G40" s="458" t="s">
        <v>3100</v>
      </c>
      <c r="H40" s="433">
        <f>SUMIF(117:117,G40,118:118)-SUMIF(117:117,C40,118:118)+100</f>
        <v>100</v>
      </c>
      <c r="I40" s="458" t="s">
        <v>3100</v>
      </c>
      <c r="J40" s="433">
        <f>SUMIF(117:117,I40,118:118)-SUMIF(117:117,C40,118:118)+100</f>
        <v>100</v>
      </c>
      <c r="K40" s="610">
        <v>1</v>
      </c>
      <c r="L40" s="1138"/>
      <c r="M40" s="1129"/>
      <c r="N40" s="1129"/>
      <c r="O40" s="1129"/>
      <c r="P40" s="3320"/>
      <c r="Q40" s="1805" t="str">
        <f t="shared" si="11"/>
        <v>市政基础设施</v>
      </c>
      <c r="R40" s="770" t="s">
        <v>17</v>
      </c>
      <c r="S40" s="771">
        <f t="shared" si="12"/>
        <v>100</v>
      </c>
      <c r="T40" s="770" t="s">
        <v>17</v>
      </c>
      <c r="U40" s="771">
        <f t="shared" si="13"/>
        <v>100</v>
      </c>
      <c r="V40" s="770" t="s">
        <v>17</v>
      </c>
      <c r="W40" s="771">
        <f t="shared" si="14"/>
        <v>100</v>
      </c>
      <c r="X40" s="1808"/>
      <c r="Y40" s="3292"/>
      <c r="Z40" s="1809" t="str">
        <f t="shared" si="15"/>
        <v>市政基础设施</v>
      </c>
      <c r="AA40" s="1806">
        <f t="shared" si="3"/>
        <v>1</v>
      </c>
      <c r="AB40" s="1806">
        <f t="shared" si="4"/>
        <v>1</v>
      </c>
      <c r="AC40" s="2661">
        <f t="shared" si="5"/>
        <v>1</v>
      </c>
    </row>
    <row r="41" spans="1:29" ht="15">
      <c r="A41" s="470"/>
      <c r="B41" s="420" t="s">
        <v>2649</v>
      </c>
      <c r="C41" s="614" t="s">
        <v>3086</v>
      </c>
      <c r="D41" s="433">
        <v>100</v>
      </c>
      <c r="E41" s="614" t="s">
        <v>3086</v>
      </c>
      <c r="F41" s="459">
        <f>SUMIF(119:119,E41,120:120)-SUMIF(119:119,C41,120:120)+100</f>
        <v>100</v>
      </c>
      <c r="G41" s="614" t="s">
        <v>3086</v>
      </c>
      <c r="H41" s="433">
        <f>SUMIF(119:119,G41,120:120)-SUMIF(119:119,C41,120:120)+100</f>
        <v>100</v>
      </c>
      <c r="I41" s="614" t="s">
        <v>3086</v>
      </c>
      <c r="J41" s="433">
        <f>SUMIF(119:119,I41,120:120)-SUMIF(119:119,C41,120:120)+100</f>
        <v>100</v>
      </c>
      <c r="K41" s="610">
        <v>1</v>
      </c>
      <c r="L41" s="1138"/>
      <c r="M41" s="1129"/>
      <c r="N41" s="1129"/>
      <c r="O41" s="1129"/>
      <c r="P41" s="3320"/>
      <c r="Q41" s="1805" t="str">
        <f t="shared" si="11"/>
        <v>层高</v>
      </c>
      <c r="R41" s="770" t="s">
        <v>17</v>
      </c>
      <c r="S41" s="771">
        <f t="shared" si="12"/>
        <v>100</v>
      </c>
      <c r="T41" s="770" t="s">
        <v>17</v>
      </c>
      <c r="U41" s="771">
        <f t="shared" si="13"/>
        <v>100</v>
      </c>
      <c r="V41" s="770" t="s">
        <v>17</v>
      </c>
      <c r="W41" s="771">
        <f t="shared" si="14"/>
        <v>100</v>
      </c>
      <c r="X41" s="1808"/>
      <c r="Y41" s="3292"/>
      <c r="Z41" s="1809" t="str">
        <f t="shared" si="15"/>
        <v>层高</v>
      </c>
      <c r="AA41" s="1806">
        <f t="shared" si="3"/>
        <v>1</v>
      </c>
      <c r="AB41" s="1806">
        <f t="shared" si="4"/>
        <v>1</v>
      </c>
      <c r="AC41" s="2661">
        <f t="shared" si="5"/>
        <v>1</v>
      </c>
    </row>
    <row r="42" spans="1:29" s="469" customFormat="1" ht="15">
      <c r="A42" s="466"/>
      <c r="B42" s="1807" t="s">
        <v>2680</v>
      </c>
      <c r="C42" s="432">
        <f>C34</f>
        <v>1921.93</v>
      </c>
      <c r="D42" s="433">
        <v>100</v>
      </c>
      <c r="E42" s="432">
        <f>E45</f>
        <v>1637</v>
      </c>
      <c r="F42" s="459">
        <f>SUMIF(121:121,E42,122:122)-SUMIF(121:121,C42,122:122)+100</f>
        <v>100</v>
      </c>
      <c r="G42" s="432">
        <f>G45</f>
        <v>2160</v>
      </c>
      <c r="H42" s="433">
        <f>SUMIF(121:121,G42,122:122)-SUMIF(121:121,C42,122:122)+100</f>
        <v>100</v>
      </c>
      <c r="I42" s="432">
        <f>I45</f>
        <v>1580</v>
      </c>
      <c r="J42" s="433">
        <f>SUMIF(121:121,I42,122:122)-SUMIF(121:121,C42,122:122)+100</f>
        <v>100</v>
      </c>
      <c r="K42" s="611"/>
      <c r="L42" s="1136"/>
      <c r="M42" s="1139"/>
      <c r="N42" s="1139"/>
      <c r="O42" s="1139"/>
      <c r="P42" s="3320"/>
      <c r="Q42" s="772" t="str">
        <f t="shared" si="11"/>
        <v>单套建筑面积</v>
      </c>
      <c r="R42" s="773" t="s">
        <v>17</v>
      </c>
      <c r="S42" s="774">
        <f t="shared" si="12"/>
        <v>100</v>
      </c>
      <c r="T42" s="773" t="s">
        <v>17</v>
      </c>
      <c r="U42" s="774">
        <f t="shared" si="13"/>
        <v>100</v>
      </c>
      <c r="V42" s="773" t="s">
        <v>17</v>
      </c>
      <c r="W42" s="774">
        <f t="shared" si="14"/>
        <v>100</v>
      </c>
      <c r="X42" s="775"/>
      <c r="Y42" s="3292"/>
      <c r="Z42" s="776" t="str">
        <f t="shared" si="15"/>
        <v>单套建筑面积</v>
      </c>
      <c r="AA42" s="1806">
        <f t="shared" si="3"/>
        <v>1</v>
      </c>
      <c r="AB42" s="1806">
        <f t="shared" si="4"/>
        <v>1</v>
      </c>
      <c r="AC42" s="2661">
        <f t="shared" si="5"/>
        <v>1</v>
      </c>
    </row>
    <row r="43" spans="1:29" ht="15">
      <c r="A43" s="470"/>
      <c r="B43" s="420" t="s">
        <v>2652</v>
      </c>
      <c r="C43" s="458" t="s">
        <v>3125</v>
      </c>
      <c r="D43" s="433">
        <v>100</v>
      </c>
      <c r="E43" s="458" t="s">
        <v>3066</v>
      </c>
      <c r="F43" s="459">
        <f>SUMIF(123:123,E43,124:124)-SUMIF(123:123,C43,124:124)+100</f>
        <v>101</v>
      </c>
      <c r="G43" s="458" t="s">
        <v>3066</v>
      </c>
      <c r="H43" s="433">
        <f>SUMIF(123:123,G43,124:124)-SUMIF(123:123,C43,124:124)+100</f>
        <v>101</v>
      </c>
      <c r="I43" s="458" t="s">
        <v>3115</v>
      </c>
      <c r="J43" s="433">
        <f>SUMIF(123:123,I43,124:124)-SUMIF(123:123,C43,124:124)+100</f>
        <v>98</v>
      </c>
      <c r="K43" s="610">
        <v>1</v>
      </c>
      <c r="L43" s="1138"/>
      <c r="M43" s="1129"/>
      <c r="N43" s="1129"/>
      <c r="O43" s="1129"/>
      <c r="P43" s="3320"/>
      <c r="Q43" s="1805" t="str">
        <f t="shared" si="11"/>
        <v>内部装修</v>
      </c>
      <c r="R43" s="770" t="s">
        <v>17</v>
      </c>
      <c r="S43" s="771">
        <f t="shared" si="12"/>
        <v>101</v>
      </c>
      <c r="T43" s="770" t="s">
        <v>17</v>
      </c>
      <c r="U43" s="771">
        <f t="shared" si="13"/>
        <v>101</v>
      </c>
      <c r="V43" s="770" t="s">
        <v>17</v>
      </c>
      <c r="W43" s="771">
        <f t="shared" si="14"/>
        <v>98</v>
      </c>
      <c r="X43" s="1808"/>
      <c r="Y43" s="3292"/>
      <c r="Z43" s="1809" t="str">
        <f t="shared" si="15"/>
        <v>内部装修</v>
      </c>
      <c r="AA43" s="1806">
        <f t="shared" si="3"/>
        <v>0.99009900990099009</v>
      </c>
      <c r="AB43" s="1806">
        <f t="shared" si="4"/>
        <v>0.99009900990099009</v>
      </c>
      <c r="AC43" s="2661">
        <f t="shared" si="5"/>
        <v>1.0204081632653061</v>
      </c>
    </row>
    <row r="44" spans="1:29" ht="15">
      <c r="A44" s="470"/>
      <c r="B44" s="420" t="s">
        <v>2560</v>
      </c>
      <c r="C44" s="458" t="s">
        <v>3063</v>
      </c>
      <c r="D44" s="433">
        <v>100</v>
      </c>
      <c r="E44" s="2600" t="s">
        <v>3063</v>
      </c>
      <c r="F44" s="459">
        <f>SUMIF(125:125,E44,126:126)-SUMIF(125:125,C44,126:126)+100</f>
        <v>100</v>
      </c>
      <c r="G44" s="2600" t="s">
        <v>3063</v>
      </c>
      <c r="H44" s="433">
        <f>SUMIF(125:125,G44,126:126)-SUMIF(125:125,C44,126:126)+100</f>
        <v>100</v>
      </c>
      <c r="I44" s="2600" t="s">
        <v>3063</v>
      </c>
      <c r="J44" s="433">
        <f>SUMIF(125:125,I44,126:126)-SUMIF(125:125,C44,126:126)+100</f>
        <v>100</v>
      </c>
      <c r="K44" s="610">
        <v>1</v>
      </c>
      <c r="L44" s="1138"/>
      <c r="M44" s="1129"/>
      <c r="N44" s="1129"/>
      <c r="O44" s="1129"/>
      <c r="P44" s="3320"/>
      <c r="Q44" s="1805" t="str">
        <f t="shared" si="11"/>
        <v>内部装修维护情况</v>
      </c>
      <c r="R44" s="770" t="s">
        <v>17</v>
      </c>
      <c r="S44" s="771">
        <f t="shared" si="12"/>
        <v>100</v>
      </c>
      <c r="T44" s="770" t="s">
        <v>17</v>
      </c>
      <c r="U44" s="771">
        <f t="shared" si="13"/>
        <v>100</v>
      </c>
      <c r="V44" s="770" t="s">
        <v>17</v>
      </c>
      <c r="W44" s="771">
        <f t="shared" si="14"/>
        <v>100</v>
      </c>
      <c r="X44" s="1808"/>
      <c r="Y44" s="3292"/>
      <c r="Z44" s="1809" t="str">
        <f t="shared" si="15"/>
        <v>内部装修维护情况</v>
      </c>
      <c r="AA44" s="1806">
        <f t="shared" si="3"/>
        <v>1</v>
      </c>
      <c r="AB44" s="1806">
        <f t="shared" si="4"/>
        <v>1</v>
      </c>
      <c r="AC44" s="2661">
        <f t="shared" si="5"/>
        <v>1</v>
      </c>
    </row>
    <row r="45" spans="1:29" s="116" customFormat="1" ht="15">
      <c r="A45" s="471"/>
      <c r="B45" s="1382">
        <v>111</v>
      </c>
      <c r="C45" s="467"/>
      <c r="D45" s="134">
        <v>100</v>
      </c>
      <c r="E45" s="430">
        <v>1637</v>
      </c>
      <c r="F45" s="423">
        <f>SUMIF(127:127,E45,128:128)-SUMIF(127:127,C45,128:128)+100</f>
        <v>100</v>
      </c>
      <c r="G45" s="430">
        <v>2160</v>
      </c>
      <c r="H45" s="134">
        <f>SUMIF(127:127,G45,128:128)-SUMIF(127:127,C45,128:128)+100</f>
        <v>100</v>
      </c>
      <c r="I45" s="430">
        <v>1580</v>
      </c>
      <c r="J45" s="134">
        <f>SUMIF(127:127,I45,128:128)-SUMIF(127:127,C45,128:128)+100</f>
        <v>100</v>
      </c>
      <c r="K45" s="611"/>
      <c r="L45" s="1130"/>
      <c r="M45" s="1131"/>
      <c r="N45" s="1131"/>
      <c r="O45" s="1131"/>
      <c r="P45" s="3320"/>
      <c r="Q45" s="1790">
        <f t="shared" si="11"/>
        <v>111</v>
      </c>
      <c r="R45" s="766" t="s">
        <v>17</v>
      </c>
      <c r="S45" s="767">
        <f t="shared" si="12"/>
        <v>100</v>
      </c>
      <c r="T45" s="766" t="s">
        <v>17</v>
      </c>
      <c r="U45" s="767">
        <f t="shared" si="13"/>
        <v>100</v>
      </c>
      <c r="V45" s="766" t="s">
        <v>17</v>
      </c>
      <c r="W45" s="767">
        <f t="shared" si="14"/>
        <v>100</v>
      </c>
      <c r="X45" s="768"/>
      <c r="Y45" s="3292"/>
      <c r="Z45" s="55">
        <f t="shared" si="15"/>
        <v>111</v>
      </c>
      <c r="AA45" s="769">
        <f t="shared" si="3"/>
        <v>1</v>
      </c>
      <c r="AB45" s="769">
        <f t="shared" si="4"/>
        <v>1</v>
      </c>
      <c r="AC45" s="2658">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320"/>
      <c r="Q46" s="1805">
        <f t="shared" si="11"/>
        <v>111</v>
      </c>
      <c r="R46" s="770" t="s">
        <v>17</v>
      </c>
      <c r="S46" s="771">
        <f t="shared" si="12"/>
        <v>100</v>
      </c>
      <c r="T46" s="770" t="s">
        <v>17</v>
      </c>
      <c r="U46" s="771">
        <f t="shared" si="13"/>
        <v>100</v>
      </c>
      <c r="V46" s="770" t="s">
        <v>17</v>
      </c>
      <c r="W46" s="771">
        <f t="shared" si="14"/>
        <v>100</v>
      </c>
      <c r="X46" s="1808"/>
      <c r="Y46" s="3292"/>
      <c r="Z46" s="1809">
        <f t="shared" si="15"/>
        <v>111</v>
      </c>
      <c r="AA46" s="1806">
        <f t="shared" si="3"/>
        <v>1</v>
      </c>
      <c r="AB46" s="1806">
        <f t="shared" si="4"/>
        <v>1</v>
      </c>
      <c r="AC46" s="2661">
        <f t="shared" si="5"/>
        <v>1</v>
      </c>
    </row>
    <row r="47" spans="1:29" ht="15.75" thickBot="1">
      <c r="A47" s="476"/>
      <c r="B47" s="2589">
        <v>0.95</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321"/>
      <c r="Q47" s="1805">
        <f t="shared" si="11"/>
        <v>0.95</v>
      </c>
      <c r="R47" s="770" t="s">
        <v>17</v>
      </c>
      <c r="S47" s="771">
        <f t="shared" si="12"/>
        <v>100</v>
      </c>
      <c r="T47" s="770" t="s">
        <v>17</v>
      </c>
      <c r="U47" s="771">
        <f t="shared" si="13"/>
        <v>100</v>
      </c>
      <c r="V47" s="770" t="s">
        <v>17</v>
      </c>
      <c r="W47" s="771">
        <f t="shared" si="14"/>
        <v>100</v>
      </c>
      <c r="X47" s="1808"/>
      <c r="Y47" s="3300"/>
      <c r="Z47" s="1809">
        <f t="shared" si="15"/>
        <v>0.95</v>
      </c>
      <c r="AA47" s="1806">
        <f t="shared" si="3"/>
        <v>1</v>
      </c>
      <c r="AB47" s="1806">
        <f t="shared" si="4"/>
        <v>1</v>
      </c>
      <c r="AC47" s="2661">
        <f t="shared" si="5"/>
        <v>1</v>
      </c>
    </row>
    <row r="48" spans="1:29" ht="15">
      <c r="A48" s="477" t="s">
        <v>2561</v>
      </c>
      <c r="B48" s="478"/>
      <c r="C48" s="1403" t="s">
        <v>1</v>
      </c>
      <c r="D48" s="1404"/>
      <c r="E48" s="1405">
        <f>ROUND(35430*B47,0)</f>
        <v>33659</v>
      </c>
      <c r="F48" s="1406"/>
      <c r="G48" s="1407">
        <f>ROUND(35000*B47,0)</f>
        <v>33250</v>
      </c>
      <c r="H48" s="1408"/>
      <c r="I48" s="1405">
        <f>ROUND(34810*B47,0)</f>
        <v>33070</v>
      </c>
      <c r="J48" s="483"/>
      <c r="K48" s="779"/>
      <c r="L48" s="1141"/>
      <c r="M48" s="1129"/>
      <c r="N48" s="1129"/>
      <c r="O48" s="1129"/>
      <c r="P48" s="3298" t="str">
        <f>A48</f>
        <v>成交单价（元/平方米）</v>
      </c>
      <c r="Q48" s="3274"/>
      <c r="R48" s="3301">
        <f>E48</f>
        <v>33659</v>
      </c>
      <c r="S48" s="3301"/>
      <c r="T48" s="3301">
        <f>G48</f>
        <v>33250</v>
      </c>
      <c r="U48" s="3301"/>
      <c r="V48" s="3301">
        <f>I48</f>
        <v>33070</v>
      </c>
      <c r="W48" s="3301"/>
      <c r="X48" s="444"/>
      <c r="Y48" s="777"/>
      <c r="Z48" s="444"/>
      <c r="AA48" s="444"/>
      <c r="AB48" s="444"/>
      <c r="AC48" s="628"/>
    </row>
    <row r="49" spans="1:29" ht="15.75" thickBot="1">
      <c r="A49" s="484" t="s">
        <v>2653</v>
      </c>
      <c r="B49" s="485"/>
      <c r="C49" s="1409" t="e">
        <f>R50</f>
        <v>#N/A</v>
      </c>
      <c r="D49" s="1410"/>
      <c r="E49" s="1411" t="e">
        <f>R49</f>
        <v>#N/A</v>
      </c>
      <c r="F49" s="1411"/>
      <c r="G49" s="1409" t="e">
        <f>T49</f>
        <v>#N/A</v>
      </c>
      <c r="H49" s="1410"/>
      <c r="I49" s="1411" t="e">
        <f>V49</f>
        <v>#N/A</v>
      </c>
      <c r="J49" s="487"/>
      <c r="K49" s="780"/>
      <c r="L49" s="1141"/>
      <c r="M49" s="1129"/>
      <c r="N49" s="1129"/>
      <c r="O49" s="1129"/>
      <c r="P49" s="3298" t="str">
        <f>A49</f>
        <v>比较价值（元/平方米）</v>
      </c>
      <c r="Q49" s="3274"/>
      <c r="R49" s="3301" t="e">
        <f>IF(F1="售价",ROUND(PRODUCT(R48,AA7:AA47),0),ROUND(PRODUCT(R48,AA7:AA47),1))</f>
        <v>#N/A</v>
      </c>
      <c r="S49" s="3301"/>
      <c r="T49" s="3301" t="e">
        <f>IF(F1="售价",ROUND(PRODUCT(T48,AB7:AB47),0),ROUND(PRODUCT(T48,AB7:AB47),1))</f>
        <v>#N/A</v>
      </c>
      <c r="U49" s="3301"/>
      <c r="V49" s="3301" t="e">
        <f>IF(F1="售价",ROUND(PRODUCT(V48,AC7:AC47),0),ROUND(PRODUCT(V48,AC7:AC47),1))</f>
        <v>#N/A</v>
      </c>
      <c r="W49" s="3301"/>
      <c r="X49" s="444"/>
      <c r="Y49" s="444"/>
      <c r="Z49" s="444"/>
      <c r="AA49" s="444"/>
      <c r="AB49" s="444"/>
      <c r="AC49" s="628"/>
    </row>
    <row r="50" spans="1:29" ht="15.75" thickBot="1">
      <c r="A50" s="490" t="s">
        <v>2654</v>
      </c>
      <c r="B50" s="491"/>
      <c r="C50" s="1413" t="e">
        <f>R50</f>
        <v>#N/A</v>
      </c>
      <c r="D50" s="1413"/>
      <c r="E50" s="1413"/>
      <c r="F50" s="1413"/>
      <c r="G50" s="1413"/>
      <c r="H50" s="1413"/>
      <c r="I50" s="1413"/>
      <c r="J50" s="492"/>
      <c r="K50" s="781"/>
      <c r="L50" s="1141"/>
      <c r="M50" s="1129"/>
      <c r="N50" s="1129"/>
      <c r="O50" s="1129"/>
      <c r="P50" s="3322" t="str">
        <f>A50</f>
        <v>估价对象XX用房的比较价值（楼面单价，元/平方米）</v>
      </c>
      <c r="Q50" s="3323"/>
      <c r="R50" s="3324" t="e">
        <f>IF(F1="售价",ROUND(AVERAGE(R49:V49),0),ROUND(AVERAGE(R49:V49),1))</f>
        <v>#N/A</v>
      </c>
      <c r="S50" s="3324"/>
      <c r="T50" s="3324"/>
      <c r="U50" s="3324"/>
      <c r="V50" s="3324"/>
      <c r="W50" s="3324"/>
      <c r="X50" s="2641"/>
      <c r="Y50" s="2641"/>
      <c r="Z50" s="2641"/>
      <c r="AA50" s="2641"/>
      <c r="AB50" s="2641"/>
      <c r="AC50" s="264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2655</v>
      </c>
      <c r="D53" s="496"/>
      <c r="E53" s="497" t="e">
        <f>IF(E48&lt;E49,E49/E48-1,E48/E49-1)</f>
        <v>#N/A</v>
      </c>
      <c r="F53" s="498" t="e">
        <f>IF(OR(E53&gt;=0.3,E53&lt;=-0.3),"超过30%","")</f>
        <v>#N/A</v>
      </c>
      <c r="G53" s="497" t="e">
        <f>IF(G48&lt;G49,G49/G48-1,G48/G49-1)</f>
        <v>#N/A</v>
      </c>
      <c r="H53" s="498" t="e">
        <f>IF(OR(G53&gt;=0.3,G53&lt;=-0.3),"超过30%","")</f>
        <v>#N/A</v>
      </c>
      <c r="I53" s="497" t="e">
        <f>IF(I48&lt;I49,I49/I48-1,I48/I49-1)</f>
        <v>#N/A</v>
      </c>
      <c r="J53" s="498" t="e">
        <f>IF(OR(I53&gt;=0.3,I53&lt;=-0.3),"超过30%","")</f>
        <v>#N/A</v>
      </c>
      <c r="K53" s="1103"/>
      <c r="L53" s="1104"/>
      <c r="M53" s="1142"/>
      <c r="N53" s="1142"/>
      <c r="O53" s="1142"/>
    </row>
    <row r="54" spans="1:29" ht="13.5" customHeight="1">
      <c r="A54" s="1142"/>
      <c r="B54" s="1142"/>
      <c r="C54" s="495" t="s">
        <v>2656</v>
      </c>
      <c r="D54" s="499"/>
      <c r="E54" s="497" t="e">
        <f>IF(E49&lt;G49,G49/E49-1,E49/G49-1)</f>
        <v>#N/A</v>
      </c>
      <c r="F54" s="498" t="e">
        <f>IF(OR(E54&gt;=0.2,E54&lt;=-0.2),"超过20%","")</f>
        <v>#N/A</v>
      </c>
      <c r="G54" s="497" t="e">
        <f>IF(G49&lt;I49,I49/G49-1,G49/I49-1)</f>
        <v>#N/A</v>
      </c>
      <c r="H54" s="498" t="e">
        <f>IF(OR(G54&gt;=0.2,G54&lt;=-0.2),"超过20%","")</f>
        <v>#N/A</v>
      </c>
      <c r="I54" s="497" t="e">
        <f>IF(I49&lt;E49,E49/I49-1,I49/E49-1)</f>
        <v>#N/A</v>
      </c>
      <c r="J54" s="498" t="e">
        <f>IF(OR(I54&gt;=0.2,I54&lt;=-0.2),"超过20%","")</f>
        <v>#N/A</v>
      </c>
      <c r="K54" s="1103"/>
      <c r="L54" s="1104"/>
      <c r="M54" s="1142"/>
      <c r="N54" s="1142"/>
      <c r="O54" s="1142"/>
    </row>
    <row r="55" spans="1:29" s="500" customFormat="1" ht="13.5" customHeight="1">
      <c r="A55" s="1143"/>
      <c r="B55" s="1143"/>
      <c r="C55" s="495" t="s">
        <v>2657</v>
      </c>
      <c r="D55" s="499"/>
      <c r="E55" s="497">
        <f>IF(E48&lt;G48,G48/E48-1,E48/G48-1)</f>
        <v>1.2300751879699146E-2</v>
      </c>
      <c r="F55" s="498" t="str">
        <f>IF(OR(E55&gt;=0.3,E55&lt;=-0.3),"超过30%","")</f>
        <v/>
      </c>
      <c r="G55" s="497">
        <f>IF(G48&lt;I48,I48/G48-1,G48/I48-1)</f>
        <v>5.4429996976110839E-3</v>
      </c>
      <c r="H55" s="498" t="str">
        <f>IF(OR(G55&gt;=0.3,G55&lt;=-0.3),"超过30%","")</f>
        <v/>
      </c>
      <c r="I55" s="497">
        <f>IF(I48&lt;E48,E48/I48-1,I48/E48-1)</f>
        <v>1.7810704566072033E-2</v>
      </c>
      <c r="J55" s="498" t="str">
        <f>IF(OR(I55&gt;=0.3,I55&lt;=-0.3),"超过30%","")</f>
        <v/>
      </c>
      <c r="K55" s="1146"/>
      <c r="L55" s="1147"/>
      <c r="M55" s="1143"/>
      <c r="N55" s="1143"/>
      <c r="O55" s="1143"/>
      <c r="P55" s="2667"/>
    </row>
    <row r="56" spans="1:29" s="500" customFormat="1">
      <c r="A56" s="1143"/>
      <c r="B56" s="1144"/>
      <c r="C56" s="1148"/>
      <c r="D56" s="1143"/>
      <c r="E56" s="1143"/>
      <c r="F56" s="1143"/>
      <c r="G56" s="1143"/>
      <c r="H56" s="1143"/>
      <c r="I56" s="1143"/>
      <c r="J56" s="1143"/>
      <c r="K56" s="1146"/>
      <c r="L56" s="1147"/>
      <c r="M56" s="1143"/>
      <c r="N56" s="1143"/>
      <c r="O56" s="1143"/>
      <c r="P56" s="2667"/>
    </row>
    <row r="57" spans="1:29">
      <c r="A57" s="1142"/>
      <c r="B57" s="1144"/>
      <c r="C57" s="1148"/>
      <c r="D57" s="1142"/>
      <c r="E57" s="1142"/>
      <c r="F57" s="1142"/>
      <c r="G57" s="1142"/>
      <c r="H57" s="1142"/>
      <c r="I57" s="1142"/>
      <c r="J57" s="1142"/>
      <c r="K57" s="1103"/>
      <c r="L57" s="1104"/>
      <c r="M57" s="1142"/>
      <c r="N57" s="1142"/>
      <c r="O57" s="1142"/>
    </row>
    <row r="58" spans="1:29" ht="21.75" thickBot="1">
      <c r="A58" s="759" t="s">
        <v>2658</v>
      </c>
      <c r="B58" s="755"/>
      <c r="C58" s="760"/>
      <c r="D58" s="760"/>
      <c r="E58" s="760"/>
      <c r="F58" s="761"/>
      <c r="G58" s="761"/>
      <c r="H58" s="760"/>
      <c r="I58" s="760"/>
      <c r="J58" s="760"/>
      <c r="K58" s="762"/>
      <c r="L58" s="1159"/>
      <c r="M58" s="1157"/>
      <c r="N58" s="1157"/>
      <c r="O58" s="1157"/>
      <c r="P58" s="2668"/>
      <c r="Q58" s="502"/>
    </row>
    <row r="59" spans="1:29" s="506" customFormat="1" ht="15">
      <c r="A59" s="503" t="s">
        <v>2532</v>
      </c>
      <c r="B59" s="504"/>
      <c r="C59" s="1569" t="str">
        <f>YEAR(C7)&amp;"-"&amp;MONTH(C7)</f>
        <v>2018-4</v>
      </c>
      <c r="D59" s="1570">
        <f>EDATE(C59,-1)</f>
        <v>43160</v>
      </c>
      <c r="E59" s="1570">
        <f>EDATE(D59,-1)</f>
        <v>43132</v>
      </c>
      <c r="F59" s="1570">
        <f t="shared" ref="F59:O59" si="16">EDATE(E59,-1)</f>
        <v>43101</v>
      </c>
      <c r="G59" s="1570">
        <f t="shared" si="16"/>
        <v>43070</v>
      </c>
      <c r="H59" s="1570">
        <f t="shared" si="16"/>
        <v>43040</v>
      </c>
      <c r="I59" s="1570">
        <f t="shared" si="16"/>
        <v>43009</v>
      </c>
      <c r="J59" s="1570">
        <f t="shared" si="16"/>
        <v>42979</v>
      </c>
      <c r="K59" s="1570">
        <f t="shared" si="16"/>
        <v>42948</v>
      </c>
      <c r="L59" s="1570">
        <f t="shared" si="16"/>
        <v>42917</v>
      </c>
      <c r="M59" s="1570">
        <f t="shared" si="16"/>
        <v>42887</v>
      </c>
      <c r="N59" s="1570">
        <f t="shared" si="16"/>
        <v>42856</v>
      </c>
      <c r="O59" s="1570">
        <f t="shared" si="16"/>
        <v>42826</v>
      </c>
      <c r="P59" s="1566"/>
    </row>
    <row r="60" spans="1:29" s="116" customFormat="1" ht="15">
      <c r="A60" s="507"/>
      <c r="B60" s="508"/>
      <c r="C60" s="1568">
        <v>100</v>
      </c>
      <c r="D60" s="510">
        <v>99.5</v>
      </c>
      <c r="E60" s="510">
        <v>99</v>
      </c>
      <c r="F60" s="510"/>
      <c r="G60" s="510"/>
      <c r="H60" s="510"/>
      <c r="I60" s="510"/>
      <c r="J60" s="510"/>
      <c r="K60" s="510"/>
      <c r="L60" s="510"/>
      <c r="M60" s="511"/>
      <c r="N60" s="510"/>
      <c r="O60" s="511"/>
      <c r="P60" s="2669"/>
    </row>
    <row r="61" spans="1:29" s="116" customFormat="1" ht="15.75" thickBot="1">
      <c r="A61" s="513" t="s">
        <v>2569</v>
      </c>
      <c r="B61" s="514"/>
      <c r="C61" s="515"/>
      <c r="D61" s="516"/>
      <c r="E61" s="516"/>
      <c r="F61" s="516"/>
      <c r="G61" s="516"/>
      <c r="H61" s="516"/>
      <c r="I61" s="516"/>
      <c r="J61" s="516"/>
      <c r="K61" s="516"/>
      <c r="L61" s="516"/>
      <c r="M61" s="517"/>
      <c r="N61" s="516"/>
      <c r="O61" s="517"/>
      <c r="P61" s="2669"/>
      <c r="Q61" s="502"/>
    </row>
    <row r="62" spans="1:29" s="116" customFormat="1" ht="15">
      <c r="A62" s="519" t="s">
        <v>2534</v>
      </c>
      <c r="B62" s="508"/>
      <c r="C62" s="520" t="s">
        <v>2636</v>
      </c>
      <c r="D62" s="521"/>
      <c r="E62" s="521"/>
      <c r="F62" s="521"/>
      <c r="G62" s="521"/>
      <c r="H62" s="521"/>
      <c r="I62" s="521"/>
      <c r="J62" s="521"/>
      <c r="K62" s="521"/>
      <c r="L62" s="522"/>
      <c r="M62" s="523"/>
      <c r="N62" s="1149"/>
      <c r="O62" s="1149"/>
      <c r="P62" s="2670"/>
      <c r="Q62" s="502"/>
    </row>
    <row r="63" spans="1:29" s="116" customFormat="1" ht="15.75" thickBot="1">
      <c r="A63" s="519"/>
      <c r="B63" s="508"/>
      <c r="C63" s="509">
        <v>100</v>
      </c>
      <c r="D63" s="510"/>
      <c r="E63" s="510"/>
      <c r="F63" s="510"/>
      <c r="G63" s="510"/>
      <c r="H63" s="510"/>
      <c r="I63" s="510"/>
      <c r="J63" s="510"/>
      <c r="K63" s="510"/>
      <c r="L63" s="510"/>
      <c r="M63" s="512"/>
      <c r="N63" s="1149"/>
      <c r="O63" s="1149"/>
      <c r="P63" s="2669"/>
      <c r="Q63" s="502"/>
    </row>
    <row r="64" spans="1:29">
      <c r="A64" s="525" t="s">
        <v>2572</v>
      </c>
      <c r="B64" s="526" t="s">
        <v>2538</v>
      </c>
      <c r="C64" s="527" t="str">
        <f>C9</f>
        <v>工业（办公）</v>
      </c>
      <c r="D64" s="2944" t="s">
        <v>3103</v>
      </c>
      <c r="E64" s="528"/>
      <c r="F64" s="528"/>
      <c r="G64" s="528"/>
      <c r="H64" s="528"/>
      <c r="I64" s="528"/>
      <c r="J64" s="528"/>
      <c r="K64" s="529"/>
      <c r="L64" s="530"/>
      <c r="M64" s="531"/>
      <c r="N64" s="1150"/>
      <c r="O64" s="1150"/>
      <c r="P64" s="2671"/>
      <c r="Q64" s="502"/>
    </row>
    <row r="65" spans="1:17" ht="15.75" thickBot="1">
      <c r="A65" s="532"/>
      <c r="B65" s="533"/>
      <c r="C65" s="534">
        <v>100</v>
      </c>
      <c r="D65" s="534">
        <v>105</v>
      </c>
      <c r="E65" s="534"/>
      <c r="F65" s="534"/>
      <c r="G65" s="534"/>
      <c r="H65" s="534"/>
      <c r="I65" s="534"/>
      <c r="J65" s="534"/>
      <c r="K65" s="534"/>
      <c r="L65" s="534"/>
      <c r="M65" s="535"/>
      <c r="N65" s="1151"/>
      <c r="O65" s="1151"/>
      <c r="P65" s="2671"/>
      <c r="Q65" s="502"/>
    </row>
    <row r="66" spans="1:17" ht="27.75" thickTop="1">
      <c r="A66" s="532"/>
      <c r="B66" s="536" t="s">
        <v>2541</v>
      </c>
      <c r="C66" s="537" t="s">
        <v>2573</v>
      </c>
      <c r="D66" s="537" t="s">
        <v>2574</v>
      </c>
      <c r="E66" s="537" t="s">
        <v>2575</v>
      </c>
      <c r="F66" s="537" t="s">
        <v>2576</v>
      </c>
      <c r="G66" s="537" t="s">
        <v>2577</v>
      </c>
      <c r="H66" s="537" t="s">
        <v>2578</v>
      </c>
      <c r="I66" s="537" t="s">
        <v>2579</v>
      </c>
      <c r="J66" s="537"/>
      <c r="K66" s="538"/>
      <c r="L66" s="539"/>
      <c r="M66" s="540"/>
      <c r="N66" s="1150"/>
      <c r="O66" s="1150"/>
      <c r="P66" s="2671"/>
      <c r="Q66" s="502"/>
    </row>
    <row r="67" spans="1:17" ht="15.75" thickBot="1">
      <c r="A67" s="532"/>
      <c r="B67" s="541"/>
      <c r="C67" s="542" t="s">
        <v>24</v>
      </c>
      <c r="D67" s="542" t="s">
        <v>25</v>
      </c>
      <c r="E67" s="542">
        <v>100</v>
      </c>
      <c r="F67" s="542">
        <f>E67-$K10</f>
        <v>99</v>
      </c>
      <c r="G67" s="542">
        <f>F67-$K10</f>
        <v>98</v>
      </c>
      <c r="H67" s="542">
        <f>G67-$K10</f>
        <v>97</v>
      </c>
      <c r="I67" s="542">
        <f>H67-$K10</f>
        <v>96</v>
      </c>
      <c r="J67" s="542"/>
      <c r="K67" s="542"/>
      <c r="L67" s="542"/>
      <c r="M67" s="543"/>
      <c r="N67" s="1151"/>
      <c r="O67" s="1151"/>
      <c r="P67" s="2671"/>
      <c r="Q67" s="502"/>
    </row>
    <row r="68" spans="1:17" ht="15.75" thickTop="1">
      <c r="A68" s="532"/>
      <c r="B68" s="544" t="s">
        <v>2542</v>
      </c>
      <c r="C68" s="545" t="str">
        <f>C69&amp;"（含）"&amp;"-"&amp;D69</f>
        <v>0（含）-0</v>
      </c>
      <c r="D68" s="545" t="str">
        <f t="shared" ref="D68:L68" si="17">D69&amp;"（含）"&amp;"-"&amp;E69</f>
        <v>0（含）-0</v>
      </c>
      <c r="E68" s="545" t="str">
        <f t="shared" si="17"/>
        <v>0（含）-0</v>
      </c>
      <c r="F68" s="545" t="str">
        <f t="shared" si="17"/>
        <v>0（含）-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671"/>
      <c r="Q68" s="502"/>
    </row>
    <row r="69" spans="1:17" ht="15">
      <c r="A69" s="532"/>
      <c r="B69" s="546"/>
      <c r="C69" s="547">
        <v>0</v>
      </c>
      <c r="D69" s="547">
        <v>0</v>
      </c>
      <c r="E69" s="547">
        <v>0</v>
      </c>
      <c r="F69" s="547">
        <v>0</v>
      </c>
      <c r="G69" s="547"/>
      <c r="H69" s="547"/>
      <c r="I69" s="547"/>
      <c r="J69" s="547"/>
      <c r="K69" s="548"/>
      <c r="L69" s="549"/>
      <c r="M69" s="550"/>
      <c r="N69" s="1150"/>
      <c r="O69" s="1150"/>
      <c r="P69" s="2671"/>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71"/>
      <c r="Q70" s="502"/>
    </row>
    <row r="71" spans="1:17" s="469" customFormat="1" ht="15.75" thickTop="1">
      <c r="A71" s="551"/>
      <c r="B71" s="536">
        <f>B12</f>
        <v>111</v>
      </c>
      <c r="C71" s="552"/>
      <c r="D71" s="552"/>
      <c r="E71" s="552"/>
      <c r="F71" s="552"/>
      <c r="G71" s="552"/>
      <c r="H71" s="553"/>
      <c r="I71" s="553"/>
      <c r="J71" s="553"/>
      <c r="K71" s="553"/>
      <c r="L71" s="554"/>
      <c r="M71" s="555"/>
      <c r="N71" s="1152"/>
      <c r="O71" s="1152"/>
      <c r="P71" s="2672"/>
      <c r="Q71" s="557"/>
    </row>
    <row r="72" spans="1:17" s="469" customFormat="1" ht="15.75" thickBot="1">
      <c r="A72" s="551"/>
      <c r="B72" s="541"/>
      <c r="C72" s="558"/>
      <c r="D72" s="534"/>
      <c r="E72" s="534"/>
      <c r="F72" s="534"/>
      <c r="G72" s="534"/>
      <c r="H72" s="534"/>
      <c r="I72" s="534"/>
      <c r="J72" s="534"/>
      <c r="K72" s="534"/>
      <c r="L72" s="534"/>
      <c r="M72" s="535"/>
      <c r="N72" s="1151"/>
      <c r="O72" s="1151"/>
      <c r="P72" s="2672"/>
      <c r="Q72" s="557"/>
    </row>
    <row r="73" spans="1:17" s="469" customFormat="1" ht="15.75" thickTop="1">
      <c r="A73" s="551"/>
      <c r="B73" s="536">
        <f>B13</f>
        <v>111</v>
      </c>
      <c r="C73" s="552"/>
      <c r="D73" s="552"/>
      <c r="E73" s="552"/>
      <c r="F73" s="552"/>
      <c r="G73" s="552"/>
      <c r="H73" s="553"/>
      <c r="I73" s="553"/>
      <c r="J73" s="553"/>
      <c r="K73" s="553"/>
      <c r="L73" s="554"/>
      <c r="M73" s="555"/>
      <c r="N73" s="1152"/>
      <c r="O73" s="1152"/>
      <c r="P73" s="2673"/>
      <c r="Q73" s="559"/>
    </row>
    <row r="74" spans="1:17" s="469" customFormat="1" ht="15.75" thickBot="1">
      <c r="A74" s="551"/>
      <c r="B74" s="541"/>
      <c r="C74" s="558"/>
      <c r="D74" s="558"/>
      <c r="E74" s="558"/>
      <c r="F74" s="558"/>
      <c r="G74" s="558"/>
      <c r="H74" s="560"/>
      <c r="I74" s="560"/>
      <c r="J74" s="560"/>
      <c r="K74" s="560"/>
      <c r="L74" s="560"/>
      <c r="M74" s="561"/>
      <c r="N74" s="1152"/>
      <c r="O74" s="1152"/>
      <c r="P74" s="2672"/>
      <c r="Q74" s="557"/>
    </row>
    <row r="75" spans="1:17" s="469" customFormat="1" ht="15.75" thickTop="1">
      <c r="A75" s="551"/>
      <c r="B75" s="544">
        <f>B14</f>
        <v>111</v>
      </c>
      <c r="C75" s="521"/>
      <c r="D75" s="521"/>
      <c r="E75" s="521"/>
      <c r="F75" s="521"/>
      <c r="G75" s="521"/>
      <c r="H75" s="562"/>
      <c r="I75" s="562"/>
      <c r="J75" s="562"/>
      <c r="K75" s="562"/>
      <c r="L75" s="563"/>
      <c r="M75" s="564"/>
      <c r="N75" s="1152"/>
      <c r="O75" s="1152"/>
      <c r="P75" s="2674"/>
      <c r="Q75" s="557"/>
    </row>
    <row r="76" spans="1:17" s="469" customFormat="1" ht="15.75" thickBot="1">
      <c r="A76" s="566"/>
      <c r="B76" s="567"/>
      <c r="C76" s="568"/>
      <c r="D76" s="568"/>
      <c r="E76" s="568"/>
      <c r="F76" s="568"/>
      <c r="G76" s="568"/>
      <c r="H76" s="569"/>
      <c r="I76" s="569"/>
      <c r="J76" s="569"/>
      <c r="K76" s="569"/>
      <c r="L76" s="569"/>
      <c r="M76" s="570"/>
      <c r="N76" s="1152"/>
      <c r="O76" s="1152"/>
      <c r="P76" s="2672"/>
      <c r="Q76" s="557"/>
    </row>
    <row r="77" spans="1:17">
      <c r="A77" s="525" t="s">
        <v>2543</v>
      </c>
      <c r="B77" s="526" t="s">
        <v>2681</v>
      </c>
      <c r="C77" s="571" t="s">
        <v>2581</v>
      </c>
      <c r="D77" s="571" t="s">
        <v>2582</v>
      </c>
      <c r="E77" s="571" t="s">
        <v>2583</v>
      </c>
      <c r="F77" s="571" t="s">
        <v>2584</v>
      </c>
      <c r="G77" s="571" t="s">
        <v>2585</v>
      </c>
      <c r="H77" s="527"/>
      <c r="I77" s="527"/>
      <c r="J77" s="527"/>
      <c r="K77" s="572"/>
      <c r="L77" s="573"/>
      <c r="M77" s="574"/>
      <c r="N77" s="1150"/>
      <c r="O77" s="1150"/>
      <c r="P77" s="2675"/>
      <c r="Q77" s="502"/>
    </row>
    <row r="78" spans="1:17" ht="15.75" thickBot="1">
      <c r="A78" s="532"/>
      <c r="B78" s="541"/>
      <c r="C78" s="542">
        <v>100</v>
      </c>
      <c r="D78" s="542">
        <f>C78-$K15</f>
        <v>98</v>
      </c>
      <c r="E78" s="542">
        <f>D78-$K15</f>
        <v>96</v>
      </c>
      <c r="F78" s="542">
        <f>E78-$K15</f>
        <v>94</v>
      </c>
      <c r="G78" s="542">
        <f>F78-$K15</f>
        <v>92</v>
      </c>
      <c r="H78" s="542"/>
      <c r="I78" s="542"/>
      <c r="J78" s="542"/>
      <c r="K78" s="542"/>
      <c r="L78" s="542"/>
      <c r="M78" s="543"/>
      <c r="N78" s="1151"/>
      <c r="O78" s="1151"/>
      <c r="P78" s="2671"/>
      <c r="Q78" s="502"/>
    </row>
    <row r="79" spans="1:17" ht="15.75" thickTop="1">
      <c r="A79" s="532"/>
      <c r="B79" s="536" t="s">
        <v>2586</v>
      </c>
      <c r="C79" s="576" t="s">
        <v>2581</v>
      </c>
      <c r="D79" s="576" t="s">
        <v>2582</v>
      </c>
      <c r="E79" s="576" t="s">
        <v>2583</v>
      </c>
      <c r="F79" s="576" t="s">
        <v>2584</v>
      </c>
      <c r="G79" s="576" t="s">
        <v>2585</v>
      </c>
      <c r="H79" s="537"/>
      <c r="I79" s="537"/>
      <c r="J79" s="537"/>
      <c r="K79" s="538"/>
      <c r="L79" s="539"/>
      <c r="M79" s="540"/>
      <c r="N79" s="1150"/>
      <c r="O79" s="1150"/>
      <c r="P79" s="2671"/>
      <c r="Q79" s="502"/>
    </row>
    <row r="80" spans="1:17" ht="15.75" thickBot="1">
      <c r="A80" s="532"/>
      <c r="B80" s="541"/>
      <c r="C80" s="542">
        <v>100</v>
      </c>
      <c r="D80" s="542">
        <f>C80-$K17</f>
        <v>98</v>
      </c>
      <c r="E80" s="542">
        <f>D80-$K17</f>
        <v>96</v>
      </c>
      <c r="F80" s="542">
        <f>E80-$K17</f>
        <v>94</v>
      </c>
      <c r="G80" s="542">
        <f>F80-$K17</f>
        <v>92</v>
      </c>
      <c r="H80" s="542"/>
      <c r="I80" s="542"/>
      <c r="J80" s="542"/>
      <c r="K80" s="542"/>
      <c r="L80" s="542"/>
      <c r="M80" s="543"/>
      <c r="N80" s="1151"/>
      <c r="O80" s="1151"/>
      <c r="P80" s="2671"/>
      <c r="Q80" s="502"/>
    </row>
    <row r="81" spans="1:17" ht="15.75" thickTop="1">
      <c r="A81" s="532"/>
      <c r="B81" s="536" t="s">
        <v>2587</v>
      </c>
      <c r="C81" s="576" t="s">
        <v>2581</v>
      </c>
      <c r="D81" s="576" t="s">
        <v>2582</v>
      </c>
      <c r="E81" s="576" t="s">
        <v>2583</v>
      </c>
      <c r="F81" s="576" t="s">
        <v>2584</v>
      </c>
      <c r="G81" s="576" t="s">
        <v>2585</v>
      </c>
      <c r="H81" s="537"/>
      <c r="I81" s="537"/>
      <c r="J81" s="537"/>
      <c r="K81" s="538"/>
      <c r="L81" s="539"/>
      <c r="M81" s="540"/>
      <c r="N81" s="1150"/>
      <c r="O81" s="1150"/>
      <c r="P81" s="2671"/>
      <c r="Q81" s="502"/>
    </row>
    <row r="82" spans="1:17" ht="15.75" thickBot="1">
      <c r="A82" s="532"/>
      <c r="B82" s="541"/>
      <c r="C82" s="542">
        <v>100</v>
      </c>
      <c r="D82" s="542">
        <f>C82-$K19</f>
        <v>99</v>
      </c>
      <c r="E82" s="542">
        <f>D82-$K19</f>
        <v>98</v>
      </c>
      <c r="F82" s="542">
        <f>E82-$K19</f>
        <v>97</v>
      </c>
      <c r="G82" s="542">
        <f>F82-$K19</f>
        <v>96</v>
      </c>
      <c r="H82" s="542"/>
      <c r="I82" s="542"/>
      <c r="J82" s="542"/>
      <c r="K82" s="542"/>
      <c r="L82" s="542"/>
      <c r="M82" s="543"/>
      <c r="N82" s="1151"/>
      <c r="O82" s="1151"/>
      <c r="P82" s="2671"/>
      <c r="Q82" s="502"/>
    </row>
    <row r="83" spans="1:17" ht="15.75" thickTop="1">
      <c r="A83" s="532"/>
      <c r="B83" s="544" t="s">
        <v>2673</v>
      </c>
      <c r="C83" s="658" t="s">
        <v>2659</v>
      </c>
      <c r="D83" s="658" t="s">
        <v>2660</v>
      </c>
      <c r="E83" s="658" t="s">
        <v>2661</v>
      </c>
      <c r="F83" s="658" t="s">
        <v>2662</v>
      </c>
      <c r="G83" s="658" t="s">
        <v>2663</v>
      </c>
      <c r="H83" s="537"/>
      <c r="I83" s="537"/>
      <c r="J83" s="537"/>
      <c r="K83" s="537"/>
      <c r="L83" s="537"/>
      <c r="M83" s="1378"/>
      <c r="N83" s="1151"/>
      <c r="O83" s="1151"/>
      <c r="P83" s="2671"/>
      <c r="Q83" s="502"/>
    </row>
    <row r="84" spans="1:17" ht="15.75" thickBot="1">
      <c r="A84" s="532"/>
      <c r="B84" s="544"/>
      <c r="C84" s="542">
        <v>100</v>
      </c>
      <c r="D84" s="542">
        <f>C84-$K21</f>
        <v>99</v>
      </c>
      <c r="E84" s="542">
        <f>D84-$K21</f>
        <v>98</v>
      </c>
      <c r="F84" s="542">
        <f>E84-$K21</f>
        <v>97</v>
      </c>
      <c r="G84" s="542">
        <f>F84-$K21</f>
        <v>96</v>
      </c>
      <c r="H84" s="658"/>
      <c r="I84" s="658"/>
      <c r="J84" s="658"/>
      <c r="K84" s="658"/>
      <c r="L84" s="658"/>
      <c r="M84" s="448"/>
      <c r="N84" s="1151"/>
      <c r="O84" s="1151"/>
      <c r="P84" s="2671"/>
      <c r="Q84" s="502"/>
    </row>
    <row r="85" spans="1:17" ht="15.75" thickTop="1">
      <c r="A85" s="532"/>
      <c r="B85" s="536" t="s">
        <v>2682</v>
      </c>
      <c r="C85" s="576" t="s">
        <v>2581</v>
      </c>
      <c r="D85" s="576" t="s">
        <v>2582</v>
      </c>
      <c r="E85" s="576" t="s">
        <v>2583</v>
      </c>
      <c r="F85" s="576" t="s">
        <v>2584</v>
      </c>
      <c r="G85" s="576" t="s">
        <v>2585</v>
      </c>
      <c r="H85" s="537"/>
      <c r="I85" s="537"/>
      <c r="J85" s="537"/>
      <c r="K85" s="538"/>
      <c r="L85" s="539"/>
      <c r="M85" s="540"/>
      <c r="N85" s="1150"/>
      <c r="O85" s="1150"/>
      <c r="P85" s="2671"/>
      <c r="Q85" s="502"/>
    </row>
    <row r="86" spans="1:17" ht="15.75" thickBot="1">
      <c r="A86" s="532"/>
      <c r="B86" s="541"/>
      <c r="C86" s="542">
        <v>100</v>
      </c>
      <c r="D86" s="542">
        <f>C86-$K23</f>
        <v>99</v>
      </c>
      <c r="E86" s="542">
        <f>D86-$K23</f>
        <v>98</v>
      </c>
      <c r="F86" s="542">
        <f>E86-$K23</f>
        <v>97</v>
      </c>
      <c r="G86" s="542">
        <f>F86-$K23</f>
        <v>96</v>
      </c>
      <c r="H86" s="542"/>
      <c r="I86" s="542"/>
      <c r="J86" s="542"/>
      <c r="K86" s="542"/>
      <c r="L86" s="542"/>
      <c r="M86" s="543"/>
      <c r="N86" s="1151"/>
      <c r="O86" s="1151"/>
      <c r="P86" s="2671"/>
      <c r="Q86" s="502"/>
    </row>
    <row r="87" spans="1:17" s="116" customFormat="1" ht="27.75" thickTop="1">
      <c r="A87" s="577"/>
      <c r="B87" s="536" t="s">
        <v>2683</v>
      </c>
      <c r="C87" s="2942" t="s">
        <v>3095</v>
      </c>
      <c r="D87" s="2942" t="s">
        <v>3096</v>
      </c>
      <c r="E87" s="2942" t="s">
        <v>3097</v>
      </c>
      <c r="F87" s="2942" t="s">
        <v>3098</v>
      </c>
      <c r="G87" s="2942" t="s">
        <v>3099</v>
      </c>
      <c r="H87" s="552"/>
      <c r="I87" s="552"/>
      <c r="J87" s="552"/>
      <c r="K87" s="552"/>
      <c r="L87" s="578"/>
      <c r="M87" s="579"/>
      <c r="N87" s="1149"/>
      <c r="O87" s="1149"/>
      <c r="P87" s="2671"/>
      <c r="Q87" s="502"/>
    </row>
    <row r="88" spans="1:17" s="116" customFormat="1" ht="15.75" thickBot="1">
      <c r="A88" s="577"/>
      <c r="B88" s="541"/>
      <c r="C88" s="580">
        <v>100</v>
      </c>
      <c r="D88" s="542">
        <f t="shared" ref="D88:M88" si="19">C88-$K25</f>
        <v>98</v>
      </c>
      <c r="E88" s="542">
        <f t="shared" si="19"/>
        <v>96</v>
      </c>
      <c r="F88" s="542">
        <f t="shared" si="19"/>
        <v>94</v>
      </c>
      <c r="G88" s="542">
        <f t="shared" si="19"/>
        <v>92</v>
      </c>
      <c r="H88" s="542">
        <f t="shared" si="19"/>
        <v>90</v>
      </c>
      <c r="I88" s="542">
        <f t="shared" si="19"/>
        <v>88</v>
      </c>
      <c r="J88" s="542">
        <f t="shared" si="19"/>
        <v>86</v>
      </c>
      <c r="K88" s="542">
        <f t="shared" si="19"/>
        <v>84</v>
      </c>
      <c r="L88" s="542">
        <f t="shared" si="19"/>
        <v>82</v>
      </c>
      <c r="M88" s="542">
        <f t="shared" si="19"/>
        <v>80</v>
      </c>
      <c r="N88" s="1151"/>
      <c r="O88" s="1151"/>
      <c r="P88" s="2671"/>
      <c r="Q88" s="502"/>
    </row>
    <row r="89" spans="1:17" s="116" customFormat="1" ht="15.75" thickTop="1">
      <c r="A89" s="577"/>
      <c r="B89" s="536" t="str">
        <f>B27</f>
        <v>楼层</v>
      </c>
      <c r="C89" s="2942" t="s">
        <v>3108</v>
      </c>
      <c r="D89" s="2942" t="s">
        <v>3110</v>
      </c>
      <c r="E89" s="2942" t="s">
        <v>3112</v>
      </c>
      <c r="F89" s="2622"/>
      <c r="G89" s="552"/>
      <c r="H89" s="552"/>
      <c r="I89" s="552"/>
      <c r="J89" s="552"/>
      <c r="K89" s="552"/>
      <c r="L89" s="552"/>
      <c r="M89" s="579"/>
      <c r="N89" s="1149"/>
      <c r="O89" s="1149"/>
      <c r="P89" s="2671"/>
      <c r="Q89" s="502"/>
    </row>
    <row r="90" spans="1:17" s="116" customFormat="1" ht="15.75" thickBot="1">
      <c r="A90" s="577"/>
      <c r="B90" s="541"/>
      <c r="C90" s="580">
        <v>100</v>
      </c>
      <c r="D90" s="542">
        <f>C90-$K27</f>
        <v>99</v>
      </c>
      <c r="E90" s="542">
        <f t="shared" ref="E90:M90" si="20">D90-$K27</f>
        <v>98</v>
      </c>
      <c r="F90" s="542">
        <f t="shared" si="20"/>
        <v>97</v>
      </c>
      <c r="G90" s="542">
        <f t="shared" si="20"/>
        <v>96</v>
      </c>
      <c r="H90" s="542">
        <f t="shared" si="20"/>
        <v>95</v>
      </c>
      <c r="I90" s="542">
        <f t="shared" si="20"/>
        <v>94</v>
      </c>
      <c r="J90" s="542">
        <f t="shared" si="20"/>
        <v>93</v>
      </c>
      <c r="K90" s="542">
        <f t="shared" si="20"/>
        <v>92</v>
      </c>
      <c r="L90" s="542">
        <f t="shared" si="20"/>
        <v>91</v>
      </c>
      <c r="M90" s="542">
        <f t="shared" si="20"/>
        <v>90</v>
      </c>
      <c r="N90" s="1151"/>
      <c r="O90" s="1151"/>
      <c r="P90" s="2671"/>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72"/>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72"/>
      <c r="Q92" s="557"/>
    </row>
    <row r="93" spans="1:17" ht="15.75" thickTop="1">
      <c r="A93" s="532"/>
      <c r="B93" s="536">
        <f>B29</f>
        <v>111</v>
      </c>
      <c r="C93" s="552"/>
      <c r="D93" s="552"/>
      <c r="E93" s="552"/>
      <c r="F93" s="552"/>
      <c r="G93" s="552"/>
      <c r="H93" s="552"/>
      <c r="I93" s="552"/>
      <c r="J93" s="552"/>
      <c r="K93" s="552"/>
      <c r="L93" s="578"/>
      <c r="M93" s="579"/>
      <c r="N93" s="1150"/>
      <c r="O93" s="1150"/>
      <c r="P93" s="2671"/>
      <c r="Q93" s="502"/>
    </row>
    <row r="94" spans="1:17" ht="15.75" thickBot="1">
      <c r="A94" s="532"/>
      <c r="B94" s="541"/>
      <c r="C94" s="558"/>
      <c r="D94" s="534"/>
      <c r="E94" s="534"/>
      <c r="F94" s="534"/>
      <c r="G94" s="534"/>
      <c r="H94" s="534"/>
      <c r="I94" s="534"/>
      <c r="J94" s="534"/>
      <c r="K94" s="534"/>
      <c r="L94" s="534"/>
      <c r="M94" s="535"/>
      <c r="N94" s="1151"/>
      <c r="O94" s="1151"/>
      <c r="P94" s="2671"/>
      <c r="Q94" s="502"/>
    </row>
    <row r="95" spans="1:17" ht="15.75" thickTop="1">
      <c r="A95" s="532"/>
      <c r="B95" s="536">
        <f>B30</f>
        <v>111</v>
      </c>
      <c r="C95" s="552"/>
      <c r="D95" s="552"/>
      <c r="E95" s="552"/>
      <c r="F95" s="552"/>
      <c r="G95" s="581"/>
      <c r="H95" s="581"/>
      <c r="I95" s="581"/>
      <c r="J95" s="581"/>
      <c r="K95" s="582"/>
      <c r="L95" s="583"/>
      <c r="M95" s="584"/>
      <c r="N95" s="1150"/>
      <c r="O95" s="1150"/>
      <c r="P95" s="2671"/>
      <c r="Q95" s="502"/>
    </row>
    <row r="96" spans="1:17" ht="15.75" thickBot="1">
      <c r="A96" s="532"/>
      <c r="B96" s="541"/>
      <c r="C96" s="558"/>
      <c r="D96" s="558"/>
      <c r="E96" s="558"/>
      <c r="F96" s="558"/>
      <c r="G96" s="534"/>
      <c r="H96" s="534"/>
      <c r="I96" s="534"/>
      <c r="J96" s="534"/>
      <c r="K96" s="534"/>
      <c r="L96" s="534"/>
      <c r="M96" s="535"/>
      <c r="N96" s="1151"/>
      <c r="O96" s="1151"/>
      <c r="P96" s="2671"/>
      <c r="Q96" s="502"/>
    </row>
    <row r="97" spans="1:17" ht="15.75" thickTop="1">
      <c r="A97" s="532"/>
      <c r="B97" s="536">
        <f>B31</f>
        <v>111</v>
      </c>
      <c r="C97" s="552"/>
      <c r="D97" s="552"/>
      <c r="E97" s="552"/>
      <c r="F97" s="552"/>
      <c r="G97" s="581"/>
      <c r="H97" s="581"/>
      <c r="I97" s="581"/>
      <c r="J97" s="581"/>
      <c r="K97" s="582"/>
      <c r="L97" s="583"/>
      <c r="M97" s="584"/>
      <c r="N97" s="1150"/>
      <c r="O97" s="1150"/>
      <c r="P97" s="2671"/>
      <c r="Q97" s="502"/>
    </row>
    <row r="98" spans="1:17" ht="15.75" thickBot="1">
      <c r="A98" s="532"/>
      <c r="B98" s="541"/>
      <c r="C98" s="558"/>
      <c r="D98" s="534"/>
      <c r="E98" s="534"/>
      <c r="F98" s="534"/>
      <c r="G98" s="534"/>
      <c r="H98" s="534"/>
      <c r="I98" s="534"/>
      <c r="J98" s="534"/>
      <c r="K98" s="534"/>
      <c r="L98" s="534"/>
      <c r="M98" s="535"/>
      <c r="N98" s="1151"/>
      <c r="O98" s="1151"/>
      <c r="P98" s="2671"/>
      <c r="Q98" s="502"/>
    </row>
    <row r="99" spans="1:17" ht="15.75" thickTop="1">
      <c r="A99" s="532"/>
      <c r="B99" s="544">
        <f>B32</f>
        <v>111</v>
      </c>
      <c r="C99" s="521"/>
      <c r="D99" s="521"/>
      <c r="E99" s="521"/>
      <c r="F99" s="521"/>
      <c r="G99" s="585"/>
      <c r="H99" s="585"/>
      <c r="I99" s="585"/>
      <c r="J99" s="585"/>
      <c r="K99" s="586"/>
      <c r="L99" s="587"/>
      <c r="M99" s="588"/>
      <c r="N99" s="1150"/>
      <c r="O99" s="1150"/>
      <c r="P99" s="2671"/>
      <c r="Q99" s="502"/>
    </row>
    <row r="100" spans="1:17" ht="15.75" thickBot="1">
      <c r="A100" s="2623"/>
      <c r="B100" s="567"/>
      <c r="C100" s="568"/>
      <c r="D100" s="568"/>
      <c r="E100" s="568"/>
      <c r="F100" s="568"/>
      <c r="G100" s="589"/>
      <c r="H100" s="589"/>
      <c r="I100" s="589"/>
      <c r="J100" s="589"/>
      <c r="K100" s="589"/>
      <c r="L100" s="589"/>
      <c r="M100" s="590"/>
      <c r="N100" s="1151"/>
      <c r="O100" s="1151"/>
      <c r="P100" s="2671"/>
      <c r="Q100" s="502"/>
    </row>
    <row r="101" spans="1:17">
      <c r="A101" s="525" t="s">
        <v>2547</v>
      </c>
      <c r="B101" s="526" t="s">
        <v>2596</v>
      </c>
      <c r="C101" s="2944" t="s">
        <v>3085</v>
      </c>
      <c r="D101" s="2944" t="s">
        <v>3126</v>
      </c>
      <c r="E101" s="528"/>
      <c r="F101" s="528"/>
      <c r="G101" s="528"/>
      <c r="H101" s="528"/>
      <c r="I101" s="528"/>
      <c r="J101" s="528"/>
      <c r="K101" s="529"/>
      <c r="L101" s="530"/>
      <c r="M101" s="531"/>
      <c r="N101" s="1150"/>
      <c r="O101" s="1150"/>
      <c r="P101" s="2671"/>
      <c r="Q101" s="502"/>
    </row>
    <row r="102" spans="1:17" ht="15.75" thickBot="1">
      <c r="A102" s="532"/>
      <c r="B102" s="541"/>
      <c r="C102" s="542">
        <v>100</v>
      </c>
      <c r="D102" s="542">
        <f t="shared" ref="D102:M102" si="22">C102-$K33</f>
        <v>99</v>
      </c>
      <c r="E102" s="542">
        <f t="shared" si="22"/>
        <v>98</v>
      </c>
      <c r="F102" s="542">
        <f t="shared" si="22"/>
        <v>97</v>
      </c>
      <c r="G102" s="542">
        <f t="shared" si="22"/>
        <v>96</v>
      </c>
      <c r="H102" s="542">
        <f t="shared" si="22"/>
        <v>95</v>
      </c>
      <c r="I102" s="542">
        <f t="shared" si="22"/>
        <v>94</v>
      </c>
      <c r="J102" s="542">
        <f t="shared" si="22"/>
        <v>93</v>
      </c>
      <c r="K102" s="542">
        <f t="shared" si="22"/>
        <v>92</v>
      </c>
      <c r="L102" s="542">
        <f t="shared" si="22"/>
        <v>91</v>
      </c>
      <c r="M102" s="543">
        <f t="shared" si="22"/>
        <v>90</v>
      </c>
      <c r="N102" s="1151"/>
      <c r="O102" s="1151"/>
      <c r="P102" s="2671"/>
      <c r="Q102" s="502"/>
    </row>
    <row r="103" spans="1:17" ht="29.25" thickTop="1">
      <c r="A103" s="532"/>
      <c r="B103" s="536" t="s">
        <v>2597</v>
      </c>
      <c r="C103" s="576" t="str">
        <f>C104&amp;"(含)"&amp;"-"&amp;D104</f>
        <v>0(含)-200</v>
      </c>
      <c r="D103" s="576" t="str">
        <f t="shared" ref="D103:L103" si="23">D104&amp;"(含)"&amp;"-"&amp;E104</f>
        <v>200(含)-400</v>
      </c>
      <c r="E103" s="576" t="str">
        <f t="shared" si="23"/>
        <v>400(含)-600</v>
      </c>
      <c r="F103" s="576" t="str">
        <f t="shared" si="23"/>
        <v>600(含)-800</v>
      </c>
      <c r="G103" s="576" t="str">
        <f t="shared" si="23"/>
        <v>800(含)-1000</v>
      </c>
      <c r="H103" s="576" t="str">
        <f t="shared" si="23"/>
        <v>1000(含)-2000</v>
      </c>
      <c r="I103" s="576" t="str">
        <f t="shared" si="23"/>
        <v>2000(含)-3000</v>
      </c>
      <c r="J103" s="576" t="str">
        <f t="shared" si="23"/>
        <v>3000(含)-</v>
      </c>
      <c r="K103" s="576" t="str">
        <f t="shared" si="23"/>
        <v>(含)-</v>
      </c>
      <c r="L103" s="576" t="str">
        <f t="shared" si="23"/>
        <v>(含)-</v>
      </c>
      <c r="M103" s="620" t="str">
        <f>M104&amp;"(含)"&amp;"-"&amp;P104</f>
        <v>(含)-</v>
      </c>
      <c r="N103" s="1149"/>
      <c r="O103" s="1149"/>
      <c r="P103" s="2671"/>
      <c r="Q103" s="502"/>
    </row>
    <row r="104" spans="1:17" s="469" customFormat="1">
      <c r="A104" s="591"/>
      <c r="B104" s="592"/>
      <c r="C104" s="593">
        <v>0</v>
      </c>
      <c r="D104" s="593">
        <v>200</v>
      </c>
      <c r="E104" s="593">
        <v>400</v>
      </c>
      <c r="F104" s="593">
        <v>600</v>
      </c>
      <c r="G104" s="593">
        <v>800</v>
      </c>
      <c r="H104" s="593">
        <v>1000</v>
      </c>
      <c r="I104" s="593">
        <v>2000</v>
      </c>
      <c r="J104" s="594">
        <v>3000</v>
      </c>
      <c r="K104" s="594"/>
      <c r="L104" s="595"/>
      <c r="M104" s="596"/>
      <c r="N104" s="1152"/>
      <c r="O104" s="1152"/>
      <c r="P104" s="2672"/>
      <c r="Q104" s="557"/>
    </row>
    <row r="105" spans="1:17" s="469" customFormat="1" ht="15.75" thickBot="1">
      <c r="A105" s="551"/>
      <c r="B105" s="541"/>
      <c r="C105" s="558">
        <v>96</v>
      </c>
      <c r="D105" s="534">
        <v>98</v>
      </c>
      <c r="E105" s="534">
        <v>100</v>
      </c>
      <c r="F105" s="534">
        <v>98</v>
      </c>
      <c r="G105" s="534">
        <v>96</v>
      </c>
      <c r="H105" s="534">
        <v>94</v>
      </c>
      <c r="I105" s="534">
        <v>92</v>
      </c>
      <c r="J105" s="534">
        <v>90</v>
      </c>
      <c r="K105" s="534"/>
      <c r="L105" s="534"/>
      <c r="M105" s="535"/>
      <c r="N105" s="1151"/>
      <c r="O105" s="1151"/>
      <c r="P105" s="2672"/>
      <c r="Q105" s="557"/>
    </row>
    <row r="106" spans="1:17" ht="15" thickTop="1">
      <c r="A106" s="597"/>
      <c r="B106" s="536" t="s">
        <v>2598</v>
      </c>
      <c r="C106" s="2942" t="s">
        <v>3084</v>
      </c>
      <c r="D106" s="2942" t="s">
        <v>3117</v>
      </c>
      <c r="E106" s="581"/>
      <c r="F106" s="581"/>
      <c r="G106" s="581"/>
      <c r="H106" s="581"/>
      <c r="I106" s="581"/>
      <c r="J106" s="581"/>
      <c r="K106" s="582"/>
      <c r="L106" s="583"/>
      <c r="M106" s="584"/>
      <c r="N106" s="1150"/>
      <c r="O106" s="1150"/>
      <c r="P106" s="2671"/>
      <c r="Q106" s="502"/>
    </row>
    <row r="107" spans="1:17" ht="15.75" thickBot="1">
      <c r="A107" s="532"/>
      <c r="B107" s="541"/>
      <c r="C107" s="542">
        <v>100</v>
      </c>
      <c r="D107" s="542">
        <f t="shared" ref="D107:M107" si="24">C107-$K35</f>
        <v>99</v>
      </c>
      <c r="E107" s="542">
        <f t="shared" si="24"/>
        <v>98</v>
      </c>
      <c r="F107" s="542">
        <f t="shared" si="24"/>
        <v>97</v>
      </c>
      <c r="G107" s="542">
        <f t="shared" si="24"/>
        <v>96</v>
      </c>
      <c r="H107" s="542">
        <f t="shared" si="24"/>
        <v>95</v>
      </c>
      <c r="I107" s="542">
        <f t="shared" si="24"/>
        <v>94</v>
      </c>
      <c r="J107" s="542">
        <f t="shared" si="24"/>
        <v>93</v>
      </c>
      <c r="K107" s="542">
        <f t="shared" si="24"/>
        <v>92</v>
      </c>
      <c r="L107" s="542">
        <f t="shared" si="24"/>
        <v>91</v>
      </c>
      <c r="M107" s="543">
        <f t="shared" si="24"/>
        <v>90</v>
      </c>
      <c r="N107" s="1151"/>
      <c r="O107" s="1151"/>
      <c r="P107" s="2671"/>
      <c r="Q107" s="502"/>
    </row>
    <row r="108" spans="1:17" ht="15" thickTop="1">
      <c r="A108" s="597"/>
      <c r="B108" s="536" t="s">
        <v>2600</v>
      </c>
      <c r="C108" s="2942" t="s">
        <v>3083</v>
      </c>
      <c r="D108" s="2942" t="s">
        <v>3094</v>
      </c>
      <c r="E108" s="2942" t="s">
        <v>3114</v>
      </c>
      <c r="F108" s="2943" t="s">
        <v>3116</v>
      </c>
      <c r="G108" s="581"/>
      <c r="H108" s="581"/>
      <c r="I108" s="581"/>
      <c r="J108" s="581"/>
      <c r="K108" s="582"/>
      <c r="L108" s="583"/>
      <c r="M108" s="584"/>
      <c r="N108" s="1150"/>
      <c r="O108" s="1150"/>
      <c r="P108" s="2671"/>
      <c r="Q108" s="502"/>
    </row>
    <row r="109" spans="1:17" ht="15.75" thickBot="1">
      <c r="A109" s="532"/>
      <c r="B109" s="541"/>
      <c r="C109" s="542">
        <v>100</v>
      </c>
      <c r="D109" s="542">
        <f t="shared" ref="D109:M109" si="25">C109-$K36</f>
        <v>98</v>
      </c>
      <c r="E109" s="542">
        <f t="shared" si="25"/>
        <v>96</v>
      </c>
      <c r="F109" s="542">
        <f t="shared" si="25"/>
        <v>94</v>
      </c>
      <c r="G109" s="542">
        <f t="shared" si="25"/>
        <v>92</v>
      </c>
      <c r="H109" s="542">
        <f t="shared" si="25"/>
        <v>90</v>
      </c>
      <c r="I109" s="542">
        <f t="shared" si="25"/>
        <v>88</v>
      </c>
      <c r="J109" s="542">
        <f t="shared" si="25"/>
        <v>86</v>
      </c>
      <c r="K109" s="542">
        <f t="shared" si="25"/>
        <v>84</v>
      </c>
      <c r="L109" s="542">
        <f t="shared" si="25"/>
        <v>82</v>
      </c>
      <c r="M109" s="543">
        <f t="shared" si="25"/>
        <v>80</v>
      </c>
      <c r="N109" s="1151"/>
      <c r="O109" s="1151"/>
      <c r="P109" s="2671"/>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71"/>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71"/>
      <c r="Q111" s="502"/>
    </row>
    <row r="112" spans="1:17" ht="15.75" thickBot="1">
      <c r="A112" s="532"/>
      <c r="B112" s="541"/>
      <c r="C112" s="580">
        <v>100</v>
      </c>
      <c r="D112" s="542">
        <f>C112+$K37</f>
        <v>103</v>
      </c>
      <c r="E112" s="542">
        <f t="shared" ref="E112:M112" si="26">D112+$K37</f>
        <v>106</v>
      </c>
      <c r="F112" s="542">
        <f t="shared" si="26"/>
        <v>109</v>
      </c>
      <c r="G112" s="542">
        <f t="shared" si="26"/>
        <v>112</v>
      </c>
      <c r="H112" s="542">
        <f t="shared" si="26"/>
        <v>115</v>
      </c>
      <c r="I112" s="542">
        <f t="shared" si="26"/>
        <v>118</v>
      </c>
      <c r="J112" s="542">
        <f t="shared" si="26"/>
        <v>121</v>
      </c>
      <c r="K112" s="542">
        <f t="shared" si="26"/>
        <v>124</v>
      </c>
      <c r="L112" s="542">
        <f t="shared" si="26"/>
        <v>127</v>
      </c>
      <c r="M112" s="542">
        <f t="shared" si="26"/>
        <v>130</v>
      </c>
      <c r="N112" s="1151"/>
      <c r="O112" s="1151"/>
      <c r="P112" s="2671"/>
      <c r="Q112" s="502"/>
    </row>
    <row r="113" spans="1:17" s="469" customFormat="1" ht="15" thickTop="1">
      <c r="A113" s="591"/>
      <c r="B113" s="536" t="s">
        <v>2684</v>
      </c>
      <c r="C113" s="2942" t="s">
        <v>3082</v>
      </c>
      <c r="D113" s="2942" t="s">
        <v>3093</v>
      </c>
      <c r="E113" s="552"/>
      <c r="F113" s="552"/>
      <c r="G113" s="552"/>
      <c r="H113" s="581"/>
      <c r="I113" s="581"/>
      <c r="J113" s="581"/>
      <c r="K113" s="582"/>
      <c r="L113" s="583"/>
      <c r="M113" s="584"/>
      <c r="N113" s="1152"/>
      <c r="O113" s="1152"/>
      <c r="P113" s="2672"/>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72"/>
      <c r="Q114" s="557"/>
    </row>
    <row r="115" spans="1:17" ht="15" thickTop="1">
      <c r="A115" s="597"/>
      <c r="B115" s="536" t="s">
        <v>2601</v>
      </c>
      <c r="C115" s="2942" t="s">
        <v>3088</v>
      </c>
      <c r="D115" s="2942" t="s">
        <v>3092</v>
      </c>
      <c r="E115" s="581"/>
      <c r="F115" s="581"/>
      <c r="G115" s="581"/>
      <c r="H115" s="581"/>
      <c r="I115" s="581"/>
      <c r="J115" s="581"/>
      <c r="K115" s="582"/>
      <c r="L115" s="583"/>
      <c r="M115" s="584"/>
      <c r="N115" s="1150"/>
      <c r="O115" s="1150"/>
      <c r="P115" s="2671"/>
      <c r="Q115" s="502"/>
    </row>
    <row r="116" spans="1:17" ht="15.75" thickBot="1">
      <c r="A116" s="532"/>
      <c r="B116" s="541"/>
      <c r="C116" s="542">
        <v>100</v>
      </c>
      <c r="D116" s="542">
        <f t="shared" ref="D116:M116" si="28">C116-$K39</f>
        <v>99</v>
      </c>
      <c r="E116" s="542">
        <f t="shared" si="28"/>
        <v>98</v>
      </c>
      <c r="F116" s="542">
        <f t="shared" si="28"/>
        <v>97</v>
      </c>
      <c r="G116" s="542">
        <f t="shared" si="28"/>
        <v>96</v>
      </c>
      <c r="H116" s="542">
        <f t="shared" si="28"/>
        <v>95</v>
      </c>
      <c r="I116" s="542">
        <f t="shared" si="28"/>
        <v>94</v>
      </c>
      <c r="J116" s="542">
        <f t="shared" si="28"/>
        <v>93</v>
      </c>
      <c r="K116" s="542">
        <f t="shared" si="28"/>
        <v>92</v>
      </c>
      <c r="L116" s="542">
        <f t="shared" si="28"/>
        <v>91</v>
      </c>
      <c r="M116" s="543">
        <f t="shared" si="28"/>
        <v>90</v>
      </c>
      <c r="N116" s="1151"/>
      <c r="O116" s="1151"/>
      <c r="P116" s="2671"/>
      <c r="Q116" s="502"/>
    </row>
    <row r="117" spans="1:17" ht="15" thickTop="1">
      <c r="A117" s="597"/>
      <c r="B117" s="536" t="s">
        <v>2602</v>
      </c>
      <c r="C117" s="2942" t="s">
        <v>3089</v>
      </c>
      <c r="D117" s="2942" t="s">
        <v>3107</v>
      </c>
      <c r="E117" s="552"/>
      <c r="F117" s="552"/>
      <c r="G117" s="552"/>
      <c r="H117" s="581"/>
      <c r="I117" s="581"/>
      <c r="J117" s="581"/>
      <c r="K117" s="582"/>
      <c r="L117" s="583"/>
      <c r="M117" s="584"/>
      <c r="N117" s="1150"/>
      <c r="O117" s="1150"/>
      <c r="P117" s="2671"/>
      <c r="Q117" s="502"/>
    </row>
    <row r="118" spans="1:17" ht="15.75" thickBot="1">
      <c r="A118" s="532"/>
      <c r="B118" s="541"/>
      <c r="C118" s="542">
        <v>100</v>
      </c>
      <c r="D118" s="542">
        <f>C118-$K40</f>
        <v>99</v>
      </c>
      <c r="E118" s="542">
        <f>D118-$K40</f>
        <v>98</v>
      </c>
      <c r="F118" s="542">
        <f>E118-$K40</f>
        <v>97</v>
      </c>
      <c r="G118" s="542">
        <f>F118-$K40</f>
        <v>96</v>
      </c>
      <c r="H118" s="542"/>
      <c r="I118" s="542"/>
      <c r="J118" s="542"/>
      <c r="K118" s="542"/>
      <c r="L118" s="542"/>
      <c r="M118" s="543"/>
      <c r="N118" s="1151"/>
      <c r="O118" s="1151"/>
      <c r="P118" s="2671"/>
      <c r="Q118" s="502"/>
    </row>
    <row r="119" spans="1:17" ht="15" thickTop="1">
      <c r="A119" s="597"/>
      <c r="B119" s="634" t="s">
        <v>2685</v>
      </c>
      <c r="C119" s="2943" t="s">
        <v>3087</v>
      </c>
      <c r="D119" s="581"/>
      <c r="E119" s="581"/>
      <c r="F119" s="581"/>
      <c r="G119" s="581"/>
      <c r="H119" s="581"/>
      <c r="I119" s="581"/>
      <c r="J119" s="581"/>
      <c r="K119" s="581"/>
      <c r="L119" s="2676"/>
      <c r="M119" s="2677"/>
      <c r="N119" s="1151"/>
      <c r="O119" s="1151"/>
      <c r="P119" s="2678"/>
      <c r="Q119" s="636"/>
    </row>
    <row r="120" spans="1:17" ht="15.75" thickBot="1">
      <c r="A120" s="532"/>
      <c r="B120" s="541"/>
      <c r="C120" s="580">
        <v>100</v>
      </c>
      <c r="D120" s="542">
        <f>C120-$K41</f>
        <v>99</v>
      </c>
      <c r="E120" s="542">
        <f t="shared" ref="E120:M120" si="29">D120-$K41</f>
        <v>98</v>
      </c>
      <c r="F120" s="542">
        <f t="shared" si="29"/>
        <v>97</v>
      </c>
      <c r="G120" s="542">
        <f t="shared" si="29"/>
        <v>96</v>
      </c>
      <c r="H120" s="542">
        <f t="shared" si="29"/>
        <v>95</v>
      </c>
      <c r="I120" s="542">
        <f t="shared" si="29"/>
        <v>94</v>
      </c>
      <c r="J120" s="542">
        <f t="shared" si="29"/>
        <v>93</v>
      </c>
      <c r="K120" s="542">
        <f t="shared" si="29"/>
        <v>92</v>
      </c>
      <c r="L120" s="542">
        <f t="shared" si="29"/>
        <v>91</v>
      </c>
      <c r="M120" s="542">
        <f t="shared" si="29"/>
        <v>90</v>
      </c>
      <c r="N120" s="1151"/>
      <c r="O120" s="1151"/>
      <c r="P120" s="2671"/>
      <c r="Q120" s="502"/>
    </row>
    <row r="121" spans="1:17" s="469" customFormat="1" ht="15" thickTop="1">
      <c r="A121" s="591"/>
      <c r="B121" s="536" t="s">
        <v>2668</v>
      </c>
      <c r="C121" s="552"/>
      <c r="D121" s="552"/>
      <c r="E121" s="552"/>
      <c r="F121" s="581"/>
      <c r="G121" s="553">
        <v>100</v>
      </c>
      <c r="H121" s="553"/>
      <c r="I121" s="553"/>
      <c r="J121" s="553"/>
      <c r="K121" s="553"/>
      <c r="L121" s="554"/>
      <c r="M121" s="555"/>
      <c r="N121" s="1152"/>
      <c r="O121" s="1152"/>
      <c r="P121" s="2672"/>
      <c r="Q121" s="557"/>
    </row>
    <row r="122" spans="1:17" s="469" customFormat="1" ht="15.75" thickBot="1">
      <c r="A122" s="551"/>
      <c r="B122" s="533"/>
      <c r="C122" s="558">
        <v>200</v>
      </c>
      <c r="D122" s="558">
        <v>400</v>
      </c>
      <c r="E122" s="558">
        <v>600</v>
      </c>
      <c r="F122" s="558">
        <v>800</v>
      </c>
      <c r="G122" s="558">
        <v>1000</v>
      </c>
      <c r="H122" s="558">
        <v>2000</v>
      </c>
      <c r="I122" s="558">
        <v>3000</v>
      </c>
      <c r="J122" s="558"/>
      <c r="K122" s="558"/>
      <c r="L122" s="558"/>
      <c r="M122" s="558"/>
      <c r="N122" s="1152"/>
      <c r="O122" s="1152"/>
      <c r="P122" s="2672"/>
      <c r="Q122" s="557"/>
    </row>
    <row r="123" spans="1:17" ht="15" thickTop="1">
      <c r="A123" s="597"/>
      <c r="B123" s="536" t="s">
        <v>2604</v>
      </c>
      <c r="C123" s="2942" t="s">
        <v>3081</v>
      </c>
      <c r="D123" s="2942" t="s">
        <v>3090</v>
      </c>
      <c r="E123" s="2942" t="s">
        <v>3091</v>
      </c>
      <c r="F123" s="2943" t="s">
        <v>3116</v>
      </c>
      <c r="G123" s="581"/>
      <c r="H123" s="581"/>
      <c r="I123" s="581"/>
      <c r="J123" s="581"/>
      <c r="K123" s="582"/>
      <c r="L123" s="583"/>
      <c r="M123" s="584"/>
      <c r="N123" s="1150"/>
      <c r="O123" s="1150"/>
      <c r="P123" s="2671"/>
      <c r="Q123" s="502"/>
    </row>
    <row r="124" spans="1:17" ht="15.75" thickBot="1">
      <c r="A124" s="532"/>
      <c r="B124" s="541"/>
      <c r="C124" s="542">
        <v>100</v>
      </c>
      <c r="D124" s="542">
        <f t="shared" ref="D124:M124" si="30">C124-$K43</f>
        <v>99</v>
      </c>
      <c r="E124" s="542">
        <f t="shared" si="30"/>
        <v>98</v>
      </c>
      <c r="F124" s="542">
        <f t="shared" si="30"/>
        <v>97</v>
      </c>
      <c r="G124" s="542">
        <f t="shared" si="30"/>
        <v>96</v>
      </c>
      <c r="H124" s="542">
        <f t="shared" si="30"/>
        <v>95</v>
      </c>
      <c r="I124" s="542">
        <f t="shared" si="30"/>
        <v>94</v>
      </c>
      <c r="J124" s="542">
        <f t="shared" si="30"/>
        <v>93</v>
      </c>
      <c r="K124" s="542">
        <f t="shared" si="30"/>
        <v>92</v>
      </c>
      <c r="L124" s="542">
        <f t="shared" si="30"/>
        <v>91</v>
      </c>
      <c r="M124" s="543">
        <f t="shared" si="30"/>
        <v>90</v>
      </c>
      <c r="N124" s="1151"/>
      <c r="O124" s="1151"/>
      <c r="P124" s="2671"/>
      <c r="Q124" s="502"/>
    </row>
    <row r="125" spans="1:17" ht="15" thickTop="1">
      <c r="A125" s="597"/>
      <c r="B125" s="536" t="s">
        <v>2605</v>
      </c>
      <c r="C125" s="576" t="s">
        <v>2581</v>
      </c>
      <c r="D125" s="576" t="s">
        <v>2582</v>
      </c>
      <c r="E125" s="576" t="s">
        <v>2583</v>
      </c>
      <c r="F125" s="576" t="s">
        <v>2584</v>
      </c>
      <c r="G125" s="576" t="s">
        <v>2585</v>
      </c>
      <c r="H125" s="537"/>
      <c r="I125" s="537"/>
      <c r="J125" s="537"/>
      <c r="K125" s="538"/>
      <c r="L125" s="539"/>
      <c r="M125" s="540"/>
      <c r="N125" s="1150"/>
      <c r="O125" s="1150"/>
      <c r="P125" s="2672"/>
      <c r="Q125" s="502"/>
    </row>
    <row r="126" spans="1:17" ht="15.75" thickBot="1">
      <c r="A126" s="532"/>
      <c r="B126" s="541"/>
      <c r="C126" s="542">
        <v>100</v>
      </c>
      <c r="D126" s="542">
        <f>C126-$K44</f>
        <v>99</v>
      </c>
      <c r="E126" s="542">
        <f>D126-$K44</f>
        <v>98</v>
      </c>
      <c r="F126" s="542">
        <f>E126-$K44</f>
        <v>97</v>
      </c>
      <c r="G126" s="542">
        <f>F126-$K44</f>
        <v>96</v>
      </c>
      <c r="H126" s="542"/>
      <c r="I126" s="542"/>
      <c r="J126" s="542"/>
      <c r="K126" s="542"/>
      <c r="L126" s="542"/>
      <c r="M126" s="543"/>
      <c r="N126" s="1151"/>
      <c r="O126" s="1151"/>
      <c r="P126" s="2671"/>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72"/>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72"/>
      <c r="Q128" s="557"/>
    </row>
    <row r="129" spans="1:17" ht="15" thickTop="1">
      <c r="A129" s="597"/>
      <c r="B129" s="536">
        <f>B46</f>
        <v>111</v>
      </c>
      <c r="C129" s="552"/>
      <c r="D129" s="552"/>
      <c r="E129" s="552"/>
      <c r="F129" s="552"/>
      <c r="G129" s="581"/>
      <c r="H129" s="581"/>
      <c r="I129" s="581"/>
      <c r="J129" s="581"/>
      <c r="K129" s="582"/>
      <c r="L129" s="583"/>
      <c r="M129" s="584"/>
      <c r="N129" s="1150"/>
      <c r="O129" s="1150"/>
      <c r="P129" s="2671"/>
      <c r="Q129" s="502"/>
    </row>
    <row r="130" spans="1:17" ht="15.75" thickBot="1">
      <c r="A130" s="532"/>
      <c r="B130" s="541"/>
      <c r="C130" s="558"/>
      <c r="D130" s="558"/>
      <c r="E130" s="558"/>
      <c r="F130" s="558"/>
      <c r="G130" s="534"/>
      <c r="H130" s="534"/>
      <c r="I130" s="534"/>
      <c r="J130" s="534"/>
      <c r="K130" s="534"/>
      <c r="L130" s="534"/>
      <c r="M130" s="535"/>
      <c r="N130" s="1151"/>
      <c r="O130" s="1151"/>
      <c r="P130" s="2671"/>
      <c r="Q130" s="502"/>
    </row>
    <row r="131" spans="1:17" ht="15" thickTop="1">
      <c r="A131" s="597"/>
      <c r="B131" s="544">
        <f>B47</f>
        <v>0.95</v>
      </c>
      <c r="C131" s="521"/>
      <c r="D131" s="521"/>
      <c r="E131" s="521"/>
      <c r="F131" s="521"/>
      <c r="G131" s="585"/>
      <c r="H131" s="585"/>
      <c r="I131" s="585"/>
      <c r="J131" s="585"/>
      <c r="K131" s="521"/>
      <c r="L131" s="522"/>
      <c r="M131" s="588"/>
      <c r="N131" s="1150"/>
      <c r="O131" s="1150"/>
      <c r="P131" s="2671"/>
      <c r="Q131" s="502"/>
    </row>
    <row r="132" spans="1:17" ht="15.75" thickBot="1">
      <c r="A132" s="2623"/>
      <c r="B132" s="567"/>
      <c r="C132" s="568"/>
      <c r="D132" s="568"/>
      <c r="E132" s="568"/>
      <c r="F132" s="568"/>
      <c r="G132" s="589"/>
      <c r="H132" s="589"/>
      <c r="I132" s="589"/>
      <c r="J132" s="589"/>
      <c r="K132" s="589"/>
      <c r="L132" s="589"/>
      <c r="M132" s="590"/>
      <c r="N132" s="1151"/>
      <c r="O132" s="1151"/>
      <c r="P132" s="2671"/>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4" sqref="D24"/>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48" t="s">
        <v>2510</v>
      </c>
      <c r="B1" s="2549"/>
      <c r="C1" s="2549"/>
      <c r="D1" s="2549"/>
      <c r="E1" s="2550"/>
    </row>
    <row r="2" spans="1:6" ht="15.75">
      <c r="A2" s="2551" t="s">
        <v>2314</v>
      </c>
      <c r="B2" s="2552">
        <f ca="1">SUMIF(B6:B13,"&lt;&gt;#ref!",B6:B13)</f>
        <v>5202</v>
      </c>
      <c r="C2" s="2553" t="s">
        <v>2503</v>
      </c>
      <c r="D2" s="2554" t="s">
        <v>2504</v>
      </c>
      <c r="E2" s="2555">
        <f>SUM(E6:E13)</f>
        <v>16615.47</v>
      </c>
    </row>
    <row r="3" spans="1:6" ht="15.75">
      <c r="A3" s="2551" t="s">
        <v>1395</v>
      </c>
      <c r="B3" s="2552">
        <f ca="1">ROUND(B2*10000/E2,0)</f>
        <v>3131</v>
      </c>
      <c r="C3" s="2553" t="s">
        <v>2511</v>
      </c>
      <c r="D3" s="2556"/>
      <c r="E3" s="2557"/>
    </row>
    <row r="4" spans="1:6" ht="15.75">
      <c r="A4" s="2558"/>
      <c r="B4" s="2556"/>
      <c r="C4" s="2556"/>
      <c r="D4" s="2556"/>
      <c r="E4" s="2557"/>
    </row>
    <row r="5" spans="1:6" ht="15">
      <c r="A5" s="2559" t="s">
        <v>2505</v>
      </c>
      <c r="B5" s="3325" t="s">
        <v>2506</v>
      </c>
      <c r="C5" s="3325"/>
      <c r="D5" s="2560"/>
      <c r="E5" s="2561" t="s">
        <v>2507</v>
      </c>
      <c r="F5" s="2562" t="s">
        <v>2508</v>
      </c>
    </row>
    <row r="6" spans="1:6">
      <c r="A6" s="2563">
        <f>'数据-取费表'!AN6</f>
        <v>0</v>
      </c>
      <c r="B6" s="2562" t="e">
        <f ca="1">IF(F6="是",'数据-取费表'!AO6,0)</f>
        <v>#REF!</v>
      </c>
      <c r="C6" s="2553" t="s">
        <v>2503</v>
      </c>
      <c r="D6" s="2556"/>
      <c r="E6" s="2564">
        <f>IF(OR(A6=0,F6="否"),0,'数据-取费表'!K6+'数据-取费表'!S6)</f>
        <v>0</v>
      </c>
      <c r="F6" s="2565" t="s">
        <v>2509</v>
      </c>
    </row>
    <row r="7" spans="1:6">
      <c r="A7" s="2563" t="str">
        <f>'数据-取费表'!AN7</f>
        <v>收益法</v>
      </c>
      <c r="B7" s="2562">
        <f ca="1">IF(F7="是",'数据-取费表'!AO7,0)</f>
        <v>2126</v>
      </c>
      <c r="C7" s="2553" t="s">
        <v>2503</v>
      </c>
      <c r="D7" s="2556"/>
      <c r="E7" s="2564">
        <f>IF(OR(A7=0,F7="否"),0,'数据-取费表'!K7+'数据-取费表'!S7)</f>
        <v>5607.4699999999993</v>
      </c>
      <c r="F7" s="2565" t="s">
        <v>2509</v>
      </c>
    </row>
    <row r="8" spans="1:6">
      <c r="A8" s="2563" t="str">
        <f>'数据-取费表'!AN8</f>
        <v>收益法 (2)</v>
      </c>
      <c r="B8" s="2562">
        <f ca="1">IF(F8="是",'数据-取费表'!AO8,0)</f>
        <v>3076</v>
      </c>
      <c r="C8" s="2553" t="s">
        <v>2503</v>
      </c>
      <c r="D8" s="2556"/>
      <c r="E8" s="2564">
        <f>IF(OR(A8=0,F8="否"),0,'数据-取费表'!K8+'数据-取费表'!S8)</f>
        <v>11008</v>
      </c>
      <c r="F8" s="2565" t="s">
        <v>2509</v>
      </c>
    </row>
    <row r="9" spans="1:6">
      <c r="A9" s="2563">
        <f>'数据-取费表'!AN9</f>
        <v>0</v>
      </c>
      <c r="B9" s="2562" t="e">
        <f ca="1">IF(F9="是",'数据-取费表'!AO9,0)</f>
        <v>#REF!</v>
      </c>
      <c r="C9" s="2553" t="s">
        <v>2503</v>
      </c>
      <c r="D9" s="2556"/>
      <c r="E9" s="2564">
        <f>IF(OR(A9=0,F9="否"),0,'数据-取费表'!K9+'数据-取费表'!S9)</f>
        <v>0</v>
      </c>
      <c r="F9" s="2565" t="s">
        <v>2509</v>
      </c>
    </row>
    <row r="10" spans="1:6">
      <c r="A10" s="2563">
        <f>'数据-取费表'!AN10</f>
        <v>0</v>
      </c>
      <c r="B10" s="2562" t="e">
        <f ca="1">IF(F10="是",'数据-取费表'!AO10,0)</f>
        <v>#REF!</v>
      </c>
      <c r="C10" s="2553" t="s">
        <v>2503</v>
      </c>
      <c r="D10" s="2556"/>
      <c r="E10" s="2564">
        <f>IF(OR(A10=0,F10="否"),0,'数据-取费表'!K10+'数据-取费表'!S10)</f>
        <v>0</v>
      </c>
      <c r="F10" s="2565" t="s">
        <v>2509</v>
      </c>
    </row>
    <row r="11" spans="1:6">
      <c r="A11" s="2563">
        <f>'数据-取费表'!AN11</f>
        <v>0</v>
      </c>
      <c r="B11" s="2562" t="e">
        <f ca="1">IF(F11="是",'数据-取费表'!AO11,0)</f>
        <v>#REF!</v>
      </c>
      <c r="C11" s="2553" t="s">
        <v>2503</v>
      </c>
      <c r="D11" s="2556"/>
      <c r="E11" s="2564">
        <f>IF(OR(A11=0,F11="否"),0,'数据-取费表'!K11+'数据-取费表'!S11)</f>
        <v>0</v>
      </c>
      <c r="F11" s="2565" t="s">
        <v>2509</v>
      </c>
    </row>
    <row r="12" spans="1:6">
      <c r="A12" s="2563">
        <f>'数据-取费表'!AN12</f>
        <v>0</v>
      </c>
      <c r="B12" s="2562" t="e">
        <f ca="1">IF(F12="是",'数据-取费表'!AO12,0)</f>
        <v>#REF!</v>
      </c>
      <c r="C12" s="2553" t="s">
        <v>2503</v>
      </c>
      <c r="D12" s="2556"/>
      <c r="E12" s="2564">
        <f>IF(OR(A12=0,F12="否"),0,'数据-取费表'!K12+'数据-取费表'!S12)</f>
        <v>0</v>
      </c>
      <c r="F12" s="2565" t="s">
        <v>2509</v>
      </c>
    </row>
    <row r="13" spans="1:6" ht="15" thickBot="1">
      <c r="A13" s="2566">
        <f>'数据-取费表'!AN13</f>
        <v>0</v>
      </c>
      <c r="B13" s="2562" t="e">
        <f ca="1">IF(F13="是",'数据-取费表'!AO13,0)</f>
        <v>#REF!</v>
      </c>
      <c r="C13" s="2567" t="s">
        <v>2503</v>
      </c>
      <c r="D13" s="2568"/>
      <c r="E13" s="2564">
        <f>IF(OR(A13=0,F13="否"),0,'数据-取费表'!K13+'数据-取费表'!S13)</f>
        <v>0</v>
      </c>
      <c r="F13" s="2565"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P36" sqref="P3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78"/>
      <c r="C1" s="1832" t="s">
        <v>3120</v>
      </c>
      <c r="D1" s="1815" t="s">
        <v>70</v>
      </c>
      <c r="E1" s="1816" t="s">
        <v>1387</v>
      </c>
      <c r="F1" s="1279" t="e">
        <f ca="1">J53</f>
        <v>#N/A</v>
      </c>
      <c r="G1" s="1831" t="e">
        <f>MATCH(C1,'数据-取费表'!A6:A16,0)+5</f>
        <v>#N/A</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1515</v>
      </c>
      <c r="B2" s="1839" t="e">
        <f ca="1">C40+J29+L46</f>
        <v>#N/A</v>
      </c>
      <c r="C2" s="1840" t="s">
        <v>1516</v>
      </c>
      <c r="D2" s="1840"/>
      <c r="E2" s="1841"/>
      <c r="F2" s="1842"/>
      <c r="G2" s="1843"/>
      <c r="H2" s="1835"/>
      <c r="I2" s="1835"/>
      <c r="J2" s="1835"/>
      <c r="K2" s="1836"/>
      <c r="L2" s="1835"/>
      <c r="M2" s="1835"/>
    </row>
    <row r="3" spans="1:37" ht="18" customHeight="1" thickBot="1">
      <c r="A3" s="1844" t="s">
        <v>1517</v>
      </c>
      <c r="B3" s="1845">
        <f ca="1">IF(ISERROR(B2*10000/F43),0,ROUND(B2*10000/F43,0))</f>
        <v>0</v>
      </c>
      <c r="C3" s="1840" t="s">
        <v>1518</v>
      </c>
      <c r="D3" s="1840"/>
      <c r="E3" s="1841"/>
      <c r="F3" s="1842"/>
      <c r="G3" s="1843"/>
      <c r="H3" s="740"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8" t="e">
        <f ca="1">C6+C10+C12</f>
        <v>#N/A</v>
      </c>
      <c r="D5" s="1817" t="s">
        <v>1402</v>
      </c>
      <c r="E5" s="1289"/>
      <c r="F5" s="1290"/>
      <c r="G5" s="1846"/>
      <c r="H5" s="342">
        <v>1</v>
      </c>
      <c r="I5" s="343" t="s">
        <v>1401</v>
      </c>
      <c r="J5" s="1288" t="e">
        <f ca="1">J6+J10+J12</f>
        <v>#N/A</v>
      </c>
      <c r="K5" s="1817" t="s">
        <v>1402</v>
      </c>
      <c r="L5" s="1289"/>
      <c r="M5" s="1290"/>
    </row>
    <row r="6" spans="1:37" ht="18" customHeight="1">
      <c r="A6" s="1287" t="s">
        <v>1035</v>
      </c>
      <c r="B6" s="3326" t="s">
        <v>1403</v>
      </c>
      <c r="C6" s="1292" t="e">
        <f ca="1">ROUND(F6*F8*F7*(1-F9)/10000,0)</f>
        <v>#N/A</v>
      </c>
      <c r="D6" s="162" t="s">
        <v>3014</v>
      </c>
      <c r="E6" s="345" t="s">
        <v>1405</v>
      </c>
      <c r="F6" s="346" t="e">
        <f ca="1">INDIRECT("'数据-取费表'!u"&amp;$G$1)</f>
        <v>#N/A</v>
      </c>
      <c r="G6" s="1846"/>
      <c r="H6" s="1287" t="s">
        <v>1035</v>
      </c>
      <c r="I6" s="3326" t="s">
        <v>1403</v>
      </c>
      <c r="J6" s="344" t="e">
        <f ca="1">ROUND(M6*M8*M7*(1-M9)/10000,0)</f>
        <v>#N/A</v>
      </c>
      <c r="K6" s="162" t="s">
        <v>3013</v>
      </c>
      <c r="L6" s="345" t="s">
        <v>1405</v>
      </c>
      <c r="M6" s="346" t="e">
        <f ca="1">INDIRECT("'数据-取费表'!z"&amp;$G$1)</f>
        <v>#N/A</v>
      </c>
    </row>
    <row r="7" spans="1:37" ht="18" customHeight="1">
      <c r="A7" s="1291"/>
      <c r="B7" s="3327"/>
      <c r="C7" s="1293"/>
      <c r="D7" s="350"/>
      <c r="E7" s="2950" t="s">
        <v>1406</v>
      </c>
      <c r="F7" s="346" t="e">
        <f ca="1">IF(INDIRECT("'数据-取费表'!ah"&amp;$G$1)="",INDIRECT("'数据-取费表'!k"&amp;$G$1),INDIRECT("'数据-取费表'!ah"&amp;$G$1))</f>
        <v>#N/A</v>
      </c>
      <c r="G7" s="1846"/>
      <c r="H7" s="347"/>
      <c r="I7" s="3327"/>
      <c r="J7" s="349"/>
      <c r="K7" s="350"/>
      <c r="L7" s="345" t="s">
        <v>1406</v>
      </c>
      <c r="M7" s="346" t="e">
        <f ca="1">F7</f>
        <v>#N/A</v>
      </c>
    </row>
    <row r="8" spans="1:37" ht="18" customHeight="1">
      <c r="A8" s="347"/>
      <c r="B8" s="3327"/>
      <c r="C8" s="349"/>
      <c r="D8" s="350"/>
      <c r="E8" s="345" t="s">
        <v>1407</v>
      </c>
      <c r="F8" s="346" t="e">
        <f ca="1">INDIRECT("'数据-取费表'!ai"&amp;$G$1)</f>
        <v>#N/A</v>
      </c>
      <c r="G8" s="1846"/>
      <c r="H8" s="347"/>
      <c r="I8" s="3327"/>
      <c r="J8" s="349"/>
      <c r="K8" s="350"/>
      <c r="L8" s="345" t="s">
        <v>1407</v>
      </c>
      <c r="M8" s="346" t="e">
        <f ca="1">INDIRECT("'数据-取费表'!ai"&amp;$G$1)</f>
        <v>#N/A</v>
      </c>
    </row>
    <row r="9" spans="1:37" ht="18" customHeight="1">
      <c r="A9" s="347"/>
      <c r="B9" s="3328"/>
      <c r="C9" s="349"/>
      <c r="D9" s="350"/>
      <c r="E9" s="345" t="s">
        <v>1408</v>
      </c>
      <c r="F9" s="355" t="e">
        <f ca="1">INDIRECT("'数据-取费表'!w"&amp;$G$1)</f>
        <v>#N/A</v>
      </c>
      <c r="G9" s="1846"/>
      <c r="H9" s="347"/>
      <c r="I9" s="3328"/>
      <c r="J9" s="349"/>
      <c r="K9" s="350"/>
      <c r="L9" s="356" t="s">
        <v>1408</v>
      </c>
      <c r="M9" s="357" t="e">
        <f ca="1">INDIRECT("'数据-取费表'!ab"&amp;$G$1)</f>
        <v>#N/A</v>
      </c>
    </row>
    <row r="10" spans="1:37" ht="18" customHeight="1">
      <c r="A10" s="1287" t="s">
        <v>1039</v>
      </c>
      <c r="B10" s="1818" t="s">
        <v>1409</v>
      </c>
      <c r="C10" s="359" t="e">
        <f ca="1">ROUND(IF(F10="押一",C6/12*F11,IF(F10="押二",C6/12*2*F11,IF(F10="押三",C6/12*3*F11,C11*F11)))/10000,0)</f>
        <v>#N/A</v>
      </c>
      <c r="D10" s="1819" t="s">
        <v>3022</v>
      </c>
      <c r="E10" s="356" t="s">
        <v>1410</v>
      </c>
      <c r="F10" s="1362" t="s">
        <v>3042</v>
      </c>
      <c r="G10" s="1846"/>
      <c r="H10" s="1287" t="s">
        <v>1039</v>
      </c>
      <c r="I10" s="1818" t="s">
        <v>1409</v>
      </c>
      <c r="J10" s="344" t="e">
        <f ca="1">ROUND(IF(M10="押一",J6/12*M11,IF(M10="押二",J6/12*2*M11,IF(M10="押三",J6/12*3*M11,J11*M11)))/10000,0)</f>
        <v>#N/A</v>
      </c>
      <c r="K10" s="1819" t="s">
        <v>3022</v>
      </c>
      <c r="L10" s="356" t="s">
        <v>1410</v>
      </c>
      <c r="M10" s="1362" t="s">
        <v>3042</v>
      </c>
    </row>
    <row r="11" spans="1:37" ht="18" customHeight="1">
      <c r="A11" s="351"/>
      <c r="B11" s="1820" t="s">
        <v>1388</v>
      </c>
      <c r="C11" s="1176"/>
      <c r="D11" s="1821"/>
      <c r="E11" s="356" t="s">
        <v>1412</v>
      </c>
      <c r="F11" s="357">
        <f ca="1">'数据-取费表'!B39</f>
        <v>1.4999999999999999E-2</v>
      </c>
      <c r="G11" s="1846"/>
      <c r="H11" s="1295"/>
      <c r="I11" s="1820" t="s">
        <v>1388</v>
      </c>
      <c r="J11" s="1176"/>
      <c r="K11" s="744"/>
      <c r="L11" s="356"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3" t="e">
        <f ca="1">ROUND(C29*F13,0)</f>
        <v>#N/A</v>
      </c>
      <c r="D13" s="1327" t="s">
        <v>1415</v>
      </c>
      <c r="E13" s="1327" t="s">
        <v>1416</v>
      </c>
      <c r="F13" s="1328" t="e">
        <f ca="1">INDIRECT("'数据-取费表'!y"&amp;$G$1)</f>
        <v>#N/A</v>
      </c>
      <c r="G13" s="1846"/>
      <c r="H13" s="1325">
        <v>2</v>
      </c>
      <c r="I13" s="1326" t="s">
        <v>1414</v>
      </c>
      <c r="J13" s="1286" t="e">
        <f ca="1">ROUND(J14*J15,0)</f>
        <v>#N/A</v>
      </c>
      <c r="K13" s="1333" t="s">
        <v>1415</v>
      </c>
      <c r="L13" s="1847"/>
      <c r="M13" s="1848"/>
    </row>
    <row r="14" spans="1:37" ht="18" customHeight="1">
      <c r="A14" s="1199" t="s">
        <v>1034</v>
      </c>
      <c r="B14" s="345" t="s">
        <v>1417</v>
      </c>
      <c r="C14" s="361" t="e">
        <f ca="1">INDIRECT("'数据-取费表'!m"&amp;$G$1)+INDIRECT("'数据-取费表'!t"&amp;$G$1)</f>
        <v>#N/A</v>
      </c>
      <c r="D14" s="2953" t="s">
        <v>1418</v>
      </c>
      <c r="E14" s="2952"/>
      <c r="F14" s="362"/>
      <c r="G14" s="1846"/>
      <c r="H14" s="1199" t="s">
        <v>1035</v>
      </c>
      <c r="I14" s="345" t="s">
        <v>1419</v>
      </c>
      <c r="J14" s="24" t="e">
        <f ca="1">C29</f>
        <v>#N/A</v>
      </c>
      <c r="K14" s="2949"/>
      <c r="L14" s="977"/>
      <c r="M14" s="978"/>
    </row>
    <row r="15" spans="1:37" s="1853" customFormat="1" ht="18" customHeight="1" thickBot="1">
      <c r="A15" s="1199" t="s">
        <v>1036</v>
      </c>
      <c r="B15" s="345" t="s">
        <v>1420</v>
      </c>
      <c r="C15" s="24" t="e">
        <f ca="1">ROUND(C14*F15,0)</f>
        <v>#N/A</v>
      </c>
      <c r="D15" s="363" t="s">
        <v>1421</v>
      </c>
      <c r="E15" s="363" t="s">
        <v>1422</v>
      </c>
      <c r="F15" s="364">
        <f>'数据-取费表'!B33</f>
        <v>0.03</v>
      </c>
      <c r="G15" s="1849"/>
      <c r="H15" s="1335" t="s">
        <v>1039</v>
      </c>
      <c r="I15" s="1336" t="s">
        <v>1416</v>
      </c>
      <c r="J15" s="1345" t="e">
        <f ca="1">INDIRECT("'数据-取费表'!ad"&amp;$G$1)</f>
        <v>#N/A</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1389</v>
      </c>
      <c r="B16" s="345" t="s">
        <v>1423</v>
      </c>
      <c r="C16" s="24" t="e">
        <f ca="1">ROUND(INDIRECT("'数据-取费表'!m"&amp;$G$1)*F16,0)</f>
        <v>#N/A</v>
      </c>
      <c r="D16" s="345" t="s">
        <v>1421</v>
      </c>
      <c r="E16" s="345" t="s">
        <v>1422</v>
      </c>
      <c r="F16" s="365" t="e">
        <f ca="1">IF(INDIRECT("'数据-取费表'!c"&amp;$G$1)="住宅",'数据-取费表'!B34,0)</f>
        <v>#N/A</v>
      </c>
      <c r="G16" s="1846"/>
      <c r="H16" s="1325" t="s">
        <v>1030</v>
      </c>
      <c r="I16" s="1326" t="s">
        <v>1424</v>
      </c>
      <c r="J16" s="353" t="e">
        <f ca="1">ROUND(J17+J22+J23+J24,0)</f>
        <v>#N/A</v>
      </c>
      <c r="K16" s="1333" t="s">
        <v>1425</v>
      </c>
      <c r="L16" s="2955"/>
      <c r="M16" s="1290"/>
    </row>
    <row r="17" spans="1:37" s="1853" customFormat="1" ht="18" customHeight="1">
      <c r="A17" s="1199" t="s">
        <v>1390</v>
      </c>
      <c r="B17" s="345" t="s">
        <v>1426</v>
      </c>
      <c r="C17" s="24" t="e">
        <f ca="1">ROUND(F17*(F43+INDIRECT("'数据-取费表'!S"&amp;$G$1))/10000,0)</f>
        <v>#N/A</v>
      </c>
      <c r="D17" s="345" t="s">
        <v>1427</v>
      </c>
      <c r="E17" s="345" t="s">
        <v>1428</v>
      </c>
      <c r="F17" s="26">
        <f>'数据-取费表'!B35</f>
        <v>200</v>
      </c>
      <c r="G17" s="1849"/>
      <c r="H17" s="1199" t="s">
        <v>1035</v>
      </c>
      <c r="I17" s="345" t="s">
        <v>1429</v>
      </c>
      <c r="J17" s="24" t="e">
        <f ca="1">ROUND(IF(项目基本情况!B11="自然人",J5*M17,J18+J19+J20),1)</f>
        <v>#N/A</v>
      </c>
      <c r="K17" s="2953" t="s">
        <v>1430</v>
      </c>
      <c r="L17" s="2954"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1391</v>
      </c>
      <c r="B18" s="345" t="s">
        <v>1432</v>
      </c>
      <c r="C18" s="24" t="e">
        <f ca="1">ROUND(C14*F18,0)</f>
        <v>#N/A</v>
      </c>
      <c r="D18" s="345" t="s">
        <v>1421</v>
      </c>
      <c r="E18" s="345" t="s">
        <v>1422</v>
      </c>
      <c r="F18" s="365">
        <f>'数据-取费表'!B36</f>
        <v>1.4999999999999999E-2</v>
      </c>
      <c r="G18" s="1849"/>
      <c r="H18" s="1199" t="s">
        <v>1034</v>
      </c>
      <c r="I18" s="345" t="s">
        <v>1433</v>
      </c>
      <c r="J18" s="24" t="e">
        <f ca="1">ROUND(J5*M18/(1+'数据-取费表'!C42),2)</f>
        <v>#N/A</v>
      </c>
      <c r="K18" s="2954" t="s">
        <v>1434</v>
      </c>
      <c r="L18" s="345" t="s">
        <v>1422</v>
      </c>
      <c r="M18" s="365">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5" t="s">
        <v>1435</v>
      </c>
      <c r="C19" s="24" t="e">
        <f ca="1">SUM(C14:C18)</f>
        <v>#N/A</v>
      </c>
      <c r="D19" s="138" t="s">
        <v>1436</v>
      </c>
      <c r="E19" s="2948"/>
      <c r="F19" s="26"/>
      <c r="G19" s="1846"/>
      <c r="H19" s="1199" t="s">
        <v>1036</v>
      </c>
      <c r="I19" s="345" t="s">
        <v>1437</v>
      </c>
      <c r="J19" s="24" t="e">
        <f ca="1">IF(K19="按租金收入计税",ROUND(J5*M19,2),ROUND(C29*M19*0.7,2))</f>
        <v>#N/A</v>
      </c>
      <c r="K19" s="1823" t="s">
        <v>3150</v>
      </c>
      <c r="L19" s="345" t="s">
        <v>1422</v>
      </c>
      <c r="M19" s="365">
        <f>IF(K19="按租金收入计税",'数据-取费表'!B51,'数据-取费表'!B50)</f>
        <v>0.12</v>
      </c>
    </row>
    <row r="20" spans="1:37" s="1853" customFormat="1" ht="18" customHeight="1">
      <c r="A20" s="1199" t="s">
        <v>1039</v>
      </c>
      <c r="B20" s="345" t="s">
        <v>1439</v>
      </c>
      <c r="C20" s="24" t="e">
        <f ca="1">ROUND(C19*F20,0)</f>
        <v>#N/A</v>
      </c>
      <c r="D20" s="367" t="s">
        <v>1440</v>
      </c>
      <c r="E20" s="345" t="s">
        <v>1422</v>
      </c>
      <c r="F20" s="365">
        <f>'数据-取费表'!B37</f>
        <v>0.02</v>
      </c>
      <c r="G20" s="1849"/>
      <c r="H20" s="1199" t="s">
        <v>1389</v>
      </c>
      <c r="I20" s="162" t="s">
        <v>1441</v>
      </c>
      <c r="J20" s="25" t="e">
        <f ca="1">ROUND(M20*M21/10000,2)</f>
        <v>#N/A</v>
      </c>
      <c r="K20" s="368" t="s">
        <v>1442</v>
      </c>
      <c r="L20" s="345" t="s">
        <v>1443</v>
      </c>
      <c r="M20" s="369">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5" t="s">
        <v>1444</v>
      </c>
      <c r="C21" s="24" t="s">
        <v>18</v>
      </c>
      <c r="D21" s="367" t="s">
        <v>1445</v>
      </c>
      <c r="E21" s="345" t="s">
        <v>1446</v>
      </c>
      <c r="F21" s="365">
        <f>'数据-取费表'!B38</f>
        <v>0.02</v>
      </c>
      <c r="G21" s="1849"/>
      <c r="H21" s="370"/>
      <c r="I21" s="354"/>
      <c r="J21" s="29"/>
      <c r="K21" s="371"/>
      <c r="L21" s="345" t="s">
        <v>1447</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2948"/>
      <c r="F22" s="26"/>
      <c r="G22" s="1846"/>
      <c r="H22" s="1199" t="s">
        <v>1039</v>
      </c>
      <c r="I22" s="345" t="s">
        <v>1449</v>
      </c>
      <c r="J22" s="24" t="e">
        <f ca="1">ROUND(J14*M22,1)</f>
        <v>#N/A</v>
      </c>
      <c r="K22" s="2954" t="s">
        <v>1450</v>
      </c>
      <c r="L22" s="345" t="s">
        <v>1422</v>
      </c>
      <c r="M22" s="372" t="e">
        <f ca="1">INDIRECT("'数据-取费表'!Ak"&amp;$G$1)</f>
        <v>#N/A</v>
      </c>
    </row>
    <row r="23" spans="1:37" s="1853" customFormat="1" ht="18" customHeight="1">
      <c r="A23" s="1199"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9"/>
      <c r="H23" s="1199" t="s">
        <v>1075</v>
      </c>
      <c r="I23" s="345" t="s">
        <v>1453</v>
      </c>
      <c r="J23" s="24" t="e">
        <f ca="1">ROUND(J13*M23,1)</f>
        <v>#N/A</v>
      </c>
      <c r="K23" s="2954" t="s">
        <v>1454</v>
      </c>
      <c r="L23" s="345" t="s">
        <v>1422</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9"/>
      <c r="H24" s="1335" t="s">
        <v>1392</v>
      </c>
      <c r="I24" s="1336" t="s">
        <v>1439</v>
      </c>
      <c r="J24" s="1337" t="e">
        <f ca="1">ROUND(J5*M24,1)</f>
        <v>#N/A</v>
      </c>
      <c r="K24" s="1338" t="s">
        <v>1459</v>
      </c>
      <c r="L24" s="1336" t="s">
        <v>1422</v>
      </c>
      <c r="M24" s="1332"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9" t="s">
        <v>1460</v>
      </c>
      <c r="B25" s="345" t="s">
        <v>1461</v>
      </c>
      <c r="C25" s="24"/>
      <c r="D25" s="138" t="s">
        <v>1462</v>
      </c>
      <c r="E25" s="2948"/>
      <c r="F25" s="26"/>
      <c r="G25" s="1846"/>
      <c r="H25" s="1325" t="s">
        <v>1031</v>
      </c>
      <c r="I25" s="1340" t="s">
        <v>1463</v>
      </c>
      <c r="J25" s="353" t="e">
        <f ca="1">J5-J16</f>
        <v>#N/A</v>
      </c>
      <c r="K25" s="1341" t="s">
        <v>1464</v>
      </c>
      <c r="L25" s="1342"/>
      <c r="M25" s="1343"/>
    </row>
    <row r="26" spans="1:37">
      <c r="A26" s="1199" t="s">
        <v>1034</v>
      </c>
      <c r="B26" s="345" t="s">
        <v>1465</v>
      </c>
      <c r="C26" s="24" t="e">
        <f ca="1">ROUND((C19+C20)*F26,0)</f>
        <v>#N/A</v>
      </c>
      <c r="D26" s="367" t="s">
        <v>1466</v>
      </c>
      <c r="E26" s="356" t="s">
        <v>1467</v>
      </c>
      <c r="F26" s="355" t="e">
        <f ca="1">INDIRECT("'数据-取费表'!q"&amp;$G$1)</f>
        <v>#N/A</v>
      </c>
      <c r="G26" s="1846"/>
      <c r="H26" s="342" t="s">
        <v>1032</v>
      </c>
      <c r="I26" s="343" t="s">
        <v>1468</v>
      </c>
      <c r="J26" s="344" t="e">
        <f ca="1">IF(J5&lt;&gt;0,ROUND(J25*(1-((1+M28)/(1+M26))^M27)/(M26-M28),0),0)</f>
        <v>#N/A</v>
      </c>
      <c r="K26" s="368" t="s">
        <v>1469</v>
      </c>
      <c r="L26" s="345" t="s">
        <v>1470</v>
      </c>
      <c r="M26" s="355" t="e">
        <f ca="1">INDIRECT("'数据-取费表'!I"&amp;$G$1)</f>
        <v>#N/A</v>
      </c>
    </row>
    <row r="27" spans="1:37" ht="18" customHeight="1">
      <c r="A27" s="1199" t="s">
        <v>1036</v>
      </c>
      <c r="B27" s="345" t="s">
        <v>1471</v>
      </c>
      <c r="C27" s="24" t="e">
        <f ca="1">ROUND(F21*F26,4)</f>
        <v>#N/A</v>
      </c>
      <c r="D27" s="367" t="s">
        <v>1472</v>
      </c>
      <c r="E27" s="363"/>
      <c r="F27" s="364"/>
      <c r="G27" s="1846"/>
      <c r="H27" s="347"/>
      <c r="I27" s="348"/>
      <c r="J27" s="349"/>
      <c r="K27" s="376" t="s">
        <v>1473</v>
      </c>
      <c r="L27" s="345" t="s">
        <v>1474</v>
      </c>
      <c r="M27" s="377" t="e">
        <f ca="1">INDIRECT("'数据-取费表'!ag"&amp;$G$1)</f>
        <v>#N/A</v>
      </c>
    </row>
    <row r="28" spans="1:37" s="1853" customFormat="1" ht="18" customHeight="1">
      <c r="A28" s="1199" t="s">
        <v>1037</v>
      </c>
      <c r="B28" s="345" t="s">
        <v>1475</v>
      </c>
      <c r="C28" s="24">
        <f>ROUND(F28/(1+'数据-取费表'!C42),4)</f>
        <v>5.33E-2</v>
      </c>
      <c r="D28" s="367" t="s">
        <v>1476</v>
      </c>
      <c r="E28" s="345" t="s">
        <v>1422</v>
      </c>
      <c r="F28" s="365">
        <f>'数据-取费表'!B41</f>
        <v>5.6000000000000001E-2</v>
      </c>
      <c r="G28" s="1849"/>
      <c r="H28" s="351"/>
      <c r="I28" s="352"/>
      <c r="J28" s="353"/>
      <c r="K28" s="371"/>
      <c r="L28" s="345" t="s">
        <v>1477</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t="e">
        <f ca="1">ROUND((C19+C20+C23+C26)/(1-F21-C24-C27-C28),0)</f>
        <v>#N/A</v>
      </c>
      <c r="D29" s="1338"/>
      <c r="E29" s="1336"/>
      <c r="F29" s="1339"/>
      <c r="G29" s="1849"/>
      <c r="H29" s="378" t="s">
        <v>1033</v>
      </c>
      <c r="I29" s="379" t="s">
        <v>1479</v>
      </c>
      <c r="J29" s="380" t="e">
        <f ca="1">ROUND(J26/(1+F40)^F41,0)</f>
        <v>#N/A</v>
      </c>
      <c r="K29" s="381" t="s">
        <v>1480</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3" t="e">
        <f ca="1">ROUND(C31+C36+C37+C38,0)</f>
        <v>#N/A</v>
      </c>
      <c r="D30" s="1333" t="s">
        <v>1425</v>
      </c>
      <c r="E30" s="2955"/>
      <c r="F30" s="1290"/>
      <c r="G30" s="1846"/>
      <c r="H30" s="741"/>
      <c r="I30" s="742"/>
      <c r="J30" s="743"/>
      <c r="K30" s="744"/>
      <c r="L30" s="745"/>
      <c r="M30" s="746"/>
    </row>
    <row r="31" spans="1:37" ht="18" customHeight="1">
      <c r="A31" s="1199" t="s">
        <v>1035</v>
      </c>
      <c r="B31" s="345" t="s">
        <v>1429</v>
      </c>
      <c r="C31" s="24" t="e">
        <f ca="1">ROUND(IF(项目基本情况!B11="自然人",C5*F31,C32+C33+C34),1)</f>
        <v>#N/A</v>
      </c>
      <c r="D31" s="2953" t="s">
        <v>1430</v>
      </c>
      <c r="E31" s="2954" t="s">
        <v>1481</v>
      </c>
      <c r="F31" s="366" t="str">
        <f ca="1">IF(项目基本情况!B11="企业","",IF(INDIRECT("'数据-取费表'!c"&amp;$G$1)="住宅",5%,IF(F6*F7*F8/12/(1+'数据-取费表'!C42)&gt;20000,12%,7%)))</f>
        <v/>
      </c>
      <c r="G31" s="1846"/>
      <c r="H31" s="741"/>
      <c r="I31" s="742"/>
      <c r="J31" s="743"/>
      <c r="K31" s="744"/>
      <c r="L31" s="745"/>
      <c r="M31" s="746"/>
    </row>
    <row r="32" spans="1:37" ht="18" customHeight="1">
      <c r="A32" s="1199" t="s">
        <v>1034</v>
      </c>
      <c r="B32" s="345" t="s">
        <v>1433</v>
      </c>
      <c r="C32" s="24" t="e">
        <f ca="1">IF(项目基本情况!B11="自然人","——",ROUND(C5*F32/(1+'数据-取费表'!C42),2))</f>
        <v>#N/A</v>
      </c>
      <c r="D32" s="2954" t="s">
        <v>1434</v>
      </c>
      <c r="E32" s="345" t="s">
        <v>1422</v>
      </c>
      <c r="F32" s="375">
        <f>'数据-取费表'!B41</f>
        <v>5.6000000000000001E-2</v>
      </c>
      <c r="G32" s="1846"/>
      <c r="H32" s="741"/>
      <c r="I32" s="742"/>
      <c r="J32" s="743"/>
      <c r="K32" s="744"/>
      <c r="L32" s="745"/>
      <c r="M32" s="746"/>
    </row>
    <row r="33" spans="1:18" ht="18" customHeight="1">
      <c r="A33" s="1199" t="s">
        <v>1036</v>
      </c>
      <c r="B33" s="345" t="s">
        <v>1437</v>
      </c>
      <c r="C33" s="24" t="e">
        <f ca="1">IF(项目基本情况!B11="自然人","——",IF(D33="按租金收入计税",ROUND(C5*F33,2),IF(D33="按房产原值计税",ROUND(C29*F33*0.7,2),INDIRECT("'数据-取费表'!Aj"&amp;$G$1))))</f>
        <v>#N/A</v>
      </c>
      <c r="D33" s="1823" t="s">
        <v>3150</v>
      </c>
      <c r="E33" s="345" t="s">
        <v>1422</v>
      </c>
      <c r="F33" s="365">
        <f>IF(D33="按票据","——",IF(D33="按租金收入计税",'数据-取费表'!B51,'数据-取费表'!B50))</f>
        <v>0.12</v>
      </c>
      <c r="G33" s="1846"/>
      <c r="H33" s="1854"/>
      <c r="I33" s="1855"/>
      <c r="J33" s="1856"/>
      <c r="K33" s="1857"/>
      <c r="L33" s="1854"/>
      <c r="M33" s="1854"/>
    </row>
    <row r="34" spans="1:18" ht="18" customHeight="1">
      <c r="A34" s="1287" t="s">
        <v>1389</v>
      </c>
      <c r="B34" s="162" t="s">
        <v>1441</v>
      </c>
      <c r="C34" s="25" t="e">
        <f ca="1">IF(项目基本情况!B11="自然人","——",ROUND(F34*F35/10000,2))</f>
        <v>#N/A</v>
      </c>
      <c r="D34" s="368" t="s">
        <v>1442</v>
      </c>
      <c r="E34" s="345" t="s">
        <v>1443</v>
      </c>
      <c r="F34" s="369">
        <f>'数据-取费表'!B52</f>
        <v>12</v>
      </c>
      <c r="G34" s="1846"/>
      <c r="H34" s="741"/>
      <c r="I34" s="1855"/>
      <c r="J34" s="1856"/>
      <c r="K34" s="1858"/>
      <c r="L34" s="1859"/>
      <c r="M34" s="1859"/>
    </row>
    <row r="35" spans="1:18" ht="18" customHeight="1">
      <c r="A35" s="1349"/>
      <c r="B35" s="1347"/>
      <c r="C35" s="29"/>
      <c r="D35" s="371"/>
      <c r="E35" s="345" t="s">
        <v>1447</v>
      </c>
      <c r="F35" s="346" t="e">
        <f ca="1">INDIRECT("'数据-取费表'!r"&amp;$G$1)</f>
        <v>#N/A</v>
      </c>
      <c r="G35" s="1846"/>
      <c r="H35" s="741"/>
      <c r="I35" s="1855"/>
      <c r="J35" s="1856"/>
      <c r="K35" s="1857"/>
      <c r="L35" s="1854"/>
      <c r="M35" s="1854"/>
    </row>
    <row r="36" spans="1:18" ht="18" customHeight="1">
      <c r="A36" s="1348" t="s">
        <v>1039</v>
      </c>
      <c r="B36" s="345" t="s">
        <v>1449</v>
      </c>
      <c r="C36" s="24" t="e">
        <f ca="1">ROUND(C29*F36,1)</f>
        <v>#N/A</v>
      </c>
      <c r="D36" s="2954" t="s">
        <v>1482</v>
      </c>
      <c r="E36" s="345" t="s">
        <v>1422</v>
      </c>
      <c r="F36" s="372" t="e">
        <f ca="1">INDIRECT("'数据-取费表'!Ak"&amp;$G$1)</f>
        <v>#N/A</v>
      </c>
      <c r="G36" s="1846"/>
      <c r="H36" s="1854"/>
      <c r="I36" s="1855"/>
      <c r="J36" s="1856"/>
      <c r="K36" s="747"/>
      <c r="L36" s="1854"/>
      <c r="M36" s="1854"/>
    </row>
    <row r="37" spans="1:18" ht="18" customHeight="1">
      <c r="A37" s="1199" t="s">
        <v>1075</v>
      </c>
      <c r="B37" s="345" t="s">
        <v>1453</v>
      </c>
      <c r="C37" s="24" t="e">
        <f ca="1">ROUND(C13*F37,1)</f>
        <v>#N/A</v>
      </c>
      <c r="D37" s="2954" t="s">
        <v>1454</v>
      </c>
      <c r="E37" s="345" t="s">
        <v>1422</v>
      </c>
      <c r="F37" s="374" t="e">
        <f ca="1">INDIRECT("'数据-取费表'!Al"&amp;$G$1)</f>
        <v>#N/A</v>
      </c>
      <c r="G37" s="1846"/>
      <c r="H37" s="1854"/>
      <c r="I37" s="1855"/>
      <c r="J37" s="1856"/>
      <c r="K37" s="747"/>
      <c r="L37" s="1854"/>
      <c r="M37" s="1854"/>
    </row>
    <row r="38" spans="1:18" ht="18" customHeight="1" thickBot="1">
      <c r="A38" s="1335" t="s">
        <v>1392</v>
      </c>
      <c r="B38" s="1336" t="s">
        <v>1439</v>
      </c>
      <c r="C38" s="1337" t="e">
        <f ca="1">ROUND(C5*F38,1)</f>
        <v>#N/A</v>
      </c>
      <c r="D38" s="1338" t="s">
        <v>1459</v>
      </c>
      <c r="E38" s="1336" t="s">
        <v>1422</v>
      </c>
      <c r="F38" s="1332" t="e">
        <f ca="1">INDIRECT("'数据-取费表'!Am"&amp;$G$1)</f>
        <v>#N/A</v>
      </c>
      <c r="G38" s="1846"/>
      <c r="H38" s="1854"/>
      <c r="I38" s="1855"/>
      <c r="J38" s="1856"/>
      <c r="K38" s="1860"/>
      <c r="L38" s="1854"/>
      <c r="M38" s="1854"/>
    </row>
    <row r="39" spans="1:18" ht="24.6" customHeight="1" thickTop="1">
      <c r="A39" s="1325" t="s">
        <v>1031</v>
      </c>
      <c r="B39" s="1340" t="s">
        <v>1463</v>
      </c>
      <c r="C39" s="353" t="e">
        <f ca="1">C5-C30</f>
        <v>#N/A</v>
      </c>
      <c r="D39" s="1341" t="s">
        <v>1464</v>
      </c>
      <c r="E39" s="1342"/>
      <c r="F39" s="1343"/>
      <c r="G39" s="1846"/>
      <c r="H39" s="1854"/>
      <c r="I39" s="1855"/>
      <c r="J39" s="1856"/>
      <c r="K39" s="1860"/>
      <c r="L39" s="1854"/>
      <c r="M39" s="1854"/>
    </row>
    <row r="40" spans="1:18" ht="18" customHeight="1">
      <c r="A40" s="342" t="s">
        <v>1032</v>
      </c>
      <c r="B40" s="343" t="s">
        <v>1485</v>
      </c>
      <c r="C40" s="344" t="e">
        <f ca="1">ROUND(C39*(1-((1+F42)/(1+F40))^F41)/(F40-F42),0)</f>
        <v>#N/A</v>
      </c>
      <c r="D40" s="368" t="s">
        <v>1469</v>
      </c>
      <c r="E40" s="345" t="s">
        <v>1470</v>
      </c>
      <c r="F40" s="355" t="e">
        <f ca="1">INDIRECT("'数据-取费表'!I"&amp;$G$1)</f>
        <v>#N/A</v>
      </c>
      <c r="G40" s="1846"/>
      <c r="H40" s="1834"/>
      <c r="I40" s="1855"/>
      <c r="J40" s="1856"/>
      <c r="K40" s="1860"/>
      <c r="L40" s="1834"/>
      <c r="M40" s="1834"/>
    </row>
    <row r="41" spans="1:18" ht="18" customHeight="1">
      <c r="A41" s="347"/>
      <c r="B41" s="348"/>
      <c r="C41" s="349"/>
      <c r="D41" s="376" t="s">
        <v>1486</v>
      </c>
      <c r="E41" s="345" t="s">
        <v>1474</v>
      </c>
      <c r="F41" s="377" t="e">
        <f ca="1">IF(INDIRECT("'数据-取费表'!af"&amp;$G$1)=0,INDIRECT("'数据-取费表'!ae"&amp;$G$1),INDIRECT("'数据-取费表'!af"&amp;$G$1))</f>
        <v>#N/A</v>
      </c>
      <c r="G41" s="1846"/>
      <c r="H41" s="728"/>
      <c r="I41" s="1855"/>
      <c r="J41" s="1856"/>
      <c r="K41" s="747"/>
      <c r="L41" s="728"/>
      <c r="M41" s="728"/>
    </row>
    <row r="42" spans="1:18" ht="18" customHeight="1">
      <c r="A42" s="351"/>
      <c r="B42" s="352"/>
      <c r="C42" s="353"/>
      <c r="D42" s="371"/>
      <c r="E42" s="345" t="s">
        <v>1477</v>
      </c>
      <c r="F42" s="355" t="e">
        <f ca="1">INDIRECT("'数据-取费表'!v"&amp;$G$1)</f>
        <v>#N/A</v>
      </c>
      <c r="G42" s="1846"/>
      <c r="H42" s="728"/>
      <c r="I42" s="1855"/>
      <c r="J42" s="1856"/>
      <c r="K42" s="747"/>
      <c r="L42" s="728"/>
      <c r="M42" s="728"/>
    </row>
    <row r="43" spans="1:18" ht="18" customHeight="1" thickBot="1">
      <c r="A43" s="378" t="s">
        <v>1033</v>
      </c>
      <c r="B43" s="379" t="s">
        <v>1487</v>
      </c>
      <c r="C43" s="380" t="e">
        <f ca="1">ROUND(C40*10000/F43,0)</f>
        <v>#N/A</v>
      </c>
      <c r="D43" s="381" t="s">
        <v>1488</v>
      </c>
      <c r="E43" s="382" t="s">
        <v>1489</v>
      </c>
      <c r="F43" s="383" t="e">
        <f ca="1">INDIRECT("'数据-取费表'!k"&amp;$G$1)</f>
        <v>#N/A</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1519</v>
      </c>
      <c r="P45" s="1834"/>
      <c r="Q45" s="1834"/>
      <c r="R45" s="1834"/>
    </row>
    <row r="46" spans="1:18" s="1837" customFormat="1" ht="13.5" thickBot="1">
      <c r="A46" s="1865" t="s">
        <v>1520</v>
      </c>
      <c r="C46" s="1866" t="e">
        <f ca="1">C68-C40</f>
        <v>#N/A</v>
      </c>
      <c r="D46" s="1867" t="str">
        <f>C2</f>
        <v>万元</v>
      </c>
      <c r="E46" s="1861"/>
      <c r="F46" s="1861"/>
      <c r="I46" s="1868" t="s">
        <v>1521</v>
      </c>
      <c r="J46" s="1869"/>
      <c r="K46" s="1870"/>
      <c r="L46" s="1871" t="e">
        <f ca="1">IF(M47="住宅",0,IF(L48&gt;J51,L60,J60))</f>
        <v>#N/A</v>
      </c>
      <c r="O46" s="1872" t="s">
        <v>1522</v>
      </c>
      <c r="P46" s="1873" t="s">
        <v>1523</v>
      </c>
      <c r="Q46" s="1874" t="s">
        <v>1524</v>
      </c>
      <c r="R46" s="1874" t="s">
        <v>1525</v>
      </c>
    </row>
    <row r="47" spans="1:18" s="1837" customFormat="1" ht="13.5" thickBot="1">
      <c r="A47" s="1163" t="s">
        <v>1396</v>
      </c>
      <c r="B47" s="1195" t="s">
        <v>1397</v>
      </c>
      <c r="C47" s="1363" t="s">
        <v>1398</v>
      </c>
      <c r="D47" s="1195" t="s">
        <v>1399</v>
      </c>
      <c r="E47" s="1275" t="s">
        <v>1400</v>
      </c>
      <c r="F47" s="1276"/>
      <c r="G47" s="788"/>
      <c r="I47" s="1875" t="s">
        <v>1526</v>
      </c>
      <c r="J47" s="1876" t="s">
        <v>3043</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6" t="s">
        <v>1135</v>
      </c>
      <c r="B48" s="343" t="s">
        <v>1401</v>
      </c>
      <c r="C48" s="2947" t="e">
        <f ca="1">C49+C53+C55</f>
        <v>#N/A</v>
      </c>
      <c r="D48" s="1358"/>
      <c r="E48" s="1359"/>
      <c r="F48" s="1179"/>
      <c r="G48" s="788"/>
      <c r="H48" s="789"/>
      <c r="I48" s="1882" t="s">
        <v>1530</v>
      </c>
      <c r="J48" s="1883" t="s">
        <v>3044</v>
      </c>
      <c r="K48" s="1884" t="s">
        <v>1531</v>
      </c>
      <c r="L48" s="1885" t="e">
        <f ca="1">INDIRECT("'数据-取费表'!f"&amp;$G$1)</f>
        <v>#N/A</v>
      </c>
      <c r="O48" s="1879" t="s">
        <v>1041</v>
      </c>
      <c r="P48" s="1880" t="s">
        <v>1532</v>
      </c>
      <c r="Q48" s="1881" t="e">
        <f ca="1">J60</f>
        <v>#N/A</v>
      </c>
      <c r="R48" s="1881" t="s">
        <v>1533</v>
      </c>
    </row>
    <row r="49" spans="1:18" s="1837" customFormat="1" ht="13.5" thickBot="1">
      <c r="A49" s="1192" t="s">
        <v>1136</v>
      </c>
      <c r="B49" s="1824" t="s">
        <v>1490</v>
      </c>
      <c r="C49" s="1360" t="e">
        <f ca="1">ROUND(F49*F51*F50*(1-F52)/10000,0)</f>
        <v>#N/A</v>
      </c>
      <c r="D49" s="1272" t="s">
        <v>3013</v>
      </c>
      <c r="E49" s="1825" t="s">
        <v>1491</v>
      </c>
      <c r="F49" s="1277">
        <f>'数据-取费表'!U7</f>
        <v>1</v>
      </c>
      <c r="G49" s="1886"/>
      <c r="H49" s="789"/>
      <c r="I49" s="1882" t="s">
        <v>1534</v>
      </c>
      <c r="J49" s="1887">
        <v>2005</v>
      </c>
      <c r="K49" s="1884" t="s">
        <v>1535</v>
      </c>
      <c r="L49" s="1888"/>
      <c r="O49" s="1889" t="s">
        <v>1042</v>
      </c>
      <c r="P49" s="1880" t="s">
        <v>1536</v>
      </c>
      <c r="Q49" s="1881" t="e">
        <f ca="1">C29</f>
        <v>#N/A</v>
      </c>
      <c r="R49" s="1881" t="s">
        <v>1529</v>
      </c>
    </row>
    <row r="50" spans="1:18" s="1837" customFormat="1" ht="13.5" thickBot="1">
      <c r="A50" s="1193"/>
      <c r="B50" s="1196"/>
      <c r="C50" s="1364"/>
      <c r="D50" s="1170"/>
      <c r="E50" s="1273" t="s">
        <v>1406</v>
      </c>
      <c r="F50" s="1274" t="e">
        <f ca="1">F7</f>
        <v>#N/A</v>
      </c>
      <c r="H50" s="789"/>
      <c r="I50" s="1882" t="s">
        <v>1537</v>
      </c>
      <c r="J50" s="1890">
        <f>SUMPRODUCT((I63:I65=J47)*(J62:L62=J48)*(J63:L65))</f>
        <v>60</v>
      </c>
      <c r="K50" s="1884" t="s">
        <v>1538</v>
      </c>
      <c r="L50" s="1888"/>
      <c r="M50" s="1891"/>
      <c r="O50" s="1889" t="s">
        <v>1043</v>
      </c>
      <c r="P50" s="1880" t="s">
        <v>1539</v>
      </c>
      <c r="Q50" s="1892" t="e">
        <f ca="1">J58</f>
        <v>#N/A</v>
      </c>
      <c r="R50" s="1881"/>
    </row>
    <row r="51" spans="1:18" s="1837" customFormat="1" ht="13.5" thickBot="1">
      <c r="A51" s="1194"/>
      <c r="B51" s="1196"/>
      <c r="C51" s="1197"/>
      <c r="D51" s="1170"/>
      <c r="E51" s="1198" t="s">
        <v>1407</v>
      </c>
      <c r="F51" s="346" t="e">
        <f ca="1">F8</f>
        <v>#N/A</v>
      </c>
      <c r="I51" s="1893" t="s">
        <v>1540</v>
      </c>
      <c r="J51" s="1894">
        <f>IF(J49="",J50,J49+J50-YEAR('数据-取费表'!B2))</f>
        <v>47</v>
      </c>
      <c r="K51" s="1895" t="s">
        <v>1541</v>
      </c>
      <c r="L51" s="1896" t="e">
        <f ca="1">ROUND(-PV(INDIRECT("'数据-取费表'!h"&amp;$G$1),L48,(C39-C13*C76),0),0)</f>
        <v>#N/A</v>
      </c>
      <c r="M51" s="1897"/>
      <c r="O51" s="1889" t="s">
        <v>1044</v>
      </c>
      <c r="P51" s="1880" t="s">
        <v>1542</v>
      </c>
      <c r="Q51" s="1892">
        <f>J52</f>
        <v>8.5000000000000006E-2</v>
      </c>
      <c r="R51" s="1881"/>
    </row>
    <row r="52" spans="1:18" s="1837" customFormat="1" ht="13.5" thickBot="1">
      <c r="A52" s="1194"/>
      <c r="B52" s="1196"/>
      <c r="C52" s="1197"/>
      <c r="D52" s="1170"/>
      <c r="E52" s="1198" t="s">
        <v>1408</v>
      </c>
      <c r="F52" s="1271">
        <f>'数据-取费表'!W7</f>
        <v>0.1</v>
      </c>
      <c r="I52" s="1898" t="s">
        <v>1543</v>
      </c>
      <c r="J52" s="1899">
        <v>8.5000000000000006E-2</v>
      </c>
      <c r="K52" s="1898" t="s">
        <v>1544</v>
      </c>
      <c r="L52" s="1899"/>
      <c r="O52" s="1889" t="s">
        <v>1045</v>
      </c>
      <c r="P52" s="1880" t="s">
        <v>1545</v>
      </c>
      <c r="Q52" s="1881" t="e">
        <f ca="1">J53</f>
        <v>#N/A</v>
      </c>
      <c r="R52" s="1881" t="s">
        <v>1546</v>
      </c>
    </row>
    <row r="53" spans="1:18" s="1837" customFormat="1" ht="24.75" thickBot="1">
      <c r="A53" s="1401" t="s">
        <v>1137</v>
      </c>
      <c r="B53" s="1826" t="s">
        <v>1409</v>
      </c>
      <c r="C53" s="359" t="e">
        <f ca="1">ROUND(IF(F53="押一",C49/12*F11,IF(F53="押二",C49/12*2*F11,IF(F53="押三",C49/12*3*F11,C54*F11)))/10000,0)</f>
        <v>#N/A</v>
      </c>
      <c r="D53" s="1819" t="s">
        <v>3022</v>
      </c>
      <c r="E53" s="356" t="s">
        <v>1410</v>
      </c>
      <c r="F53" s="1362" t="s">
        <v>3042</v>
      </c>
      <c r="I53" s="1900" t="s">
        <v>1547</v>
      </c>
      <c r="J53" s="1901" t="e">
        <f ca="1">IF(M47="住宅",J51,IF(D1="——",MIN(J51,L48),IF(D1="在建（套用方法）",MIN(J51,L48-'数据-取费表'!B24),IF(D1="土地（套用方法）",MIN(J51,L48-'数据-取费表'!B20)))))</f>
        <v>#N/A</v>
      </c>
      <c r="K53" s="3329" t="s">
        <v>1548</v>
      </c>
      <c r="L53" s="3330"/>
      <c r="O53" s="1879" t="s">
        <v>1046</v>
      </c>
      <c r="P53" s="1880" t="s">
        <v>1549</v>
      </c>
      <c r="Q53" s="1881" t="e">
        <f ca="1">Q47+Q48</f>
        <v>#N/A</v>
      </c>
      <c r="R53" s="1881" t="s">
        <v>1047</v>
      </c>
    </row>
    <row r="54" spans="1:18" s="1837" customFormat="1" ht="13.5" thickBot="1">
      <c r="A54" s="1402"/>
      <c r="B54" s="1820" t="s">
        <v>1388</v>
      </c>
      <c r="C54" s="1176"/>
      <c r="D54" s="1819"/>
      <c r="E54" s="2951"/>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9" t="s">
        <v>1075</v>
      </c>
      <c r="B55" s="1822" t="s">
        <v>1413</v>
      </c>
      <c r="C55" s="1330"/>
      <c r="D55" s="1819"/>
      <c r="E55" s="2951"/>
      <c r="F55" s="1902"/>
      <c r="I55" s="1905" t="s">
        <v>1551</v>
      </c>
      <c r="J55" s="1906" t="e">
        <f ca="1">ROUND(IF(J47="钢混",J57/J50,1-(1-2%)*(J50-J57)/J50),3)</f>
        <v>#N/A</v>
      </c>
      <c r="K55" s="1907" t="s">
        <v>1552</v>
      </c>
      <c r="L55" s="1908" t="s">
        <v>1553</v>
      </c>
      <c r="O55" s="1872" t="s">
        <v>1522</v>
      </c>
      <c r="P55" s="1873" t="s">
        <v>1523</v>
      </c>
      <c r="Q55" s="1874" t="s">
        <v>1524</v>
      </c>
      <c r="R55" s="1874" t="s">
        <v>1525</v>
      </c>
    </row>
    <row r="56" spans="1:18" s="1837" customFormat="1" ht="25.5" thickTop="1" thickBot="1">
      <c r="A56" s="1174">
        <v>2</v>
      </c>
      <c r="B56" s="1175" t="s">
        <v>1414</v>
      </c>
      <c r="C56" s="274" t="e">
        <f ca="1">C13</f>
        <v>#N/A</v>
      </c>
      <c r="D56" s="1909"/>
      <c r="E56" s="1910"/>
      <c r="F56" s="1902"/>
      <c r="I56" s="1911" t="s">
        <v>1554</v>
      </c>
      <c r="J56" s="1912" t="s">
        <v>3031</v>
      </c>
      <c r="K56" s="1882" t="s">
        <v>1555</v>
      </c>
      <c r="L56" s="1885" t="e">
        <f ca="1">IF(L48&lt;J51,"——",L48-J53)</f>
        <v>#N/A</v>
      </c>
      <c r="O56" s="1879" t="s">
        <v>1040</v>
      </c>
      <c r="P56" s="1880" t="s">
        <v>1528</v>
      </c>
      <c r="Q56" s="1881" t="e">
        <f ca="1">C40+J29</f>
        <v>#N/A</v>
      </c>
      <c r="R56" s="1881" t="s">
        <v>1529</v>
      </c>
    </row>
    <row r="57" spans="1:18" s="1837" customFormat="1" ht="24.75" thickBot="1">
      <c r="A57" s="1913"/>
      <c r="B57" s="1167" t="s">
        <v>1478</v>
      </c>
      <c r="C57" s="280" t="e">
        <f ca="1">C29</f>
        <v>#N/A</v>
      </c>
      <c r="D57" s="1914"/>
      <c r="E57" s="1915"/>
      <c r="F57" s="1916"/>
      <c r="I57" s="1917" t="s">
        <v>1556</v>
      </c>
      <c r="J57" s="1918" t="e">
        <f ca="1">IF(OR(M47="住宅",J51&lt;L48,J56="是"),"——",J51-L48)</f>
        <v>#N/A</v>
      </c>
      <c r="K57" s="1882" t="s">
        <v>1557</v>
      </c>
      <c r="L57" s="1885" t="e">
        <f ca="1">IF(L48&lt;J51,"——",IF(L55="比较法",L49,IF(L55="基准地价",L50,L51)))</f>
        <v>#N/A</v>
      </c>
      <c r="O57" s="1879" t="s">
        <v>1041</v>
      </c>
      <c r="P57" s="1880" t="s">
        <v>1558</v>
      </c>
      <c r="Q57" s="1881" t="e">
        <f ca="1">L60</f>
        <v>#N/A</v>
      </c>
      <c r="R57" s="1881" t="s">
        <v>1559</v>
      </c>
    </row>
    <row r="58" spans="1:18" s="1837" customFormat="1" ht="24.75" thickBot="1">
      <c r="A58" s="358" t="s">
        <v>1030</v>
      </c>
      <c r="B58" s="1175" t="s">
        <v>1424</v>
      </c>
      <c r="C58" s="359" t="e">
        <f ca="1">ROUND(C59+C64+C65+C66,0)</f>
        <v>#N/A</v>
      </c>
      <c r="D58" s="1177" t="s">
        <v>1425</v>
      </c>
      <c r="E58" s="1178"/>
      <c r="F58" s="1179"/>
      <c r="I58" s="1917" t="s">
        <v>1560</v>
      </c>
      <c r="J58" s="1919" t="e">
        <f ca="1">IF(J55&lt;0.4,0.4,J55)</f>
        <v>#N/A</v>
      </c>
      <c r="K58" s="1895" t="s">
        <v>1561</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9" t="s">
        <v>1035</v>
      </c>
      <c r="B59" s="1167" t="s">
        <v>1429</v>
      </c>
      <c r="C59" s="24" t="e">
        <f ca="1">ROUND(IF(项目基本情况!B11="自然人",C48*F59,C60+C61+C62),1)</f>
        <v>#N/A</v>
      </c>
      <c r="D59" s="1180" t="s">
        <v>1430</v>
      </c>
      <c r="E59" s="1181" t="s">
        <v>1431</v>
      </c>
      <c r="F59" s="366"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1043</v>
      </c>
      <c r="P59" s="1880" t="s">
        <v>1564</v>
      </c>
      <c r="Q59" s="1892">
        <f>L52</f>
        <v>0</v>
      </c>
      <c r="R59" s="1881"/>
    </row>
    <row r="60" spans="1:18" s="1837" customFormat="1" ht="16.5" thickBot="1">
      <c r="A60" s="1199" t="s">
        <v>1034</v>
      </c>
      <c r="B60" s="1167" t="s">
        <v>1433</v>
      </c>
      <c r="C60" s="24" t="e">
        <f ca="1">IF(项目基本情况!B11="自然人","——",ROUND(C48*F60/(1+'数据-取费表'!C42),2))</f>
        <v>#N/A</v>
      </c>
      <c r="D60" s="1181" t="s">
        <v>1434</v>
      </c>
      <c r="E60" s="1167" t="s">
        <v>1422</v>
      </c>
      <c r="F60" s="375">
        <f t="shared" ref="F60:F66" si="0">F32</f>
        <v>5.6000000000000001E-2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9" t="s">
        <v>1492</v>
      </c>
      <c r="B61" s="1167" t="s">
        <v>1437</v>
      </c>
      <c r="C61" s="24" t="e">
        <f ca="1">IF(项目基本情况!B11="自然人","——",IF(D61="按租金收入计税",ROUND(C48*F61,2),IF(D61="按房产原值计税",ROUND(C57*F61*0.7,2),INDIRECT("'数据-取费表'!Aj"&amp;$G$1))))</f>
        <v>#N/A</v>
      </c>
      <c r="D61" s="1823" t="s">
        <v>1438</v>
      </c>
      <c r="E61" s="1167" t="s">
        <v>1422</v>
      </c>
      <c r="F61" s="365">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9" t="s">
        <v>1495</v>
      </c>
      <c r="B62" s="1166" t="s">
        <v>1441</v>
      </c>
      <c r="C62" s="25" t="e">
        <f ca="1">IF(项目基本情况!B11="自然人","——",ROUND(F62*F63/10000,2))</f>
        <v>#N/A</v>
      </c>
      <c r="D62" s="1182" t="s">
        <v>1442</v>
      </c>
      <c r="E62" s="1167" t="s">
        <v>1443</v>
      </c>
      <c r="F62" s="369">
        <f t="shared" si="0"/>
        <v>12</v>
      </c>
      <c r="I62" s="1924" t="s">
        <v>1570</v>
      </c>
      <c r="J62" s="1925" t="s">
        <v>1571</v>
      </c>
      <c r="K62" s="1925" t="s">
        <v>1572</v>
      </c>
      <c r="L62" s="1925" t="s">
        <v>1573</v>
      </c>
      <c r="M62" s="1926" t="s">
        <v>1574</v>
      </c>
      <c r="O62" s="1879" t="s">
        <v>1046</v>
      </c>
      <c r="P62" s="1880" t="s">
        <v>1549</v>
      </c>
      <c r="Q62" s="1881" t="e">
        <f ca="1">Q56+Q57</f>
        <v>#N/A</v>
      </c>
      <c r="R62" s="1881" t="s">
        <v>1047</v>
      </c>
    </row>
    <row r="63" spans="1:18" s="1837" customFormat="1" ht="13.5" thickBot="1">
      <c r="A63" s="370"/>
      <c r="B63" s="1173"/>
      <c r="C63" s="29"/>
      <c r="D63" s="1183"/>
      <c r="E63" s="1167" t="s">
        <v>1447</v>
      </c>
      <c r="F63" s="346" t="e">
        <f t="shared" ca="1" si="0"/>
        <v>#N/A</v>
      </c>
      <c r="I63" s="1924" t="s">
        <v>1576</v>
      </c>
      <c r="J63" s="1925">
        <v>70</v>
      </c>
      <c r="K63" s="1925">
        <v>50</v>
      </c>
      <c r="L63" s="1925">
        <v>80</v>
      </c>
      <c r="M63" s="1927">
        <v>0.02</v>
      </c>
      <c r="O63" s="1864" t="s">
        <v>1577</v>
      </c>
      <c r="P63" s="1834"/>
      <c r="Q63" s="1834"/>
      <c r="R63" s="1834"/>
    </row>
    <row r="64" spans="1:18" s="1837" customFormat="1" ht="13.5" thickBot="1">
      <c r="A64" s="1199" t="s">
        <v>1039</v>
      </c>
      <c r="B64" s="1167" t="s">
        <v>1449</v>
      </c>
      <c r="C64" s="24" t="e">
        <f ca="1">ROUND(C57*F64,1)</f>
        <v>#N/A</v>
      </c>
      <c r="D64" s="1181" t="s">
        <v>1482</v>
      </c>
      <c r="E64" s="1167" t="s">
        <v>1422</v>
      </c>
      <c r="F64" s="372"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9" t="s">
        <v>1503</v>
      </c>
      <c r="B65" s="1167" t="s">
        <v>1453</v>
      </c>
      <c r="C65" s="24" t="e">
        <f ca="1">ROUND(C56*F65,1)</f>
        <v>#N/A</v>
      </c>
      <c r="D65" s="1181" t="s">
        <v>1454</v>
      </c>
      <c r="E65" s="1167" t="s">
        <v>1422</v>
      </c>
      <c r="F65" s="374" t="e">
        <f t="shared" ca="1" si="0"/>
        <v>#N/A</v>
      </c>
      <c r="I65" s="1924" t="s">
        <v>1579</v>
      </c>
      <c r="J65" s="1925">
        <v>40</v>
      </c>
      <c r="K65" s="1925">
        <v>30</v>
      </c>
      <c r="L65" s="1925">
        <v>50</v>
      </c>
      <c r="M65" s="1927">
        <v>0.02</v>
      </c>
      <c r="O65" s="1879" t="s">
        <v>1040</v>
      </c>
      <c r="P65" s="1880" t="s">
        <v>1528</v>
      </c>
      <c r="Q65" s="1881" t="e">
        <f ca="1">C40+J29</f>
        <v>#N/A</v>
      </c>
      <c r="R65" s="1881" t="s">
        <v>1529</v>
      </c>
    </row>
    <row r="66" spans="1:18" s="1837" customFormat="1" ht="16.5" thickBot="1">
      <c r="A66" s="1199" t="s">
        <v>1504</v>
      </c>
      <c r="B66" s="1167" t="s">
        <v>1439</v>
      </c>
      <c r="C66" s="24" t="e">
        <f ca="1">ROUND(C48*F66,1)</f>
        <v>#N/A</v>
      </c>
      <c r="D66" s="1181" t="s">
        <v>1459</v>
      </c>
      <c r="E66" s="1167" t="s">
        <v>1422</v>
      </c>
      <c r="F66" s="355" t="e">
        <f t="shared" ca="1" si="0"/>
        <v>#N/A</v>
      </c>
      <c r="O66" s="1879" t="s">
        <v>1041</v>
      </c>
      <c r="P66" s="1880" t="s">
        <v>1558</v>
      </c>
      <c r="Q66" s="1881" t="e">
        <f ca="1">L60</f>
        <v>#N/A</v>
      </c>
      <c r="R66" s="1881" t="s">
        <v>1581</v>
      </c>
    </row>
    <row r="67" spans="1:18" s="1837" customFormat="1" ht="16.5" thickBot="1">
      <c r="A67" s="1174" t="s">
        <v>1031</v>
      </c>
      <c r="B67" s="1184" t="s">
        <v>1463</v>
      </c>
      <c r="C67" s="359" t="e">
        <f ca="1">C48-C58</f>
        <v>#N/A</v>
      </c>
      <c r="D67" s="1180" t="s">
        <v>1464</v>
      </c>
      <c r="E67" s="1185"/>
      <c r="F67" s="1186"/>
      <c r="O67" s="1889" t="s">
        <v>1042</v>
      </c>
      <c r="P67" s="1880" t="s">
        <v>1562</v>
      </c>
      <c r="Q67" s="1928" t="e">
        <f ca="1">L51</f>
        <v>#N/A</v>
      </c>
      <c r="R67" s="1881" t="s">
        <v>1582</v>
      </c>
    </row>
    <row r="68" spans="1:18" s="1837" customFormat="1" ht="16.5" thickBot="1">
      <c r="A68" s="1164" t="s">
        <v>1032</v>
      </c>
      <c r="B68" s="1165" t="s">
        <v>1485</v>
      </c>
      <c r="C68" s="344" t="e">
        <f ca="1">ROUND(C67*(1-((1+F70)/(1+F68))^F69)/(F68-F70),0)</f>
        <v>#N/A</v>
      </c>
      <c r="D68" s="1182" t="s">
        <v>1469</v>
      </c>
      <c r="E68" s="1167" t="s">
        <v>1470</v>
      </c>
      <c r="F68" s="355" t="e">
        <f ca="1">F40</f>
        <v>#N/A</v>
      </c>
      <c r="O68" s="1889" t="s">
        <v>1043</v>
      </c>
      <c r="P68" s="1929" t="s">
        <v>1583</v>
      </c>
      <c r="Q68" s="1881" t="e">
        <f ca="1">ROUND(Q69-Q70*Q71,0)</f>
        <v>#N/A</v>
      </c>
      <c r="R68" s="1881" t="s">
        <v>1051</v>
      </c>
    </row>
    <row r="69" spans="1:18" s="1837" customFormat="1" ht="13.5" thickBot="1">
      <c r="A69" s="1168"/>
      <c r="B69" s="1169"/>
      <c r="C69" s="349"/>
      <c r="D69" s="1187" t="s">
        <v>1473</v>
      </c>
      <c r="E69" s="1167" t="s">
        <v>1474</v>
      </c>
      <c r="F69" s="377" t="e">
        <f ca="1">F41</f>
        <v>#N/A</v>
      </c>
      <c r="O69" s="1889" t="s">
        <v>1048</v>
      </c>
      <c r="P69" s="1929" t="s">
        <v>1584</v>
      </c>
      <c r="Q69" s="1881" t="e">
        <f ca="1">C39</f>
        <v>#N/A</v>
      </c>
      <c r="R69" s="1881" t="s">
        <v>1529</v>
      </c>
    </row>
    <row r="70" spans="1:18" s="1837" customFormat="1" ht="13.5" thickBot="1">
      <c r="A70" s="1171"/>
      <c r="B70" s="1172"/>
      <c r="C70" s="353"/>
      <c r="D70" s="1183"/>
      <c r="E70" s="1167" t="s">
        <v>1477</v>
      </c>
      <c r="F70" s="1271">
        <f>'数据-取费表'!V7</f>
        <v>1.4999999999999999E-2</v>
      </c>
      <c r="O70" s="1889" t="s">
        <v>1049</v>
      </c>
      <c r="P70" s="1929" t="s">
        <v>1585</v>
      </c>
      <c r="Q70" s="1881" t="e">
        <f ca="1">C13</f>
        <v>#N/A</v>
      </c>
      <c r="R70" s="1881" t="s">
        <v>1529</v>
      </c>
    </row>
    <row r="71" spans="1:18" s="1837" customFormat="1" ht="13.5" thickBot="1">
      <c r="A71" s="1188" t="s">
        <v>1033</v>
      </c>
      <c r="B71" s="1189" t="s">
        <v>1487</v>
      </c>
      <c r="C71" s="380" t="e">
        <f ca="1">ROUND(C68*10000/F71,0)</f>
        <v>#N/A</v>
      </c>
      <c r="D71" s="1190" t="s">
        <v>1488</v>
      </c>
      <c r="E71" s="1191" t="s">
        <v>1489</v>
      </c>
      <c r="F71" s="383" t="e">
        <f ca="1">F43</f>
        <v>#N/A</v>
      </c>
      <c r="O71" s="1889" t="s">
        <v>1050</v>
      </c>
      <c r="P71" s="1929" t="s">
        <v>1586</v>
      </c>
      <c r="Q71" s="1892" t="e">
        <f ca="1">C76</f>
        <v>#N/A</v>
      </c>
      <c r="R71" s="1881"/>
    </row>
    <row r="72" spans="1:18" s="1837" customFormat="1" ht="13.5" thickBot="1">
      <c r="B72" s="792"/>
      <c r="C72" s="792"/>
      <c r="O72" s="1889" t="s">
        <v>1044</v>
      </c>
      <c r="P72" s="1880" t="s">
        <v>1564</v>
      </c>
      <c r="Q72" s="1892">
        <f>L52</f>
        <v>0</v>
      </c>
      <c r="R72" s="1881"/>
    </row>
    <row r="73" spans="1:18" ht="16.5" thickBot="1">
      <c r="A73" s="1837"/>
      <c r="B73" s="792"/>
      <c r="C73" s="792"/>
      <c r="D73" s="1837"/>
      <c r="E73" s="1837"/>
      <c r="F73" s="1837"/>
      <c r="O73" s="1889" t="s">
        <v>1045</v>
      </c>
      <c r="P73" s="1880" t="s">
        <v>1567</v>
      </c>
      <c r="Q73" s="1881" t="e">
        <f ca="1">L58</f>
        <v>#N/A</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4" t="s">
        <v>1506</v>
      </c>
      <c r="C75" s="385" t="e">
        <f ca="1">ROUND(C13*C76,0)</f>
        <v>#N/A</v>
      </c>
      <c r="D75" s="1837"/>
      <c r="E75" s="1837"/>
      <c r="F75" s="1837"/>
      <c r="K75" s="1863"/>
      <c r="L75" s="1837"/>
      <c r="O75" s="1879" t="s">
        <v>1046</v>
      </c>
      <c r="P75" s="1880" t="s">
        <v>1549</v>
      </c>
      <c r="Q75" s="1881" t="e">
        <f ca="1">Q65+Q66</f>
        <v>#N/A</v>
      </c>
      <c r="R75" s="1881" t="s">
        <v>1047</v>
      </c>
    </row>
    <row r="76" spans="1:18">
      <c r="B76" s="386" t="s">
        <v>1507</v>
      </c>
      <c r="C76" s="387" t="e">
        <f ca="1">INDIRECT("'数据-取费表'!j"&amp;$G$1)</f>
        <v>#N/A</v>
      </c>
      <c r="I76" s="1837"/>
      <c r="J76" s="1837"/>
      <c r="K76" s="1863"/>
      <c r="L76" s="1837"/>
    </row>
    <row r="77" spans="1:18">
      <c r="B77" s="388" t="s">
        <v>1508</v>
      </c>
      <c r="C77" s="389"/>
      <c r="I77" s="1837"/>
      <c r="J77" s="1837"/>
      <c r="K77" s="1863"/>
      <c r="L77" s="1837"/>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M31" sqref="M31"/>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2512</v>
      </c>
      <c r="B1" s="2569" t="s">
        <v>2513</v>
      </c>
      <c r="C1" s="1629" t="s">
        <v>2514</v>
      </c>
      <c r="D1" s="1616" t="s">
        <v>3164</v>
      </c>
      <c r="E1" s="2570"/>
      <c r="F1" s="2571" t="s">
        <v>2515</v>
      </c>
      <c r="G1" s="1626" t="s">
        <v>2516</v>
      </c>
      <c r="H1" s="1625"/>
      <c r="I1" s="1625"/>
      <c r="J1" s="1625"/>
      <c r="K1" s="1627"/>
      <c r="L1" s="1628"/>
      <c r="M1" s="1629"/>
      <c r="N1" s="1629"/>
      <c r="O1" s="1629"/>
      <c r="P1" s="2572"/>
      <c r="Q1" s="1615"/>
      <c r="R1" s="1615"/>
      <c r="S1" s="1615"/>
      <c r="T1" s="1615"/>
      <c r="U1" s="1615"/>
      <c r="V1" s="1615"/>
      <c r="W1" s="1615"/>
      <c r="X1" s="1615"/>
      <c r="Y1" s="1615"/>
      <c r="Z1" s="1615"/>
      <c r="AA1" s="1615"/>
      <c r="AB1" s="1615"/>
      <c r="AC1" s="1623"/>
    </row>
    <row r="2" spans="1:29" s="391" customFormat="1" ht="28.5" customHeight="1" thickTop="1">
      <c r="A2" s="1612" t="s">
        <v>1394</v>
      </c>
      <c r="B2" s="1414">
        <f>IF(C2="——",ROUND(C49*D3/10000,0),ROUND(C49*D3/10000,0)-D2)</f>
        <v>38112</v>
      </c>
      <c r="C2" s="2573" t="s">
        <v>70</v>
      </c>
      <c r="D2" s="1361" t="e">
        <f ca="1">SUMIF(INDIRECT("'"&amp;F2&amp;"'"&amp;"!A:A"),"承租人权益价值",INDIRECT("'"&amp;F2&amp;"'"&amp;"!c:c"))</f>
        <v>#REF!</v>
      </c>
      <c r="E2" s="2574" t="s">
        <v>2517</v>
      </c>
      <c r="F2" s="2575"/>
      <c r="G2" s="1122"/>
      <c r="H2" s="1122"/>
      <c r="I2" s="1122"/>
      <c r="J2" s="1122"/>
      <c r="K2" s="2576"/>
      <c r="L2" s="2577"/>
      <c r="M2" s="2578"/>
      <c r="N2" s="2578"/>
      <c r="O2" s="2578"/>
      <c r="P2" s="2579"/>
      <c r="Q2" s="2580"/>
      <c r="R2" s="2580"/>
      <c r="S2" s="2580"/>
      <c r="T2" s="2580"/>
      <c r="U2" s="2580"/>
      <c r="V2" s="2580"/>
      <c r="W2" s="2580"/>
      <c r="X2" s="2580"/>
      <c r="Y2" s="2580"/>
      <c r="Z2" s="2580"/>
      <c r="AA2" s="2580"/>
      <c r="AB2" s="2580"/>
      <c r="AC2" s="2581"/>
    </row>
    <row r="3" spans="1:29" s="391" customFormat="1" ht="28.5" customHeight="1" thickBot="1">
      <c r="A3" s="245" t="s">
        <v>1395</v>
      </c>
      <c r="B3" s="397">
        <f>IF(C2="——",C49,ROUND(B2*10000/D3,0))</f>
        <v>8220</v>
      </c>
      <c r="C3" s="398" t="s">
        <v>2518</v>
      </c>
      <c r="D3" s="397">
        <f>IF(D1="",'数据-汇总表'!E3,SUMIF('数据-汇总表'!$C19:$C33,D1,'数据-汇总表'!$E19:$E33))</f>
        <v>46364.71</v>
      </c>
      <c r="E3" s="1122"/>
      <c r="F3" s="2582"/>
      <c r="G3" s="1122"/>
      <c r="H3" s="1122"/>
      <c r="I3" s="1122"/>
      <c r="J3" s="1122"/>
      <c r="K3" s="2576"/>
      <c r="L3" s="2577"/>
      <c r="M3" s="2578"/>
      <c r="N3" s="2578"/>
      <c r="O3" s="2578"/>
      <c r="P3" s="2579"/>
      <c r="Q3" s="2580"/>
      <c r="R3" s="2580"/>
      <c r="S3" s="2580"/>
      <c r="T3" s="2580"/>
      <c r="U3" s="2580"/>
      <c r="V3" s="2580"/>
      <c r="W3" s="2580"/>
      <c r="X3" s="2580"/>
      <c r="Y3" s="2580"/>
      <c r="Z3" s="2580"/>
      <c r="AA3" s="2580"/>
      <c r="AB3" s="2580"/>
      <c r="AC3" s="1278"/>
    </row>
    <row r="4" spans="1:29" ht="15">
      <c r="A4" s="399" t="s">
        <v>2519</v>
      </c>
      <c r="B4" s="400"/>
      <c r="C4" s="3275" t="s">
        <v>2520</v>
      </c>
      <c r="D4" s="3276"/>
      <c r="E4" s="3277" t="s">
        <v>2521</v>
      </c>
      <c r="F4" s="3278"/>
      <c r="G4" s="3275" t="s">
        <v>2522</v>
      </c>
      <c r="H4" s="3276"/>
      <c r="I4" s="3275" t="s">
        <v>2523</v>
      </c>
      <c r="J4" s="3276"/>
      <c r="K4" s="2583" t="s">
        <v>2524</v>
      </c>
      <c r="L4" s="1128"/>
      <c r="M4" s="1129"/>
      <c r="N4" s="1129"/>
      <c r="O4" s="1129"/>
      <c r="P4" s="3279" t="s">
        <v>2525</v>
      </c>
      <c r="Q4" s="3280"/>
      <c r="R4" s="3262" t="s">
        <v>2521</v>
      </c>
      <c r="S4" s="3263"/>
      <c r="T4" s="3262" t="s">
        <v>2522</v>
      </c>
      <c r="U4" s="3263"/>
      <c r="V4" s="3287" t="s">
        <v>2523</v>
      </c>
      <c r="W4" s="3287"/>
      <c r="X4" s="1808"/>
      <c r="Y4" s="3262" t="s">
        <v>2525</v>
      </c>
      <c r="Z4" s="3263"/>
      <c r="AA4" s="3257" t="s">
        <v>2521</v>
      </c>
      <c r="AB4" s="3257" t="s">
        <v>2522</v>
      </c>
      <c r="AC4" s="3257" t="s">
        <v>2523</v>
      </c>
    </row>
    <row r="5" spans="1:29" ht="15">
      <c r="A5" s="402"/>
      <c r="B5" s="403"/>
      <c r="C5" s="3304" t="s">
        <v>3267</v>
      </c>
      <c r="D5" s="3269"/>
      <c r="E5" s="3303" t="s">
        <v>3268</v>
      </c>
      <c r="F5" s="3267"/>
      <c r="G5" s="3304" t="s">
        <v>3269</v>
      </c>
      <c r="H5" s="3269"/>
      <c r="I5" s="3331" t="s">
        <v>3542</v>
      </c>
      <c r="J5" s="3332"/>
      <c r="K5" s="2584"/>
      <c r="L5" s="1128"/>
      <c r="M5" s="1129"/>
      <c r="N5" s="1129"/>
      <c r="O5" s="1129"/>
      <c r="P5" s="3281"/>
      <c r="Q5" s="3282"/>
      <c r="R5" s="3264"/>
      <c r="S5" s="3265"/>
      <c r="T5" s="3264"/>
      <c r="U5" s="3265"/>
      <c r="V5" s="3287"/>
      <c r="W5" s="3287"/>
      <c r="X5" s="1808"/>
      <c r="Y5" s="3264"/>
      <c r="Z5" s="3265"/>
      <c r="AA5" s="3258"/>
      <c r="AB5" s="3258"/>
      <c r="AC5" s="3258"/>
    </row>
    <row r="6" spans="1:29" ht="15.75" thickBot="1">
      <c r="A6" s="404"/>
      <c r="B6" s="405"/>
      <c r="C6" s="3270" t="s">
        <v>2530</v>
      </c>
      <c r="D6" s="3271"/>
      <c r="E6" s="3272" t="s">
        <v>2530</v>
      </c>
      <c r="F6" s="3273"/>
      <c r="G6" s="3270" t="s">
        <v>2530</v>
      </c>
      <c r="H6" s="3271"/>
      <c r="I6" s="3270" t="s">
        <v>2530</v>
      </c>
      <c r="J6" s="3271"/>
      <c r="K6" s="2584" t="s">
        <v>2531</v>
      </c>
      <c r="L6" s="1128"/>
      <c r="M6" s="1129"/>
      <c r="N6" s="1129"/>
      <c r="O6" s="1129"/>
      <c r="P6" s="3283"/>
      <c r="Q6" s="3284"/>
      <c r="R6" s="3264"/>
      <c r="S6" s="3265"/>
      <c r="T6" s="3285"/>
      <c r="U6" s="3286"/>
      <c r="V6" s="3287"/>
      <c r="W6" s="3287"/>
      <c r="X6" s="1808"/>
      <c r="Y6" s="3285"/>
      <c r="Z6" s="3286"/>
      <c r="AA6" s="3259"/>
      <c r="AB6" s="3259"/>
      <c r="AC6" s="3259"/>
    </row>
    <row r="7" spans="1:29" s="116" customFormat="1" ht="15.75" thickBot="1">
      <c r="A7" s="406" t="s">
        <v>2532</v>
      </c>
      <c r="B7" s="407"/>
      <c r="C7" s="408">
        <f>'数据-取费表'!B2</f>
        <v>43207</v>
      </c>
      <c r="D7" s="409">
        <v>100</v>
      </c>
      <c r="E7" s="410">
        <f>C7</f>
        <v>43207</v>
      </c>
      <c r="F7" s="411">
        <f>SUMIF(58:58,YEAR(E7)&amp;"-"&amp;MONTH(E7),59:59)</f>
        <v>100</v>
      </c>
      <c r="G7" s="410">
        <f>C7</f>
        <v>43207</v>
      </c>
      <c r="H7" s="409">
        <f>SUMIF(58:58,YEAR(G7)&amp;"-"&amp;MONTH(G7),59:59)</f>
        <v>100</v>
      </c>
      <c r="I7" s="410">
        <f>C7</f>
        <v>43207</v>
      </c>
      <c r="J7" s="409">
        <f>SUMIF(58:58,YEAR(I7)&amp;"-"&amp;MONTH(I7),59:59)</f>
        <v>100</v>
      </c>
      <c r="K7" s="2585"/>
      <c r="L7" s="1130"/>
      <c r="M7" s="1131"/>
      <c r="N7" s="1131"/>
      <c r="O7" s="1131"/>
      <c r="P7" s="3260" t="s">
        <v>2533</v>
      </c>
      <c r="Q7" s="3288"/>
      <c r="R7" s="766" t="s">
        <v>23</v>
      </c>
      <c r="S7" s="767">
        <f t="shared" ref="S7:S15" si="0">F7</f>
        <v>100</v>
      </c>
      <c r="T7" s="766" t="s">
        <v>23</v>
      </c>
      <c r="U7" s="767">
        <f t="shared" ref="U7:U15" si="1">H7</f>
        <v>100</v>
      </c>
      <c r="V7" s="766" t="s">
        <v>23</v>
      </c>
      <c r="W7" s="767">
        <f t="shared" ref="W7:W15" si="2">J7</f>
        <v>100</v>
      </c>
      <c r="X7" s="768"/>
      <c r="Y7" s="3260" t="s">
        <v>2533</v>
      </c>
      <c r="Z7" s="3261"/>
      <c r="AA7" s="769">
        <f>D7/F7</f>
        <v>1</v>
      </c>
      <c r="AB7" s="769">
        <f>D7/H7</f>
        <v>1</v>
      </c>
      <c r="AC7" s="769">
        <f>D7/J7</f>
        <v>1</v>
      </c>
    </row>
    <row r="8" spans="1:29" s="116" customFormat="1" ht="15.75" thickBot="1">
      <c r="A8" s="406" t="s">
        <v>2534</v>
      </c>
      <c r="B8" s="407"/>
      <c r="C8" s="412" t="s">
        <v>2535</v>
      </c>
      <c r="D8" s="409">
        <v>100</v>
      </c>
      <c r="E8" s="2586" t="s">
        <v>3048</v>
      </c>
      <c r="F8" s="411">
        <f>SUMIF(61:61,E8,62:62)-SUMIF(61:61,C8,62:62)+100</f>
        <v>100</v>
      </c>
      <c r="G8" s="412" t="s">
        <v>3048</v>
      </c>
      <c r="H8" s="409">
        <f>SUMIF(61:61,G8,62:62)-SUMIF(61:61,C8,62:62)+100</f>
        <v>100</v>
      </c>
      <c r="I8" s="2586" t="s">
        <v>3048</v>
      </c>
      <c r="J8" s="409">
        <f>SUMIF(61:61,I8,62:62)-SUMIF(61:61,C8,62:62)+100</f>
        <v>100</v>
      </c>
      <c r="K8" s="2585"/>
      <c r="L8" s="1130"/>
      <c r="M8" s="1131"/>
      <c r="N8" s="1131"/>
      <c r="O8" s="1131"/>
      <c r="P8" s="3260" t="s">
        <v>2536</v>
      </c>
      <c r="Q8" s="3261"/>
      <c r="R8" s="766" t="s">
        <v>23</v>
      </c>
      <c r="S8" s="767">
        <f t="shared" si="0"/>
        <v>100</v>
      </c>
      <c r="T8" s="766" t="s">
        <v>23</v>
      </c>
      <c r="U8" s="767">
        <f t="shared" si="1"/>
        <v>100</v>
      </c>
      <c r="V8" s="766" t="s">
        <v>23</v>
      </c>
      <c r="W8" s="767">
        <f t="shared" si="2"/>
        <v>100</v>
      </c>
      <c r="X8" s="768"/>
      <c r="Y8" s="3260" t="s">
        <v>2536</v>
      </c>
      <c r="Z8" s="3261"/>
      <c r="AA8" s="769">
        <f t="shared" ref="AA8:AA19" si="3">D8/F8</f>
        <v>1</v>
      </c>
      <c r="AB8" s="769">
        <f t="shared" ref="AB8:AB19" si="4">D8/H8</f>
        <v>1</v>
      </c>
      <c r="AC8" s="769">
        <f t="shared" ref="AC8:AC19" si="5">D8/J8</f>
        <v>1</v>
      </c>
    </row>
    <row r="9" spans="1:29" s="116" customFormat="1">
      <c r="A9" s="413" t="s">
        <v>2537</v>
      </c>
      <c r="B9" s="71" t="s">
        <v>2538</v>
      </c>
      <c r="C9" s="2936" t="s">
        <v>3270</v>
      </c>
      <c r="D9" s="133">
        <v>100</v>
      </c>
      <c r="E9" s="415" t="s">
        <v>3162</v>
      </c>
      <c r="F9" s="416">
        <f>SUMIF(63:63,E9,64:64)-SUMIF(63:63,C9,64:64)+100</f>
        <v>100</v>
      </c>
      <c r="G9" s="417" t="s">
        <v>3162</v>
      </c>
      <c r="H9" s="133">
        <f>SUMIF(63:63,G9,64:64)-SUMIF(63:63,C9,64:64)+100</f>
        <v>100</v>
      </c>
      <c r="I9" s="417" t="s">
        <v>3162</v>
      </c>
      <c r="J9" s="133">
        <f>SUMIF(63:63,I9,64:64)-SUMIF(63:63,C9,64:64)+100</f>
        <v>100</v>
      </c>
      <c r="K9" s="2585"/>
      <c r="L9" s="1130"/>
      <c r="M9" s="1131"/>
      <c r="N9" s="1131"/>
      <c r="O9" s="1131"/>
      <c r="P9" s="3298" t="s">
        <v>2539</v>
      </c>
      <c r="Q9" s="1790" t="str">
        <f t="shared" ref="Q9:Q15" si="6">B9</f>
        <v>用途</v>
      </c>
      <c r="R9" s="766" t="s">
        <v>17</v>
      </c>
      <c r="S9" s="767">
        <f t="shared" si="0"/>
        <v>100</v>
      </c>
      <c r="T9" s="766" t="s">
        <v>17</v>
      </c>
      <c r="U9" s="767">
        <f t="shared" si="1"/>
        <v>100</v>
      </c>
      <c r="V9" s="766" t="s">
        <v>17</v>
      </c>
      <c r="W9" s="767">
        <f t="shared" si="2"/>
        <v>100</v>
      </c>
      <c r="X9" s="768"/>
      <c r="Y9" s="3134" t="s">
        <v>2540</v>
      </c>
      <c r="Z9" s="55" t="str">
        <f t="shared" ref="Z9:Z15" si="7">Q9</f>
        <v>用途</v>
      </c>
      <c r="AA9" s="769">
        <f t="shared" si="3"/>
        <v>1</v>
      </c>
      <c r="AB9" s="769">
        <f t="shared" si="4"/>
        <v>1</v>
      </c>
      <c r="AC9" s="769">
        <f t="shared" si="5"/>
        <v>1</v>
      </c>
    </row>
    <row r="10" spans="1:29" s="425" customFormat="1" ht="27">
      <c r="A10" s="419"/>
      <c r="B10" s="420" t="s">
        <v>2541</v>
      </c>
      <c r="C10" s="421" t="s">
        <v>3271</v>
      </c>
      <c r="D10" s="134">
        <v>100</v>
      </c>
      <c r="E10" s="422" t="s">
        <v>3271</v>
      </c>
      <c r="F10" s="423">
        <f>SUMIF(65:65,E10,66:66)-SUMIF(65:65,C10,66:66)+100</f>
        <v>100</v>
      </c>
      <c r="G10" s="421" t="s">
        <v>3272</v>
      </c>
      <c r="H10" s="134">
        <f>SUMIF(65:65,G10,66:66)-SUMIF(65:65,C10,66:66)+100</f>
        <v>99</v>
      </c>
      <c r="I10" s="421" t="s">
        <v>3272</v>
      </c>
      <c r="J10" s="134">
        <f>SUMIF(65:65,I10,66:66)-SUMIF(65:65,C10,66:66)+100</f>
        <v>99</v>
      </c>
      <c r="K10" s="424">
        <v>1</v>
      </c>
      <c r="L10" s="1133"/>
      <c r="M10" s="1134"/>
      <c r="N10" s="1134"/>
      <c r="O10" s="1134"/>
      <c r="P10" s="3298"/>
      <c r="Q10" s="1790" t="str">
        <f t="shared" si="6"/>
        <v>土地使用年限（年）</v>
      </c>
      <c r="R10" s="766" t="s">
        <v>17</v>
      </c>
      <c r="S10" s="767">
        <f t="shared" si="0"/>
        <v>100</v>
      </c>
      <c r="T10" s="766" t="s">
        <v>17</v>
      </c>
      <c r="U10" s="767">
        <f t="shared" si="1"/>
        <v>99</v>
      </c>
      <c r="V10" s="766" t="s">
        <v>17</v>
      </c>
      <c r="W10" s="767">
        <f t="shared" si="2"/>
        <v>99</v>
      </c>
      <c r="X10" s="768"/>
      <c r="Y10" s="3134"/>
      <c r="Z10" s="55" t="str">
        <f t="shared" si="7"/>
        <v>土地使用年限（年）</v>
      </c>
      <c r="AA10" s="769">
        <f t="shared" si="3"/>
        <v>1</v>
      </c>
      <c r="AB10" s="769">
        <f t="shared" si="4"/>
        <v>1.0101010101010102</v>
      </c>
      <c r="AC10" s="769">
        <f t="shared" si="5"/>
        <v>1.0101010101010102</v>
      </c>
    </row>
    <row r="11" spans="1:29" ht="15">
      <c r="A11" s="426"/>
      <c r="B11" s="420" t="s">
        <v>2542</v>
      </c>
      <c r="C11" s="427">
        <f>'数据-汇总表'!I5</f>
        <v>1.26</v>
      </c>
      <c r="D11" s="134">
        <v>100</v>
      </c>
      <c r="E11" s="428">
        <f>'[2]比较法-住宅'!$E$11</f>
        <v>2.8</v>
      </c>
      <c r="F11" s="423">
        <f>LOOKUP(E11,68:68,69:69)-LOOKUP(C11,68:68,69:69)+100</f>
        <v>98</v>
      </c>
      <c r="G11" s="427">
        <f>'[2]土地比较法-住宅、综合'!$G$11</f>
        <v>2.6</v>
      </c>
      <c r="H11" s="134">
        <f>LOOKUP(G11,68:68,69:69)-LOOKUP(C11,68:68,69:69)+100</f>
        <v>98</v>
      </c>
      <c r="I11" s="427">
        <f>'[2]比较法-住宅'!$I$11</f>
        <v>2.19</v>
      </c>
      <c r="J11" s="134">
        <f>LOOKUP(I11,68:68,69:69)-LOOKUP(C11,68:68,69:69)+100</f>
        <v>98</v>
      </c>
      <c r="K11" s="424">
        <f>'[2]比较法-住宅'!$K$11</f>
        <v>2</v>
      </c>
      <c r="L11" s="1136"/>
      <c r="M11" s="1129"/>
      <c r="N11" s="1129"/>
      <c r="O11" s="1129"/>
      <c r="P11" s="3298"/>
      <c r="Q11" s="1790" t="str">
        <f t="shared" si="6"/>
        <v>容积率</v>
      </c>
      <c r="R11" s="766" t="s">
        <v>21</v>
      </c>
      <c r="S11" s="767">
        <f t="shared" si="0"/>
        <v>98</v>
      </c>
      <c r="T11" s="766" t="s">
        <v>21</v>
      </c>
      <c r="U11" s="767">
        <f t="shared" si="1"/>
        <v>98</v>
      </c>
      <c r="V11" s="766" t="s">
        <v>21</v>
      </c>
      <c r="W11" s="767">
        <f t="shared" si="2"/>
        <v>98</v>
      </c>
      <c r="X11" s="768"/>
      <c r="Y11" s="3134"/>
      <c r="Z11" s="55" t="str">
        <f t="shared" si="7"/>
        <v>容积率</v>
      </c>
      <c r="AA11" s="769">
        <f t="shared" si="3"/>
        <v>1.0204081632653061</v>
      </c>
      <c r="AB11" s="769">
        <f t="shared" si="4"/>
        <v>1.0204081632653061</v>
      </c>
      <c r="AC11" s="769">
        <f t="shared" si="5"/>
        <v>1.0204081632653061</v>
      </c>
    </row>
    <row r="12" spans="1:29" s="116" customFormat="1" ht="15">
      <c r="A12" s="429"/>
      <c r="B12" s="2587">
        <v>111</v>
      </c>
      <c r="C12" s="430"/>
      <c r="D12" s="431">
        <v>100</v>
      </c>
      <c r="E12" s="430"/>
      <c r="F12" s="423">
        <f>SUMIF(70:70,E12,71:71)-SUMIF(70:70,C12,71:71)+100</f>
        <v>100</v>
      </c>
      <c r="G12" s="430"/>
      <c r="H12" s="134">
        <f>SUMIF(70:70,G12,71:71)-SUMIF(70:70,C12,71:71)+100</f>
        <v>100</v>
      </c>
      <c r="I12" s="430"/>
      <c r="J12" s="134">
        <f>SUMIF(70:70,I12,71:71)-SUMIF(70:70,C12,71:71)+100</f>
        <v>100</v>
      </c>
      <c r="K12" s="2588"/>
      <c r="L12" s="1130"/>
      <c r="M12" s="1131"/>
      <c r="N12" s="1131"/>
      <c r="O12" s="1131"/>
      <c r="P12" s="3298"/>
      <c r="Q12" s="1790">
        <f t="shared" si="6"/>
        <v>111</v>
      </c>
      <c r="R12" s="766" t="s">
        <v>21</v>
      </c>
      <c r="S12" s="767">
        <f t="shared" si="0"/>
        <v>100</v>
      </c>
      <c r="T12" s="766" t="s">
        <v>21</v>
      </c>
      <c r="U12" s="767">
        <f t="shared" si="1"/>
        <v>100</v>
      </c>
      <c r="V12" s="766" t="s">
        <v>21</v>
      </c>
      <c r="W12" s="767">
        <f t="shared" si="2"/>
        <v>100</v>
      </c>
      <c r="X12" s="768"/>
      <c r="Y12" s="3134"/>
      <c r="Z12" s="55">
        <f t="shared" si="7"/>
        <v>111</v>
      </c>
      <c r="AA12" s="769">
        <f>D12/F12</f>
        <v>1</v>
      </c>
      <c r="AB12" s="769">
        <f>D12/H12</f>
        <v>1</v>
      </c>
      <c r="AC12" s="769">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2588"/>
      <c r="L13" s="1138"/>
      <c r="M13" s="1129"/>
      <c r="N13" s="1129"/>
      <c r="O13" s="1129"/>
      <c r="P13" s="3298"/>
      <c r="Q13" s="1790">
        <f t="shared" si="6"/>
        <v>111</v>
      </c>
      <c r="R13" s="766" t="s">
        <v>21</v>
      </c>
      <c r="S13" s="767">
        <f t="shared" si="0"/>
        <v>100</v>
      </c>
      <c r="T13" s="766" t="s">
        <v>21</v>
      </c>
      <c r="U13" s="767">
        <f t="shared" si="1"/>
        <v>100</v>
      </c>
      <c r="V13" s="766" t="s">
        <v>21</v>
      </c>
      <c r="W13" s="767">
        <f t="shared" si="2"/>
        <v>100</v>
      </c>
      <c r="X13" s="768"/>
      <c r="Y13" s="3134"/>
      <c r="Z13" s="55">
        <f t="shared" si="7"/>
        <v>111</v>
      </c>
      <c r="AA13" s="769">
        <f t="shared" si="3"/>
        <v>1</v>
      </c>
      <c r="AB13" s="769">
        <f t="shared" si="4"/>
        <v>1</v>
      </c>
      <c r="AC13" s="769">
        <f t="shared" si="5"/>
        <v>1</v>
      </c>
    </row>
    <row r="14" spans="1:29" ht="15.75" thickBot="1">
      <c r="A14" s="434"/>
      <c r="B14" s="2589">
        <v>111</v>
      </c>
      <c r="C14" s="435"/>
      <c r="D14" s="436">
        <v>100</v>
      </c>
      <c r="E14" s="435"/>
      <c r="F14" s="437">
        <f>SUMIF(74:74,E14,75:75)-SUMIF(74:74,C14,75:75)+100</f>
        <v>100</v>
      </c>
      <c r="G14" s="435"/>
      <c r="H14" s="436">
        <f>SUMIF(74:74,G14,75:75)-SUMIF(74:74,C14,75:75)+100</f>
        <v>100</v>
      </c>
      <c r="I14" s="435"/>
      <c r="J14" s="436">
        <f>SUMIF(74:74,I14,75:75)-SUMIF(74:74,C14,75:75)+100</f>
        <v>100</v>
      </c>
      <c r="K14" s="2588"/>
      <c r="L14" s="1138"/>
      <c r="M14" s="1129"/>
      <c r="N14" s="1129"/>
      <c r="O14" s="1129"/>
      <c r="P14" s="3298"/>
      <c r="Q14" s="1790">
        <f t="shared" si="6"/>
        <v>111</v>
      </c>
      <c r="R14" s="766" t="s">
        <v>21</v>
      </c>
      <c r="S14" s="767">
        <f t="shared" si="0"/>
        <v>100</v>
      </c>
      <c r="T14" s="766" t="s">
        <v>21</v>
      </c>
      <c r="U14" s="767">
        <f t="shared" si="1"/>
        <v>100</v>
      </c>
      <c r="V14" s="766" t="s">
        <v>21</v>
      </c>
      <c r="W14" s="767">
        <f t="shared" si="2"/>
        <v>100</v>
      </c>
      <c r="X14" s="768"/>
      <c r="Y14" s="3134"/>
      <c r="Z14" s="55">
        <f t="shared" si="7"/>
        <v>111</v>
      </c>
      <c r="AA14" s="769">
        <f t="shared" si="3"/>
        <v>1</v>
      </c>
      <c r="AB14" s="769">
        <f t="shared" si="4"/>
        <v>1</v>
      </c>
      <c r="AC14" s="769">
        <f t="shared" si="5"/>
        <v>1</v>
      </c>
    </row>
    <row r="15" spans="1:29" ht="15">
      <c r="A15" s="438" t="s">
        <v>2543</v>
      </c>
      <c r="B15" s="69" t="s">
        <v>2083</v>
      </c>
      <c r="C15" s="2590">
        <f>估价对象房地状况!C3</f>
        <v>0</v>
      </c>
      <c r="D15" s="439">
        <v>100</v>
      </c>
      <c r="E15" s="442"/>
      <c r="F15" s="439">
        <f>SUMIF(76:76,E16,77:77)-SUMIF(76:76,C16,77:77)+100</f>
        <v>102</v>
      </c>
      <c r="G15" s="440"/>
      <c r="H15" s="439">
        <f>SUMIF(76:76,G16,77:77)-SUMIF(76:76,C16,77:77)+100</f>
        <v>102</v>
      </c>
      <c r="I15" s="440"/>
      <c r="J15" s="439">
        <f>SUMIF(76:76,I16,77:77)-SUMIF(76:76,C16,77:77)+100</f>
        <v>102</v>
      </c>
      <c r="K15" s="443">
        <v>1</v>
      </c>
      <c r="L15" s="1138"/>
      <c r="M15" s="1129"/>
      <c r="N15" s="1129"/>
      <c r="O15" s="1129"/>
      <c r="P15" s="3317" t="s">
        <v>2544</v>
      </c>
      <c r="Q15" s="1805" t="str">
        <f t="shared" si="6"/>
        <v>居住社区成熟度</v>
      </c>
      <c r="R15" s="770" t="s">
        <v>21</v>
      </c>
      <c r="S15" s="771">
        <f t="shared" si="0"/>
        <v>102</v>
      </c>
      <c r="T15" s="770" t="s">
        <v>21</v>
      </c>
      <c r="U15" s="771">
        <f t="shared" si="1"/>
        <v>102</v>
      </c>
      <c r="V15" s="770" t="s">
        <v>21</v>
      </c>
      <c r="W15" s="771">
        <f t="shared" si="2"/>
        <v>102</v>
      </c>
      <c r="X15" s="1808"/>
      <c r="Y15" s="3289" t="s">
        <v>2544</v>
      </c>
      <c r="Z15" s="1809" t="str">
        <f t="shared" si="7"/>
        <v>居住社区成熟度</v>
      </c>
      <c r="AA15" s="1806">
        <f t="shared" si="3"/>
        <v>0.98039215686274506</v>
      </c>
      <c r="AB15" s="1806">
        <f t="shared" si="4"/>
        <v>0.98039215686274506</v>
      </c>
      <c r="AC15" s="1806">
        <f t="shared" si="5"/>
        <v>0.98039215686274506</v>
      </c>
    </row>
    <row r="16" spans="1:29" ht="15">
      <c r="A16" s="426"/>
      <c r="B16" s="444"/>
      <c r="C16" s="445" t="s">
        <v>3273</v>
      </c>
      <c r="D16" s="446"/>
      <c r="E16" s="2591" t="s">
        <v>3055</v>
      </c>
      <c r="F16" s="446"/>
      <c r="G16" s="2592" t="s">
        <v>3055</v>
      </c>
      <c r="H16" s="448"/>
      <c r="I16" s="2592" t="s">
        <v>3055</v>
      </c>
      <c r="J16" s="446"/>
      <c r="K16" s="2593"/>
      <c r="L16" s="1138"/>
      <c r="M16" s="1129"/>
      <c r="N16" s="1129"/>
      <c r="O16" s="1129"/>
      <c r="P16" s="3318"/>
      <c r="Q16" s="1805"/>
      <c r="R16" s="770"/>
      <c r="S16" s="771"/>
      <c r="T16" s="770"/>
      <c r="U16" s="771"/>
      <c r="V16" s="770"/>
      <c r="W16" s="771"/>
      <c r="X16" s="1808"/>
      <c r="Y16" s="3290"/>
      <c r="Z16" s="1809"/>
      <c r="AA16" s="1806">
        <v>1</v>
      </c>
      <c r="AB16" s="1806">
        <v>1</v>
      </c>
      <c r="AC16" s="1806">
        <v>1</v>
      </c>
    </row>
    <row r="17" spans="1:29" ht="15">
      <c r="A17" s="426"/>
      <c r="B17" s="449" t="s">
        <v>2089</v>
      </c>
      <c r="C17" s="2594">
        <f>估价对象房地状况!C6</f>
        <v>0</v>
      </c>
      <c r="D17" s="448">
        <v>100</v>
      </c>
      <c r="E17" s="452"/>
      <c r="F17" s="448">
        <f>SUMIF(78:78,E18,79:79)-SUMIF(78:78,C18,79:79)+100</f>
        <v>100</v>
      </c>
      <c r="G17" s="450"/>
      <c r="H17" s="453">
        <f>SUMIF(78:78,G18,79:79)-SUMIF(78:78,C18,79:79)+100</f>
        <v>100</v>
      </c>
      <c r="I17" s="450"/>
      <c r="J17" s="453">
        <f>SUMIF(78:78,I18,79:79)-SUMIF(78:78,C18,79:79)+100</f>
        <v>98</v>
      </c>
      <c r="K17" s="443">
        <v>2</v>
      </c>
      <c r="L17" s="1138"/>
      <c r="M17" s="1129"/>
      <c r="N17" s="1129"/>
      <c r="O17" s="1129"/>
      <c r="P17" s="3318"/>
      <c r="Q17" s="1805" t="str">
        <f>B17</f>
        <v>交通便捷度</v>
      </c>
      <c r="R17" s="770" t="s">
        <v>21</v>
      </c>
      <c r="S17" s="771">
        <f>F17</f>
        <v>100</v>
      </c>
      <c r="T17" s="770" t="s">
        <v>21</v>
      </c>
      <c r="U17" s="771">
        <f>H17</f>
        <v>100</v>
      </c>
      <c r="V17" s="770" t="s">
        <v>21</v>
      </c>
      <c r="W17" s="771">
        <f>J17</f>
        <v>98</v>
      </c>
      <c r="X17" s="1808"/>
      <c r="Y17" s="3290"/>
      <c r="Z17" s="1809" t="str">
        <f>Q17</f>
        <v>交通便捷度</v>
      </c>
      <c r="AA17" s="1806">
        <f t="shared" si="3"/>
        <v>1</v>
      </c>
      <c r="AB17" s="1806">
        <f t="shared" si="4"/>
        <v>1</v>
      </c>
      <c r="AC17" s="1806">
        <f t="shared" si="5"/>
        <v>1.0204081632653061</v>
      </c>
    </row>
    <row r="18" spans="1:29" ht="15">
      <c r="A18" s="426"/>
      <c r="B18" s="454"/>
      <c r="C18" s="2595" t="s">
        <v>3274</v>
      </c>
      <c r="D18" s="448"/>
      <c r="E18" s="2596" t="s">
        <v>3274</v>
      </c>
      <c r="F18" s="448"/>
      <c r="G18" s="2597" t="s">
        <v>3274</v>
      </c>
      <c r="H18" s="446"/>
      <c r="I18" s="2597" t="s">
        <v>3273</v>
      </c>
      <c r="J18" s="446"/>
      <c r="K18" s="2593"/>
      <c r="L18" s="1138"/>
      <c r="M18" s="1129"/>
      <c r="N18" s="1129"/>
      <c r="O18" s="1129"/>
      <c r="P18" s="3318"/>
      <c r="Q18" s="1805"/>
      <c r="R18" s="770"/>
      <c r="S18" s="771"/>
      <c r="T18" s="770"/>
      <c r="U18" s="771"/>
      <c r="V18" s="770"/>
      <c r="W18" s="771"/>
      <c r="X18" s="1808"/>
      <c r="Y18" s="3290"/>
      <c r="Z18" s="1809"/>
      <c r="AA18" s="1806">
        <v>1</v>
      </c>
      <c r="AB18" s="1806">
        <v>1</v>
      </c>
      <c r="AC18" s="1806">
        <v>1</v>
      </c>
    </row>
    <row r="19" spans="1:29" ht="15">
      <c r="A19" s="426"/>
      <c r="B19" s="449" t="s">
        <v>2088</v>
      </c>
      <c r="C19" s="2594">
        <f>估价对象房地状况!C7</f>
        <v>0</v>
      </c>
      <c r="D19" s="453">
        <v>100</v>
      </c>
      <c r="E19" s="457"/>
      <c r="F19" s="453">
        <f>SUMIF(80:80,E20,81:81)-SUMIF(80:80,C20,81:81)+100</f>
        <v>102</v>
      </c>
      <c r="G19" s="455"/>
      <c r="H19" s="448">
        <f>SUMIF(80:80,G20,81:81)-SUMIF(80:80,C20,81:81)+100</f>
        <v>102</v>
      </c>
      <c r="I19" s="455"/>
      <c r="J19" s="448">
        <f>SUMIF(80:80,I20,81:81)-SUMIF(80:80,C20,81:81)+100</f>
        <v>100</v>
      </c>
      <c r="K19" s="443">
        <v>2</v>
      </c>
      <c r="L19" s="1138"/>
      <c r="M19" s="1129"/>
      <c r="N19" s="1129"/>
      <c r="O19" s="1129"/>
      <c r="P19" s="3318"/>
      <c r="Q19" s="1805" t="str">
        <f>B19</f>
        <v>公共配套设施</v>
      </c>
      <c r="R19" s="770" t="s">
        <v>21</v>
      </c>
      <c r="S19" s="771">
        <f>F19</f>
        <v>102</v>
      </c>
      <c r="T19" s="770" t="s">
        <v>21</v>
      </c>
      <c r="U19" s="771">
        <f>H19</f>
        <v>102</v>
      </c>
      <c r="V19" s="770" t="s">
        <v>21</v>
      </c>
      <c r="W19" s="771">
        <f>J19</f>
        <v>100</v>
      </c>
      <c r="X19" s="1808"/>
      <c r="Y19" s="3290"/>
      <c r="Z19" s="1809" t="str">
        <f>Q19</f>
        <v>公共配套设施</v>
      </c>
      <c r="AA19" s="1806">
        <f t="shared" si="3"/>
        <v>0.98039215686274506</v>
      </c>
      <c r="AB19" s="1806">
        <f t="shared" si="4"/>
        <v>0.98039215686274506</v>
      </c>
      <c r="AC19" s="1806">
        <f t="shared" si="5"/>
        <v>1</v>
      </c>
    </row>
    <row r="20" spans="1:29" ht="15">
      <c r="A20" s="426"/>
      <c r="B20" s="454"/>
      <c r="C20" s="445" t="s">
        <v>3274</v>
      </c>
      <c r="D20" s="446"/>
      <c r="E20" s="2591" t="s">
        <v>3055</v>
      </c>
      <c r="F20" s="446"/>
      <c r="G20" s="2592" t="s">
        <v>3055</v>
      </c>
      <c r="H20" s="446"/>
      <c r="I20" s="2592" t="s">
        <v>3274</v>
      </c>
      <c r="J20" s="446"/>
      <c r="K20" s="2593"/>
      <c r="L20" s="1138"/>
      <c r="M20" s="1129"/>
      <c r="N20" s="1129"/>
      <c r="O20" s="1129"/>
      <c r="P20" s="3318"/>
      <c r="Q20" s="1805"/>
      <c r="R20" s="770"/>
      <c r="S20" s="771"/>
      <c r="T20" s="770"/>
      <c r="U20" s="771"/>
      <c r="V20" s="770"/>
      <c r="W20" s="771"/>
      <c r="X20" s="1808"/>
      <c r="Y20" s="3290"/>
      <c r="Z20" s="1809"/>
      <c r="AA20" s="1806">
        <v>1</v>
      </c>
      <c r="AB20" s="1806">
        <v>1</v>
      </c>
      <c r="AC20" s="1806">
        <v>1</v>
      </c>
    </row>
    <row r="21" spans="1:29" ht="15">
      <c r="A21" s="426"/>
      <c r="B21" s="1380" t="s">
        <v>2090</v>
      </c>
      <c r="C21" s="2594">
        <f>估价对象房地状况!C8</f>
        <v>0</v>
      </c>
      <c r="D21" s="448">
        <v>100</v>
      </c>
      <c r="E21" s="457"/>
      <c r="F21" s="453">
        <f>SUMIF(82:82,E22,83:83)-SUMIF(82:82,C22,83:83)+100</f>
        <v>100</v>
      </c>
      <c r="G21" s="455"/>
      <c r="H21" s="448">
        <f>SUMIF(82:82,G22,83:83)-SUMIF(82:82,C22,83:83)+100</f>
        <v>100</v>
      </c>
      <c r="I21" s="455"/>
      <c r="J21" s="448">
        <f>SUMIF(82:82,I22,83:83)-SUMIF(82:82,C22,83:83)+100</f>
        <v>100</v>
      </c>
      <c r="K21" s="443">
        <v>2</v>
      </c>
      <c r="L21" s="1138"/>
      <c r="M21" s="1129"/>
      <c r="N21" s="1129"/>
      <c r="O21" s="1129"/>
      <c r="P21" s="3318"/>
      <c r="Q21" s="1805" t="str">
        <f>B21</f>
        <v>基础设施水平</v>
      </c>
      <c r="R21" s="770" t="s">
        <v>17</v>
      </c>
      <c r="S21" s="771">
        <f>F21</f>
        <v>100</v>
      </c>
      <c r="T21" s="770" t="s">
        <v>17</v>
      </c>
      <c r="U21" s="771">
        <f>H21</f>
        <v>100</v>
      </c>
      <c r="V21" s="770" t="s">
        <v>17</v>
      </c>
      <c r="W21" s="771">
        <f>J21</f>
        <v>100</v>
      </c>
      <c r="X21" s="1808"/>
      <c r="Y21" s="3290"/>
      <c r="Z21" s="1809" t="str">
        <f>Q21</f>
        <v>基础设施水平</v>
      </c>
      <c r="AA21" s="1806">
        <f t="shared" ref="AA21" si="8">D21/F21</f>
        <v>1</v>
      </c>
      <c r="AB21" s="1806">
        <f t="shared" ref="AB21" si="9">D21/H21</f>
        <v>1</v>
      </c>
      <c r="AC21" s="1806">
        <f t="shared" ref="AC21" si="10">D21/J21</f>
        <v>1</v>
      </c>
    </row>
    <row r="22" spans="1:29" ht="15">
      <c r="A22" s="426"/>
      <c r="B22" s="1380"/>
      <c r="C22" s="2595" t="s">
        <v>3052</v>
      </c>
      <c r="D22" s="446"/>
      <c r="E22" s="445" t="s">
        <v>3052</v>
      </c>
      <c r="F22" s="446"/>
      <c r="G22" s="2598" t="s">
        <v>3052</v>
      </c>
      <c r="H22" s="446"/>
      <c r="I22" s="445" t="s">
        <v>3052</v>
      </c>
      <c r="J22" s="446"/>
      <c r="K22" s="2599"/>
      <c r="L22" s="1138"/>
      <c r="M22" s="1129"/>
      <c r="N22" s="1129"/>
      <c r="O22" s="1129"/>
      <c r="P22" s="3318"/>
      <c r="Q22" s="1805"/>
      <c r="R22" s="770"/>
      <c r="S22" s="771"/>
      <c r="T22" s="770"/>
      <c r="U22" s="771"/>
      <c r="V22" s="770"/>
      <c r="W22" s="771"/>
      <c r="X22" s="1808"/>
      <c r="Y22" s="3290"/>
      <c r="Z22" s="1809"/>
      <c r="AA22" s="1806">
        <v>1</v>
      </c>
      <c r="AB22" s="1806">
        <v>1</v>
      </c>
      <c r="AC22" s="1806">
        <v>1</v>
      </c>
    </row>
    <row r="23" spans="1:29" ht="15">
      <c r="A23" s="426"/>
      <c r="B23" s="449" t="s">
        <v>2092</v>
      </c>
      <c r="C23" s="2594">
        <f>估价对象房地状况!C9</f>
        <v>0</v>
      </c>
      <c r="D23" s="448">
        <v>100</v>
      </c>
      <c r="E23" s="452"/>
      <c r="F23" s="448">
        <f>SUMIF(84:84,E24,85:85)-SUMIF(84:84,C24,85:85)+100</f>
        <v>100</v>
      </c>
      <c r="G23" s="450"/>
      <c r="H23" s="448">
        <f>SUMIF(84:84,G24,85:85)-SUMIF(84:84,C24,85:85)+100</f>
        <v>100</v>
      </c>
      <c r="I23" s="450"/>
      <c r="J23" s="448">
        <f>SUMIF(84:84,I24,85:85)-SUMIF(84:84,C24,85:85)+100</f>
        <v>100</v>
      </c>
      <c r="K23" s="443">
        <v>2</v>
      </c>
      <c r="L23" s="1138"/>
      <c r="M23" s="1129"/>
      <c r="N23" s="1129"/>
      <c r="O23" s="1129"/>
      <c r="P23" s="3318"/>
      <c r="Q23" s="1805" t="str">
        <f>B23</f>
        <v>自然及人文环境</v>
      </c>
      <c r="R23" s="770" t="s">
        <v>21</v>
      </c>
      <c r="S23" s="771">
        <f>F23</f>
        <v>100</v>
      </c>
      <c r="T23" s="770" t="s">
        <v>21</v>
      </c>
      <c r="U23" s="771">
        <f>H23</f>
        <v>100</v>
      </c>
      <c r="V23" s="770" t="s">
        <v>21</v>
      </c>
      <c r="W23" s="771">
        <f>J23</f>
        <v>100</v>
      </c>
      <c r="X23" s="1808"/>
      <c r="Y23" s="3290"/>
      <c r="Z23" s="1809" t="str">
        <f>Q23</f>
        <v>自然及人文环境</v>
      </c>
      <c r="AA23" s="1806">
        <f>D23/F23</f>
        <v>1</v>
      </c>
      <c r="AB23" s="1806">
        <f>D23/H23</f>
        <v>1</v>
      </c>
      <c r="AC23" s="1806">
        <f>D23/J23</f>
        <v>1</v>
      </c>
    </row>
    <row r="24" spans="1:29" ht="15">
      <c r="A24" s="426"/>
      <c r="B24" s="454"/>
      <c r="C24" s="445" t="s">
        <v>3055</v>
      </c>
      <c r="D24" s="446"/>
      <c r="E24" s="2591" t="s">
        <v>3055</v>
      </c>
      <c r="F24" s="446"/>
      <c r="G24" s="2592" t="s">
        <v>3055</v>
      </c>
      <c r="H24" s="446"/>
      <c r="I24" s="2592" t="s">
        <v>3055</v>
      </c>
      <c r="J24" s="446"/>
      <c r="K24" s="2593"/>
      <c r="L24" s="1138"/>
      <c r="M24" s="1129"/>
      <c r="N24" s="1129"/>
      <c r="O24" s="1129"/>
      <c r="P24" s="3318"/>
      <c r="Q24" s="1805"/>
      <c r="R24" s="770"/>
      <c r="S24" s="771"/>
      <c r="T24" s="770"/>
      <c r="U24" s="771"/>
      <c r="V24" s="770"/>
      <c r="W24" s="771"/>
      <c r="X24" s="1808"/>
      <c r="Y24" s="3290"/>
      <c r="Z24" s="1809"/>
      <c r="AA24" s="1806">
        <v>1</v>
      </c>
      <c r="AB24" s="1806">
        <v>1</v>
      </c>
      <c r="AC24" s="1806">
        <v>1</v>
      </c>
    </row>
    <row r="25" spans="1:29" ht="15">
      <c r="A25" s="426"/>
      <c r="B25" s="420" t="s">
        <v>2545</v>
      </c>
      <c r="C25" s="458"/>
      <c r="D25" s="433">
        <v>100</v>
      </c>
      <c r="E25" s="2600"/>
      <c r="F25" s="433">
        <f>SUMIF(86:86,E25,87:87)-SUMIF(86:86,C25,87:87)+100</f>
        <v>100</v>
      </c>
      <c r="G25" s="2601"/>
      <c r="H25" s="433">
        <f>SUMIF(86:86,G25,87:87)-SUMIF(86:86,C25,87:87)+100</f>
        <v>100</v>
      </c>
      <c r="I25" s="2601"/>
      <c r="J25" s="433">
        <f>SUMIF(86:86,I25,87:87)-SUMIF(86:86,C25,87:87)+100</f>
        <v>100</v>
      </c>
      <c r="K25" s="424">
        <v>0</v>
      </c>
      <c r="L25" s="1138"/>
      <c r="M25" s="1129"/>
      <c r="N25" s="1129"/>
      <c r="O25" s="1129"/>
      <c r="P25" s="3318"/>
      <c r="Q25" s="1805" t="str">
        <f t="shared" ref="Q25:Q46" si="11">B25</f>
        <v>楼层-1</v>
      </c>
      <c r="R25" s="770" t="s">
        <v>21</v>
      </c>
      <c r="S25" s="771">
        <f t="shared" ref="S25:S46" si="12">F25</f>
        <v>100</v>
      </c>
      <c r="T25" s="770" t="s">
        <v>21</v>
      </c>
      <c r="U25" s="771">
        <f t="shared" ref="U25:U46" si="13">H25</f>
        <v>100</v>
      </c>
      <c r="V25" s="770" t="s">
        <v>21</v>
      </c>
      <c r="W25" s="771">
        <f t="shared" ref="W25:W46" si="14">J25</f>
        <v>100</v>
      </c>
      <c r="X25" s="1808"/>
      <c r="Y25" s="3290"/>
      <c r="Z25" s="1809" t="str">
        <f>Q25</f>
        <v>楼层-1</v>
      </c>
      <c r="AA25" s="1806">
        <f t="shared" ref="AA25:AA46" si="15">D25/F25</f>
        <v>1</v>
      </c>
      <c r="AB25" s="1806">
        <f t="shared" ref="AB25:AB46" si="16">D25/H25</f>
        <v>1</v>
      </c>
      <c r="AC25" s="1806">
        <f t="shared" ref="AC25:AC46" si="17">D25/J25</f>
        <v>1</v>
      </c>
    </row>
    <row r="26" spans="1:29" ht="15">
      <c r="A26" s="426"/>
      <c r="B26" s="420" t="s">
        <v>2546</v>
      </c>
      <c r="C26" s="458"/>
      <c r="D26" s="433">
        <v>100</v>
      </c>
      <c r="E26" s="2600"/>
      <c r="F26" s="433">
        <f>SUMIF(88:88,E26,89:89)-SUMIF(88:88,C26,89:89)+100</f>
        <v>100</v>
      </c>
      <c r="G26" s="2601"/>
      <c r="H26" s="433">
        <f>SUMIF(88:88,G26,89:89)-SUMIF(88:88,C26,89:89)+100</f>
        <v>100</v>
      </c>
      <c r="I26" s="2601"/>
      <c r="J26" s="433">
        <f>SUMIF(88:88,I26,89:89)-SUMIF(88:88,C26,89:89)+100</f>
        <v>100</v>
      </c>
      <c r="K26" s="424">
        <v>0</v>
      </c>
      <c r="L26" s="1138"/>
      <c r="M26" s="1129"/>
      <c r="N26" s="1129"/>
      <c r="O26" s="1129"/>
      <c r="P26" s="3318"/>
      <c r="Q26" s="1805" t="str">
        <f t="shared" si="11"/>
        <v>朝向</v>
      </c>
      <c r="R26" s="770" t="s">
        <v>21</v>
      </c>
      <c r="S26" s="771">
        <f t="shared" si="12"/>
        <v>100</v>
      </c>
      <c r="T26" s="770" t="s">
        <v>21</v>
      </c>
      <c r="U26" s="771">
        <f t="shared" si="13"/>
        <v>100</v>
      </c>
      <c r="V26" s="770" t="s">
        <v>21</v>
      </c>
      <c r="W26" s="771">
        <f t="shared" si="14"/>
        <v>100</v>
      </c>
      <c r="X26" s="1808"/>
      <c r="Y26" s="3290"/>
      <c r="Z26" s="1809" t="str">
        <f>Q26</f>
        <v>朝向</v>
      </c>
      <c r="AA26" s="1806">
        <f t="shared" si="15"/>
        <v>1</v>
      </c>
      <c r="AB26" s="1806">
        <f t="shared" si="16"/>
        <v>1</v>
      </c>
      <c r="AC26" s="1806">
        <f t="shared" si="17"/>
        <v>1</v>
      </c>
    </row>
    <row r="27" spans="1:29" s="116"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88"/>
      <c r="L27" s="1130"/>
      <c r="M27" s="1131"/>
      <c r="N27" s="1131"/>
      <c r="O27" s="1131"/>
      <c r="P27" s="3318"/>
      <c r="Q27" s="1790">
        <f t="shared" si="11"/>
        <v>111</v>
      </c>
      <c r="R27" s="766" t="s">
        <v>21</v>
      </c>
      <c r="S27" s="767">
        <f t="shared" si="12"/>
        <v>100</v>
      </c>
      <c r="T27" s="766" t="s">
        <v>21</v>
      </c>
      <c r="U27" s="767">
        <f t="shared" si="13"/>
        <v>100</v>
      </c>
      <c r="V27" s="766" t="s">
        <v>21</v>
      </c>
      <c r="W27" s="767">
        <f t="shared" si="14"/>
        <v>100</v>
      </c>
      <c r="X27" s="768"/>
      <c r="Y27" s="3290"/>
      <c r="Z27" s="55">
        <f>Q27</f>
        <v>111</v>
      </c>
      <c r="AA27" s="1806">
        <f t="shared" si="15"/>
        <v>1</v>
      </c>
      <c r="AB27" s="1806">
        <f t="shared" si="16"/>
        <v>1</v>
      </c>
      <c r="AC27" s="1806">
        <f t="shared" si="17"/>
        <v>1</v>
      </c>
    </row>
    <row r="28" spans="1:29" ht="15">
      <c r="A28" s="426"/>
      <c r="B28" s="1382">
        <v>111</v>
      </c>
      <c r="C28" s="432"/>
      <c r="D28" s="433">
        <v>100</v>
      </c>
      <c r="E28" s="432"/>
      <c r="F28" s="433">
        <f>SUMIF(92:92,E28,93:93)-SUMIF(92:92,C28,93:93)+100</f>
        <v>100</v>
      </c>
      <c r="G28" s="2602"/>
      <c r="H28" s="433">
        <f>SUMIF(92:92,G28,93:93)-SUMIF(92:92,C28,93:93)+100</f>
        <v>100</v>
      </c>
      <c r="I28" s="432"/>
      <c r="J28" s="433">
        <f>SUMIF(92:92,I28,93:93)-SUMIF(92:92,C28,93:93)+100</f>
        <v>100</v>
      </c>
      <c r="K28" s="2588"/>
      <c r="L28" s="1138"/>
      <c r="M28" s="1129"/>
      <c r="N28" s="1129"/>
      <c r="O28" s="1129"/>
      <c r="P28" s="3318"/>
      <c r="Q28" s="1805">
        <f t="shared" si="11"/>
        <v>111</v>
      </c>
      <c r="R28" s="770" t="s">
        <v>21</v>
      </c>
      <c r="S28" s="771">
        <f t="shared" si="12"/>
        <v>100</v>
      </c>
      <c r="T28" s="770" t="s">
        <v>21</v>
      </c>
      <c r="U28" s="771">
        <f t="shared" si="13"/>
        <v>100</v>
      </c>
      <c r="V28" s="770" t="s">
        <v>21</v>
      </c>
      <c r="W28" s="771">
        <f t="shared" si="14"/>
        <v>100</v>
      </c>
      <c r="X28" s="1808"/>
      <c r="Y28" s="3290"/>
      <c r="Z28" s="1809">
        <f t="shared" ref="Z28:Z46" si="18">Q28</f>
        <v>111</v>
      </c>
      <c r="AA28" s="1806">
        <f t="shared" si="15"/>
        <v>1</v>
      </c>
      <c r="AB28" s="1806">
        <f t="shared" si="16"/>
        <v>1</v>
      </c>
      <c r="AC28" s="1806">
        <f t="shared" si="17"/>
        <v>1</v>
      </c>
    </row>
    <row r="29" spans="1:29" ht="15">
      <c r="A29" s="426"/>
      <c r="B29" s="1382">
        <v>111</v>
      </c>
      <c r="C29" s="432"/>
      <c r="D29" s="433">
        <v>100</v>
      </c>
      <c r="E29" s="432"/>
      <c r="F29" s="433">
        <f>SUMIF(94:94,E29,95:95)-SUMIF(94:94,C29,95:95)+100</f>
        <v>100</v>
      </c>
      <c r="G29" s="2602"/>
      <c r="H29" s="433">
        <f>SUMIF(94:94,G29,95:95)-SUMIF(94:94,C29,95:95)+100</f>
        <v>100</v>
      </c>
      <c r="I29" s="432"/>
      <c r="J29" s="433">
        <f>SUMIF(94:94,I29,95:95)-SUMIF(94:94,C29,95:95)+100</f>
        <v>100</v>
      </c>
      <c r="K29" s="2588"/>
      <c r="L29" s="1138"/>
      <c r="M29" s="1129"/>
      <c r="N29" s="1129"/>
      <c r="O29" s="1129"/>
      <c r="P29" s="3318"/>
      <c r="Q29" s="1805">
        <f t="shared" si="11"/>
        <v>111</v>
      </c>
      <c r="R29" s="770" t="s">
        <v>21</v>
      </c>
      <c r="S29" s="771">
        <f t="shared" si="12"/>
        <v>100</v>
      </c>
      <c r="T29" s="770" t="s">
        <v>21</v>
      </c>
      <c r="U29" s="771">
        <f t="shared" si="13"/>
        <v>100</v>
      </c>
      <c r="V29" s="770" t="s">
        <v>21</v>
      </c>
      <c r="W29" s="771">
        <f t="shared" si="14"/>
        <v>100</v>
      </c>
      <c r="X29" s="1808"/>
      <c r="Y29" s="3290"/>
      <c r="Z29" s="1809">
        <f t="shared" si="18"/>
        <v>111</v>
      </c>
      <c r="AA29" s="1806">
        <f t="shared" si="15"/>
        <v>1</v>
      </c>
      <c r="AB29" s="1806">
        <f t="shared" si="16"/>
        <v>1</v>
      </c>
      <c r="AC29" s="1806">
        <f t="shared" si="17"/>
        <v>1</v>
      </c>
    </row>
    <row r="30" spans="1:29" ht="15">
      <c r="A30" s="426"/>
      <c r="B30" s="1382">
        <v>111</v>
      </c>
      <c r="C30" s="432"/>
      <c r="D30" s="433">
        <v>100</v>
      </c>
      <c r="E30" s="432"/>
      <c r="F30" s="433">
        <f>SUMIF(96:96,E30,97:97)-SUMIF(96:96,C30,97:97)+100</f>
        <v>100</v>
      </c>
      <c r="G30" s="2602"/>
      <c r="H30" s="433">
        <f>SUMIF(96:96,G30,97:97)-SUMIF(96:96,C30,97:97)+100</f>
        <v>100</v>
      </c>
      <c r="I30" s="432"/>
      <c r="J30" s="433">
        <f>SUMIF(96:96,I30,97:97)-SUMIF(96:96,C30,97:97)+100</f>
        <v>100</v>
      </c>
      <c r="K30" s="2588"/>
      <c r="L30" s="1138"/>
      <c r="M30" s="1129"/>
      <c r="N30" s="1129"/>
      <c r="O30" s="1129"/>
      <c r="P30" s="3318"/>
      <c r="Q30" s="1805">
        <f t="shared" si="11"/>
        <v>111</v>
      </c>
      <c r="R30" s="770" t="s">
        <v>21</v>
      </c>
      <c r="S30" s="771">
        <f t="shared" si="12"/>
        <v>100</v>
      </c>
      <c r="T30" s="770" t="s">
        <v>21</v>
      </c>
      <c r="U30" s="771">
        <f t="shared" si="13"/>
        <v>100</v>
      </c>
      <c r="V30" s="770" t="s">
        <v>21</v>
      </c>
      <c r="W30" s="771">
        <f t="shared" si="14"/>
        <v>100</v>
      </c>
      <c r="X30" s="1808"/>
      <c r="Y30" s="3290"/>
      <c r="Z30" s="1809">
        <f t="shared" si="18"/>
        <v>111</v>
      </c>
      <c r="AA30" s="1806">
        <f t="shared" si="15"/>
        <v>1</v>
      </c>
      <c r="AB30" s="1806">
        <f t="shared" si="16"/>
        <v>1</v>
      </c>
      <c r="AC30" s="1806">
        <f t="shared" si="17"/>
        <v>1</v>
      </c>
    </row>
    <row r="31" spans="1:29" ht="15.75" thickBot="1">
      <c r="A31" s="434"/>
      <c r="B31" s="1382">
        <v>111</v>
      </c>
      <c r="C31" s="435"/>
      <c r="D31" s="436">
        <v>100</v>
      </c>
      <c r="E31" s="435"/>
      <c r="F31" s="436">
        <f>SUMIF(98:98,E31,99:99)-SUMIF(98:98,C31,99:99)+100</f>
        <v>100</v>
      </c>
      <c r="G31" s="2603"/>
      <c r="H31" s="436">
        <f>SUMIF(98:98,G31,99:99)-SUMIF(98:98,C31,99:99)+100</f>
        <v>100</v>
      </c>
      <c r="I31" s="435"/>
      <c r="J31" s="436">
        <f>SUMIF(98:98,I31,99:99)-SUMIF(98:98,C31,99:99)+100</f>
        <v>100</v>
      </c>
      <c r="K31" s="2588"/>
      <c r="L31" s="1138"/>
      <c r="M31" s="1129"/>
      <c r="N31" s="1129"/>
      <c r="O31" s="1129"/>
      <c r="P31" s="3318"/>
      <c r="Q31" s="1805">
        <f t="shared" si="11"/>
        <v>111</v>
      </c>
      <c r="R31" s="770" t="s">
        <v>21</v>
      </c>
      <c r="S31" s="771">
        <f t="shared" si="12"/>
        <v>100</v>
      </c>
      <c r="T31" s="770" t="s">
        <v>21</v>
      </c>
      <c r="U31" s="771">
        <f t="shared" si="13"/>
        <v>100</v>
      </c>
      <c r="V31" s="770" t="s">
        <v>21</v>
      </c>
      <c r="W31" s="771">
        <f t="shared" si="14"/>
        <v>100</v>
      </c>
      <c r="X31" s="1808"/>
      <c r="Y31" s="3290"/>
      <c r="Z31" s="1809">
        <f t="shared" si="18"/>
        <v>111</v>
      </c>
      <c r="AA31" s="1806">
        <f t="shared" si="15"/>
        <v>1</v>
      </c>
      <c r="AB31" s="1806">
        <f t="shared" si="16"/>
        <v>1</v>
      </c>
      <c r="AC31" s="1806">
        <f t="shared" si="17"/>
        <v>1</v>
      </c>
    </row>
    <row r="32" spans="1:29" ht="15">
      <c r="A32" s="438" t="s">
        <v>2547</v>
      </c>
      <c r="B32" s="71" t="s">
        <v>2548</v>
      </c>
      <c r="C32" s="2604" t="s">
        <v>3164</v>
      </c>
      <c r="D32" s="465">
        <v>100</v>
      </c>
      <c r="E32" s="2605" t="s">
        <v>3164</v>
      </c>
      <c r="F32" s="459">
        <f>SUMIF(100:100,E32,101:101)-SUMIF(100:100,C32,101:101)+100</f>
        <v>100</v>
      </c>
      <c r="G32" s="2604" t="s">
        <v>3164</v>
      </c>
      <c r="H32" s="465">
        <f>SUMIF(100:100,G32,101:101)-SUMIF(100:100,C32,101:101)+100</f>
        <v>100</v>
      </c>
      <c r="I32" s="2605" t="s">
        <v>3164</v>
      </c>
      <c r="J32" s="433">
        <f>SUMIF(100:100,I32,101:101)-SUMIF(100:100,C32,101:101)+100</f>
        <v>100</v>
      </c>
      <c r="K32" s="424">
        <v>10</v>
      </c>
      <c r="L32" s="1138"/>
      <c r="M32" s="1129"/>
      <c r="N32" s="1129"/>
      <c r="O32" s="1129"/>
      <c r="P32" s="3319" t="s">
        <v>2549</v>
      </c>
      <c r="Q32" s="1805" t="str">
        <f t="shared" si="11"/>
        <v>建筑类型</v>
      </c>
      <c r="R32" s="770" t="s">
        <v>21</v>
      </c>
      <c r="S32" s="771">
        <f t="shared" si="12"/>
        <v>100</v>
      </c>
      <c r="T32" s="770" t="s">
        <v>21</v>
      </c>
      <c r="U32" s="771">
        <f t="shared" si="13"/>
        <v>100</v>
      </c>
      <c r="V32" s="770" t="s">
        <v>21</v>
      </c>
      <c r="W32" s="771">
        <f t="shared" si="14"/>
        <v>100</v>
      </c>
      <c r="X32" s="1808"/>
      <c r="Y32" s="3292" t="s">
        <v>2549</v>
      </c>
      <c r="Z32" s="1809" t="str">
        <f t="shared" si="18"/>
        <v>建筑类型</v>
      </c>
      <c r="AA32" s="1806">
        <f t="shared" si="15"/>
        <v>1</v>
      </c>
      <c r="AB32" s="1806">
        <f t="shared" si="16"/>
        <v>1</v>
      </c>
      <c r="AC32" s="1806">
        <f t="shared" si="17"/>
        <v>1</v>
      </c>
    </row>
    <row r="33" spans="1:29" s="469" customFormat="1" ht="15">
      <c r="A33" s="466"/>
      <c r="B33" s="420" t="s">
        <v>2550</v>
      </c>
      <c r="C33" s="467"/>
      <c r="D33" s="134">
        <v>100</v>
      </c>
      <c r="E33" s="428"/>
      <c r="F33" s="423">
        <f>LOOKUP(E33,103:103,104:104)-LOOKUP(C33,103:103,104:104)+100</f>
        <v>100</v>
      </c>
      <c r="G33" s="427"/>
      <c r="H33" s="134">
        <f>LOOKUP(G33,103:103,104:104)-LOOKUP(C33,103:103,104:104)+100</f>
        <v>100</v>
      </c>
      <c r="I33" s="428"/>
      <c r="J33" s="134">
        <f>LOOKUP(I33,103:103,104:104)-LOOKUP(C33,103:103,104:104)+100</f>
        <v>100</v>
      </c>
      <c r="K33" s="2588"/>
      <c r="L33" s="1136"/>
      <c r="M33" s="1139"/>
      <c r="N33" s="1139"/>
      <c r="O33" s="1139"/>
      <c r="P33" s="3320"/>
      <c r="Q33" s="772" t="str">
        <f t="shared" si="11"/>
        <v>项目建筑规模</v>
      </c>
      <c r="R33" s="773" t="s">
        <v>21</v>
      </c>
      <c r="S33" s="774">
        <f t="shared" si="12"/>
        <v>100</v>
      </c>
      <c r="T33" s="773" t="s">
        <v>21</v>
      </c>
      <c r="U33" s="774">
        <f t="shared" si="13"/>
        <v>100</v>
      </c>
      <c r="V33" s="773" t="s">
        <v>21</v>
      </c>
      <c r="W33" s="774">
        <f t="shared" si="14"/>
        <v>100</v>
      </c>
      <c r="X33" s="775"/>
      <c r="Y33" s="3292"/>
      <c r="Z33" s="776" t="str">
        <f t="shared" si="18"/>
        <v>项目建筑规模</v>
      </c>
      <c r="AA33" s="1806">
        <f t="shared" si="15"/>
        <v>1</v>
      </c>
      <c r="AB33" s="1806">
        <f t="shared" si="16"/>
        <v>1</v>
      </c>
      <c r="AC33" s="1806">
        <f t="shared" si="17"/>
        <v>1</v>
      </c>
    </row>
    <row r="34" spans="1:29" ht="15">
      <c r="A34" s="470"/>
      <c r="B34" s="420" t="s">
        <v>2551</v>
      </c>
      <c r="C34" s="2606" t="s">
        <v>3043</v>
      </c>
      <c r="D34" s="433">
        <v>100</v>
      </c>
      <c r="E34" s="2607" t="s">
        <v>3043</v>
      </c>
      <c r="F34" s="459">
        <f>SUMIF(105:105,E34,106:106)-SUMIF(105:105,C34,106:106)+100</f>
        <v>100</v>
      </c>
      <c r="G34" s="2606" t="s">
        <v>3043</v>
      </c>
      <c r="H34" s="433">
        <f>SUMIF(105:105,G34,106:106)-SUMIF(105:105,C34,106:106)+100</f>
        <v>100</v>
      </c>
      <c r="I34" s="2607" t="s">
        <v>3043</v>
      </c>
      <c r="J34" s="433">
        <f>SUMIF(105:105,I34,106:106)-SUMIF(105:105,C34,106:106)+100</f>
        <v>100</v>
      </c>
      <c r="K34" s="424">
        <v>2</v>
      </c>
      <c r="L34" s="1138"/>
      <c r="M34" s="1129"/>
      <c r="N34" s="1129"/>
      <c r="O34" s="1129"/>
      <c r="P34" s="3320"/>
      <c r="Q34" s="1805" t="str">
        <f t="shared" si="11"/>
        <v>建筑结构</v>
      </c>
      <c r="R34" s="770" t="s">
        <v>21</v>
      </c>
      <c r="S34" s="771">
        <f t="shared" si="12"/>
        <v>100</v>
      </c>
      <c r="T34" s="770" t="s">
        <v>21</v>
      </c>
      <c r="U34" s="771">
        <f t="shared" si="13"/>
        <v>100</v>
      </c>
      <c r="V34" s="770" t="s">
        <v>21</v>
      </c>
      <c r="W34" s="771">
        <f t="shared" si="14"/>
        <v>100</v>
      </c>
      <c r="X34" s="1808"/>
      <c r="Y34" s="3292"/>
      <c r="Z34" s="1809" t="str">
        <f t="shared" si="18"/>
        <v>建筑结构</v>
      </c>
      <c r="AA34" s="1806">
        <f t="shared" si="15"/>
        <v>1</v>
      </c>
      <c r="AB34" s="1806">
        <f t="shared" si="16"/>
        <v>1</v>
      </c>
      <c r="AC34" s="1806">
        <f t="shared" si="17"/>
        <v>1</v>
      </c>
    </row>
    <row r="35" spans="1:29" ht="15">
      <c r="A35" s="470"/>
      <c r="B35" s="420" t="s">
        <v>2552</v>
      </c>
      <c r="C35" s="2600" t="s">
        <v>3254</v>
      </c>
      <c r="D35" s="433">
        <v>100</v>
      </c>
      <c r="E35" s="2601" t="s">
        <v>3254</v>
      </c>
      <c r="F35" s="459">
        <f>SUMIF(107:107,E35,108:108)-SUMIF(107:107,C35,108:108)+100</f>
        <v>100</v>
      </c>
      <c r="G35" s="2600" t="s">
        <v>3254</v>
      </c>
      <c r="H35" s="433">
        <f>SUMIF(107:107,G35,108:108)-SUMIF(107:107,C35,108:108)+100</f>
        <v>100</v>
      </c>
      <c r="I35" s="2601" t="s">
        <v>3254</v>
      </c>
      <c r="J35" s="433">
        <f>SUMIF(107:107,I35,108:108)-SUMIF(107:107,C35,108:108)+100</f>
        <v>100</v>
      </c>
      <c r="K35" s="424">
        <v>2</v>
      </c>
      <c r="L35" s="1138"/>
      <c r="M35" s="1129"/>
      <c r="N35" s="1129"/>
      <c r="O35" s="1129"/>
      <c r="P35" s="3320"/>
      <c r="Q35" s="1805" t="str">
        <f t="shared" si="11"/>
        <v>建筑品质</v>
      </c>
      <c r="R35" s="770" t="s">
        <v>21</v>
      </c>
      <c r="S35" s="771">
        <f t="shared" si="12"/>
        <v>100</v>
      </c>
      <c r="T35" s="770" t="s">
        <v>21</v>
      </c>
      <c r="U35" s="771">
        <f t="shared" si="13"/>
        <v>100</v>
      </c>
      <c r="V35" s="770" t="s">
        <v>21</v>
      </c>
      <c r="W35" s="771">
        <f t="shared" si="14"/>
        <v>100</v>
      </c>
      <c r="X35" s="1808"/>
      <c r="Y35" s="3292"/>
      <c r="Z35" s="1809" t="str">
        <f t="shared" si="18"/>
        <v>建筑品质</v>
      </c>
      <c r="AA35" s="1806">
        <f t="shared" si="15"/>
        <v>1</v>
      </c>
      <c r="AB35" s="1806">
        <f t="shared" si="16"/>
        <v>1</v>
      </c>
      <c r="AC35" s="1806">
        <f t="shared" si="17"/>
        <v>1</v>
      </c>
    </row>
    <row r="36" spans="1:29" ht="15">
      <c r="A36" s="470"/>
      <c r="B36" s="420" t="s">
        <v>2553</v>
      </c>
      <c r="C36" s="2600" t="s">
        <v>3066</v>
      </c>
      <c r="D36" s="433">
        <v>100</v>
      </c>
      <c r="E36" s="2601" t="s">
        <v>3066</v>
      </c>
      <c r="F36" s="459">
        <f>SUMIF(109:109,E36,110:110)-SUMIF(109:109,C36,110:110)+100</f>
        <v>100</v>
      </c>
      <c r="G36" s="2600" t="s">
        <v>3066</v>
      </c>
      <c r="H36" s="433">
        <f>SUMIF(109:109,G36,110:110)-SUMIF(109:109,C36,110:110)+100</f>
        <v>100</v>
      </c>
      <c r="I36" s="2601" t="s">
        <v>3066</v>
      </c>
      <c r="J36" s="433">
        <f>SUMIF(109:109,I36,110:110)-SUMIF(109:109,C36,110:110)+100</f>
        <v>100</v>
      </c>
      <c r="K36" s="424">
        <v>2</v>
      </c>
      <c r="L36" s="1138"/>
      <c r="M36" s="1129"/>
      <c r="N36" s="1129"/>
      <c r="O36" s="1129"/>
      <c r="P36" s="3320"/>
      <c r="Q36" s="1805" t="str">
        <f t="shared" si="11"/>
        <v>公共部分装修</v>
      </c>
      <c r="R36" s="770" t="s">
        <v>21</v>
      </c>
      <c r="S36" s="771">
        <f t="shared" si="12"/>
        <v>100</v>
      </c>
      <c r="T36" s="770" t="s">
        <v>21</v>
      </c>
      <c r="U36" s="771">
        <f t="shared" si="13"/>
        <v>100</v>
      </c>
      <c r="V36" s="770" t="s">
        <v>21</v>
      </c>
      <c r="W36" s="771">
        <f t="shared" si="14"/>
        <v>100</v>
      </c>
      <c r="X36" s="1808"/>
      <c r="Y36" s="3292"/>
      <c r="Z36" s="1809" t="str">
        <f t="shared" si="18"/>
        <v>公共部分装修</v>
      </c>
      <c r="AA36" s="1806">
        <f t="shared" si="15"/>
        <v>1</v>
      </c>
      <c r="AB36" s="1806">
        <f t="shared" si="16"/>
        <v>1</v>
      </c>
      <c r="AC36" s="1806">
        <f t="shared" si="17"/>
        <v>1</v>
      </c>
    </row>
    <row r="37" spans="1:29" s="116" customFormat="1" ht="15">
      <c r="A37" s="471"/>
      <c r="B37" s="420" t="s">
        <v>2554</v>
      </c>
      <c r="C37" s="472">
        <v>1</v>
      </c>
      <c r="D37" s="134">
        <v>100</v>
      </c>
      <c r="E37" s="472">
        <v>0.8</v>
      </c>
      <c r="F37" s="423">
        <f>LOOKUP(E37,112:112,113:113)-LOOKUP(C37,112:112,113:113)+100</f>
        <v>98</v>
      </c>
      <c r="G37" s="474">
        <v>0.8</v>
      </c>
      <c r="H37" s="134">
        <f>LOOKUP(G37,112:112,113:113)-LOOKUP(C37,112:112,113:113)+100</f>
        <v>98</v>
      </c>
      <c r="I37" s="473">
        <v>0.8</v>
      </c>
      <c r="J37" s="134">
        <f>LOOKUP(I37,112:112,113:113)-LOOKUP(C37,112:112,113:113)+100</f>
        <v>98</v>
      </c>
      <c r="K37" s="424">
        <v>2</v>
      </c>
      <c r="L37" s="1130"/>
      <c r="M37" s="1131"/>
      <c r="N37" s="1131"/>
      <c r="O37" s="1131"/>
      <c r="P37" s="3320"/>
      <c r="Q37" s="1790" t="str">
        <f t="shared" si="11"/>
        <v>成新度</v>
      </c>
      <c r="R37" s="766" t="s">
        <v>21</v>
      </c>
      <c r="S37" s="767">
        <f t="shared" si="12"/>
        <v>98</v>
      </c>
      <c r="T37" s="766" t="s">
        <v>21</v>
      </c>
      <c r="U37" s="767">
        <f t="shared" si="13"/>
        <v>98</v>
      </c>
      <c r="V37" s="766" t="s">
        <v>21</v>
      </c>
      <c r="W37" s="767">
        <f t="shared" si="14"/>
        <v>98</v>
      </c>
      <c r="X37" s="768"/>
      <c r="Y37" s="3292"/>
      <c r="Z37" s="55" t="str">
        <f t="shared" si="18"/>
        <v>成新度</v>
      </c>
      <c r="AA37" s="769">
        <f t="shared" si="15"/>
        <v>1.0204081632653061</v>
      </c>
      <c r="AB37" s="769">
        <f t="shared" si="16"/>
        <v>1.0204081632653061</v>
      </c>
      <c r="AC37" s="769">
        <f t="shared" si="17"/>
        <v>1.0204081632653061</v>
      </c>
    </row>
    <row r="38" spans="1:29" ht="15">
      <c r="A38" s="470"/>
      <c r="B38" s="420" t="s">
        <v>2555</v>
      </c>
      <c r="C38" s="2600" t="s">
        <v>3069</v>
      </c>
      <c r="D38" s="433">
        <v>100</v>
      </c>
      <c r="E38" s="2601" t="s">
        <v>3069</v>
      </c>
      <c r="F38" s="459">
        <f>SUMIF(114:114,E38,115:115)-SUMIF(114:114,C38,115:115)+100</f>
        <v>100</v>
      </c>
      <c r="G38" s="2600" t="s">
        <v>3069</v>
      </c>
      <c r="H38" s="433">
        <f>SUMIF(114:114,G38,115:115)-SUMIF(114:114,C38,115:115)+100</f>
        <v>100</v>
      </c>
      <c r="I38" s="2601" t="s">
        <v>3069</v>
      </c>
      <c r="J38" s="433">
        <f>SUMIF(114:114,I38,115:115)-SUMIF(114:114,C38,115:115)+100</f>
        <v>100</v>
      </c>
      <c r="K38" s="424">
        <v>2</v>
      </c>
      <c r="L38" s="1138"/>
      <c r="M38" s="1129"/>
      <c r="N38" s="1129"/>
      <c r="O38" s="1129"/>
      <c r="P38" s="3320" t="s">
        <v>2549</v>
      </c>
      <c r="Q38" s="1805" t="str">
        <f t="shared" si="11"/>
        <v>物业管理</v>
      </c>
      <c r="R38" s="770" t="s">
        <v>21</v>
      </c>
      <c r="S38" s="771">
        <f t="shared" si="12"/>
        <v>100</v>
      </c>
      <c r="T38" s="770" t="s">
        <v>21</v>
      </c>
      <c r="U38" s="771">
        <f t="shared" si="13"/>
        <v>100</v>
      </c>
      <c r="V38" s="770" t="s">
        <v>21</v>
      </c>
      <c r="W38" s="771">
        <f t="shared" si="14"/>
        <v>100</v>
      </c>
      <c r="X38" s="1808"/>
      <c r="Y38" s="3292" t="s">
        <v>2549</v>
      </c>
      <c r="Z38" s="1809" t="str">
        <f t="shared" si="18"/>
        <v>物业管理</v>
      </c>
      <c r="AA38" s="1806">
        <f t="shared" si="15"/>
        <v>1</v>
      </c>
      <c r="AB38" s="1806">
        <f t="shared" si="16"/>
        <v>1</v>
      </c>
      <c r="AC38" s="1806">
        <f t="shared" si="17"/>
        <v>1</v>
      </c>
    </row>
    <row r="39" spans="1:29" ht="15">
      <c r="A39" s="470"/>
      <c r="B39" s="420" t="s">
        <v>2556</v>
      </c>
      <c r="C39" s="2600" t="s">
        <v>3052</v>
      </c>
      <c r="D39" s="433">
        <v>100</v>
      </c>
      <c r="E39" s="2601" t="s">
        <v>3052</v>
      </c>
      <c r="F39" s="459">
        <f>SUMIF(116:116,E39,117:117)-SUMIF(116:116,C39,117:117)+100</f>
        <v>100</v>
      </c>
      <c r="G39" s="2600" t="s">
        <v>3052</v>
      </c>
      <c r="H39" s="433">
        <f>SUMIF(116:116,G39,117:117)-SUMIF(116:116,C39,117:117)+100</f>
        <v>100</v>
      </c>
      <c r="I39" s="2601" t="s">
        <v>3052</v>
      </c>
      <c r="J39" s="433">
        <f>SUMIF(116:116,I39,117:117)-SUMIF(116:116,C39,117:117)+100</f>
        <v>100</v>
      </c>
      <c r="K39" s="424">
        <v>2</v>
      </c>
      <c r="L39" s="1138"/>
      <c r="M39" s="1129"/>
      <c r="N39" s="1129"/>
      <c r="O39" s="1129"/>
      <c r="P39" s="3320"/>
      <c r="Q39" s="1805" t="str">
        <f t="shared" si="11"/>
        <v>市政基础设施</v>
      </c>
      <c r="R39" s="770" t="s">
        <v>21</v>
      </c>
      <c r="S39" s="771">
        <f t="shared" si="12"/>
        <v>100</v>
      </c>
      <c r="T39" s="770" t="s">
        <v>21</v>
      </c>
      <c r="U39" s="771">
        <f t="shared" si="13"/>
        <v>100</v>
      </c>
      <c r="V39" s="770" t="s">
        <v>21</v>
      </c>
      <c r="W39" s="771">
        <f t="shared" si="14"/>
        <v>100</v>
      </c>
      <c r="X39" s="1808"/>
      <c r="Y39" s="3292"/>
      <c r="Z39" s="1809" t="str">
        <f t="shared" si="18"/>
        <v>市政基础设施</v>
      </c>
      <c r="AA39" s="1806">
        <f t="shared" si="15"/>
        <v>1</v>
      </c>
      <c r="AB39" s="1806">
        <f t="shared" si="16"/>
        <v>1</v>
      </c>
      <c r="AC39" s="1806">
        <f t="shared" si="17"/>
        <v>1</v>
      </c>
    </row>
    <row r="40" spans="1:29" ht="15">
      <c r="A40" s="470"/>
      <c r="B40" s="420" t="s">
        <v>2557</v>
      </c>
      <c r="C40" s="2600"/>
      <c r="D40" s="433">
        <v>100</v>
      </c>
      <c r="E40" s="2601"/>
      <c r="F40" s="459">
        <f>SUMIF(118:118,E40,119:119)-SUMIF(118:118,C40,119:119)+100</f>
        <v>100</v>
      </c>
      <c r="G40" s="2600"/>
      <c r="H40" s="433">
        <f>SUMIF(118:118,G40,119:119)-SUMIF(118:118,C40,119:119)+100</f>
        <v>100</v>
      </c>
      <c r="I40" s="2601"/>
      <c r="J40" s="433">
        <f>SUMIF(118:118,I40,119:119)-SUMIF(118:118,C40,119:119)+100</f>
        <v>100</v>
      </c>
      <c r="K40" s="424">
        <v>0</v>
      </c>
      <c r="L40" s="1138"/>
      <c r="M40" s="1129"/>
      <c r="N40" s="1129"/>
      <c r="O40" s="1129"/>
      <c r="P40" s="3320"/>
      <c r="Q40" s="1805" t="str">
        <f t="shared" si="11"/>
        <v>房型</v>
      </c>
      <c r="R40" s="770" t="s">
        <v>21</v>
      </c>
      <c r="S40" s="771">
        <f t="shared" si="12"/>
        <v>100</v>
      </c>
      <c r="T40" s="770" t="s">
        <v>21</v>
      </c>
      <c r="U40" s="771">
        <f t="shared" si="13"/>
        <v>100</v>
      </c>
      <c r="V40" s="770" t="s">
        <v>21</v>
      </c>
      <c r="W40" s="771">
        <f t="shared" si="14"/>
        <v>100</v>
      </c>
      <c r="X40" s="1808"/>
      <c r="Y40" s="3292"/>
      <c r="Z40" s="1809" t="str">
        <f t="shared" si="18"/>
        <v>房型</v>
      </c>
      <c r="AA40" s="1806">
        <f t="shared" si="15"/>
        <v>1</v>
      </c>
      <c r="AB40" s="1806">
        <f t="shared" si="16"/>
        <v>1</v>
      </c>
      <c r="AC40" s="1806">
        <f t="shared" si="17"/>
        <v>1</v>
      </c>
    </row>
    <row r="41" spans="1:29" s="469" customFormat="1" ht="28.5">
      <c r="A41" s="466"/>
      <c r="B41" s="420" t="s">
        <v>2558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8"/>
      <c r="L41" s="1136"/>
      <c r="M41" s="1139"/>
      <c r="N41" s="1139"/>
      <c r="O41" s="1139"/>
      <c r="P41" s="3320"/>
      <c r="Q41" s="772" t="str">
        <f t="shared" si="11"/>
        <v>单套/主力户型建筑面积</v>
      </c>
      <c r="R41" s="773" t="s">
        <v>21</v>
      </c>
      <c r="S41" s="774">
        <f t="shared" si="12"/>
        <v>100</v>
      </c>
      <c r="T41" s="773" t="s">
        <v>21</v>
      </c>
      <c r="U41" s="774">
        <f t="shared" si="13"/>
        <v>100</v>
      </c>
      <c r="V41" s="773" t="s">
        <v>21</v>
      </c>
      <c r="W41" s="774">
        <f t="shared" si="14"/>
        <v>100</v>
      </c>
      <c r="X41" s="775"/>
      <c r="Y41" s="3292"/>
      <c r="Z41" s="776" t="str">
        <f t="shared" si="18"/>
        <v>单套/主力户型建筑面积</v>
      </c>
      <c r="AA41" s="1806">
        <f t="shared" si="15"/>
        <v>1</v>
      </c>
      <c r="AB41" s="1806">
        <f t="shared" si="16"/>
        <v>1</v>
      </c>
      <c r="AC41" s="1806">
        <f t="shared" si="17"/>
        <v>1</v>
      </c>
    </row>
    <row r="42" spans="1:29" ht="15">
      <c r="A42" s="470"/>
      <c r="B42" s="420" t="s">
        <v>2559</v>
      </c>
      <c r="C42" s="2600" t="s">
        <v>3115</v>
      </c>
      <c r="D42" s="433">
        <v>100</v>
      </c>
      <c r="E42" s="2601" t="s">
        <v>3115</v>
      </c>
      <c r="F42" s="459">
        <f>SUMIF(122:122,E42,123:123)-SUMIF(122:122,C42,123:123)+100</f>
        <v>100</v>
      </c>
      <c r="G42" s="2600" t="s">
        <v>3115</v>
      </c>
      <c r="H42" s="433">
        <f>SUMIF(122:122,G42,123:123)-SUMIF(122:122,C42,123:123)+100</f>
        <v>100</v>
      </c>
      <c r="I42" s="2601" t="s">
        <v>3115</v>
      </c>
      <c r="J42" s="433">
        <f>SUMIF(122:122,I42,123:123)-SUMIF(122:122,C42,123:123)+100</f>
        <v>100</v>
      </c>
      <c r="K42" s="424">
        <v>2</v>
      </c>
      <c r="L42" s="1138"/>
      <c r="M42" s="1129"/>
      <c r="N42" s="1129"/>
      <c r="O42" s="1129"/>
      <c r="P42" s="3320"/>
      <c r="Q42" s="1805" t="str">
        <f t="shared" si="11"/>
        <v>内部装修</v>
      </c>
      <c r="R42" s="770" t="s">
        <v>21</v>
      </c>
      <c r="S42" s="771">
        <f t="shared" si="12"/>
        <v>100</v>
      </c>
      <c r="T42" s="770" t="s">
        <v>21</v>
      </c>
      <c r="U42" s="771">
        <f t="shared" si="13"/>
        <v>100</v>
      </c>
      <c r="V42" s="770" t="s">
        <v>21</v>
      </c>
      <c r="W42" s="771">
        <f t="shared" si="14"/>
        <v>100</v>
      </c>
      <c r="X42" s="1808"/>
      <c r="Y42" s="3292"/>
      <c r="Z42" s="1809" t="str">
        <f t="shared" si="18"/>
        <v>内部装修</v>
      </c>
      <c r="AA42" s="1806">
        <f t="shared" si="15"/>
        <v>1</v>
      </c>
      <c r="AB42" s="1806">
        <f t="shared" si="16"/>
        <v>1</v>
      </c>
      <c r="AC42" s="1806">
        <f t="shared" si="17"/>
        <v>1</v>
      </c>
    </row>
    <row r="43" spans="1:29" ht="15">
      <c r="A43" s="470"/>
      <c r="B43" s="420" t="s">
        <v>2560</v>
      </c>
      <c r="C43" s="2600" t="s">
        <v>3055</v>
      </c>
      <c r="D43" s="433">
        <v>100</v>
      </c>
      <c r="E43" s="2601" t="s">
        <v>3055</v>
      </c>
      <c r="F43" s="459">
        <f>SUMIF(124:124,E43,125:125)-SUMIF(124:124,C43,125:125)+100</f>
        <v>100</v>
      </c>
      <c r="G43" s="2600" t="s">
        <v>3055</v>
      </c>
      <c r="H43" s="433">
        <f>SUMIF(124:124,G43,125:125)-SUMIF(124:124,C43,125:125)+100</f>
        <v>100</v>
      </c>
      <c r="I43" s="2601" t="s">
        <v>3055</v>
      </c>
      <c r="J43" s="433">
        <f>SUMIF(124:124,I43,125:125)-SUMIF(124:124,C43,125:125)+100</f>
        <v>100</v>
      </c>
      <c r="K43" s="424">
        <v>2</v>
      </c>
      <c r="L43" s="1138"/>
      <c r="M43" s="1129"/>
      <c r="N43" s="1129"/>
      <c r="O43" s="1129"/>
      <c r="P43" s="3320"/>
      <c r="Q43" s="1805" t="str">
        <f t="shared" si="11"/>
        <v>内部装修维护情况</v>
      </c>
      <c r="R43" s="770" t="s">
        <v>21</v>
      </c>
      <c r="S43" s="771">
        <f t="shared" si="12"/>
        <v>100</v>
      </c>
      <c r="T43" s="770" t="s">
        <v>21</v>
      </c>
      <c r="U43" s="771">
        <f t="shared" si="13"/>
        <v>100</v>
      </c>
      <c r="V43" s="770" t="s">
        <v>21</v>
      </c>
      <c r="W43" s="771">
        <f t="shared" si="14"/>
        <v>100</v>
      </c>
      <c r="X43" s="1808"/>
      <c r="Y43" s="3292"/>
      <c r="Z43" s="1809" t="str">
        <f t="shared" si="18"/>
        <v>内部装修维护情况</v>
      </c>
      <c r="AA43" s="1806">
        <f t="shared" si="15"/>
        <v>1</v>
      </c>
      <c r="AB43" s="1806">
        <f t="shared" si="16"/>
        <v>1</v>
      </c>
      <c r="AC43" s="1806">
        <f t="shared" si="17"/>
        <v>1</v>
      </c>
    </row>
    <row r="44" spans="1:29" s="116"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8"/>
      <c r="L44" s="1130"/>
      <c r="M44" s="1131"/>
      <c r="N44" s="1131"/>
      <c r="O44" s="1131"/>
      <c r="P44" s="3320"/>
      <c r="Q44" s="1790">
        <f t="shared" si="11"/>
        <v>111</v>
      </c>
      <c r="R44" s="766" t="s">
        <v>21</v>
      </c>
      <c r="S44" s="767">
        <f t="shared" si="12"/>
        <v>100</v>
      </c>
      <c r="T44" s="766" t="s">
        <v>21</v>
      </c>
      <c r="U44" s="767">
        <f t="shared" si="13"/>
        <v>100</v>
      </c>
      <c r="V44" s="766" t="s">
        <v>21</v>
      </c>
      <c r="W44" s="767">
        <f t="shared" si="14"/>
        <v>100</v>
      </c>
      <c r="X44" s="768"/>
      <c r="Y44" s="3292"/>
      <c r="Z44" s="55">
        <f t="shared" si="18"/>
        <v>111</v>
      </c>
      <c r="AA44" s="769">
        <f t="shared" si="15"/>
        <v>1</v>
      </c>
      <c r="AB44" s="769">
        <f t="shared" si="16"/>
        <v>1</v>
      </c>
      <c r="AC44" s="769">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8"/>
      <c r="L45" s="1138"/>
      <c r="M45" s="1129"/>
      <c r="N45" s="1129"/>
      <c r="O45" s="1129"/>
      <c r="P45" s="3320"/>
      <c r="Q45" s="1805">
        <f t="shared" si="11"/>
        <v>111</v>
      </c>
      <c r="R45" s="770" t="s">
        <v>21</v>
      </c>
      <c r="S45" s="771">
        <f t="shared" si="12"/>
        <v>100</v>
      </c>
      <c r="T45" s="770" t="s">
        <v>21</v>
      </c>
      <c r="U45" s="771">
        <f t="shared" si="13"/>
        <v>100</v>
      </c>
      <c r="V45" s="770" t="s">
        <v>21</v>
      </c>
      <c r="W45" s="771">
        <f t="shared" si="14"/>
        <v>100</v>
      </c>
      <c r="X45" s="1808"/>
      <c r="Y45" s="3292"/>
      <c r="Z45" s="1809">
        <f t="shared" si="18"/>
        <v>111</v>
      </c>
      <c r="AA45" s="1806">
        <f t="shared" si="15"/>
        <v>1</v>
      </c>
      <c r="AB45" s="1806">
        <f t="shared" si="16"/>
        <v>1</v>
      </c>
      <c r="AC45" s="1806">
        <f t="shared" si="17"/>
        <v>1</v>
      </c>
    </row>
    <row r="46" spans="1:29" ht="15.75" thickBot="1">
      <c r="A46" s="476"/>
      <c r="B46" s="258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8"/>
      <c r="L46" s="1138"/>
      <c r="M46" s="1129"/>
      <c r="N46" s="1129"/>
      <c r="O46" s="1129"/>
      <c r="P46" s="3321"/>
      <c r="Q46" s="1805">
        <f t="shared" si="11"/>
        <v>111</v>
      </c>
      <c r="R46" s="770" t="s">
        <v>20</v>
      </c>
      <c r="S46" s="771">
        <f t="shared" si="12"/>
        <v>100</v>
      </c>
      <c r="T46" s="770" t="s">
        <v>20</v>
      </c>
      <c r="U46" s="771">
        <f t="shared" si="13"/>
        <v>100</v>
      </c>
      <c r="V46" s="770" t="s">
        <v>20</v>
      </c>
      <c r="W46" s="771">
        <f t="shared" si="14"/>
        <v>100</v>
      </c>
      <c r="X46" s="1808"/>
      <c r="Y46" s="3300"/>
      <c r="Z46" s="1809">
        <f t="shared" si="18"/>
        <v>111</v>
      </c>
      <c r="AA46" s="1806">
        <f t="shared" si="15"/>
        <v>1</v>
      </c>
      <c r="AB46" s="1806">
        <f t="shared" si="16"/>
        <v>1</v>
      </c>
      <c r="AC46" s="1806">
        <f t="shared" si="17"/>
        <v>1</v>
      </c>
    </row>
    <row r="47" spans="1:29" ht="15">
      <c r="A47" s="477" t="s">
        <v>2561</v>
      </c>
      <c r="B47" s="478"/>
      <c r="C47" s="1403" t="s">
        <v>19</v>
      </c>
      <c r="D47" s="1404"/>
      <c r="E47" s="1405">
        <v>8200</v>
      </c>
      <c r="F47" s="1406"/>
      <c r="G47" s="1407">
        <v>8000</v>
      </c>
      <c r="H47" s="1408"/>
      <c r="I47" s="1405">
        <v>7950</v>
      </c>
      <c r="J47" s="1408"/>
      <c r="K47" s="2608"/>
      <c r="L47" s="1141"/>
      <c r="M47" s="1142"/>
      <c r="N47" s="1129"/>
      <c r="O47" s="1142"/>
      <c r="P47" s="3274" t="str">
        <f>A47</f>
        <v>成交单价（元/平方米）</v>
      </c>
      <c r="Q47" s="3274"/>
      <c r="R47" s="3301">
        <f>E47</f>
        <v>8200</v>
      </c>
      <c r="S47" s="3301"/>
      <c r="T47" s="3301">
        <f>G47</f>
        <v>8000</v>
      </c>
      <c r="U47" s="3301"/>
      <c r="V47" s="3301">
        <f>I47</f>
        <v>7950</v>
      </c>
      <c r="W47" s="3301"/>
      <c r="X47" s="755"/>
      <c r="Y47" s="777"/>
      <c r="Z47" s="755"/>
      <c r="AA47" s="755"/>
      <c r="AB47" s="755"/>
      <c r="AC47" s="755"/>
    </row>
    <row r="48" spans="1:29" ht="15.75" thickBot="1">
      <c r="A48" s="484" t="s">
        <v>2562</v>
      </c>
      <c r="B48" s="485"/>
      <c r="C48" s="1409">
        <f>R49</f>
        <v>8220</v>
      </c>
      <c r="D48" s="1410"/>
      <c r="E48" s="1411">
        <f>R48</f>
        <v>8207</v>
      </c>
      <c r="F48" s="1411"/>
      <c r="G48" s="1409">
        <f>T48</f>
        <v>8087</v>
      </c>
      <c r="H48" s="1410"/>
      <c r="I48" s="1411">
        <f>V48</f>
        <v>8365</v>
      </c>
      <c r="J48" s="1410"/>
      <c r="K48" s="2609"/>
      <c r="L48" s="1141"/>
      <c r="M48" s="1142"/>
      <c r="N48" s="1142"/>
      <c r="O48" s="1142"/>
      <c r="P48" s="3274" t="str">
        <f>A48</f>
        <v>比较价值（元/平方米）</v>
      </c>
      <c r="Q48" s="3274"/>
      <c r="R48" s="3301">
        <f>IF(F1="售价",ROUND(PRODUCT(R47,AA7:AA46),0),ROUND(PRODUCT(R47,AA7:AA46),1))</f>
        <v>8207</v>
      </c>
      <c r="S48" s="3301"/>
      <c r="T48" s="3301">
        <f>IF(F1="售价",ROUND(PRODUCT(T47,AB7:AB46),0),ROUND(PRODUCT(T47,AB7:AB46),1))</f>
        <v>8087</v>
      </c>
      <c r="U48" s="3301"/>
      <c r="V48" s="3301">
        <f>IF(F1="售价",ROUND(PRODUCT(V47,AC7:AC46),0),ROUND(PRODUCT(V47,AC7:AC46),1))</f>
        <v>8365</v>
      </c>
      <c r="W48" s="3301"/>
      <c r="X48" s="755"/>
      <c r="Y48" s="755"/>
      <c r="Z48" s="755"/>
      <c r="AA48" s="755"/>
      <c r="AB48" s="755"/>
      <c r="AC48" s="755"/>
    </row>
    <row r="49" spans="1:29" ht="15.75" thickBot="1">
      <c r="A49" s="490" t="s">
        <v>2563</v>
      </c>
      <c r="B49" s="491"/>
      <c r="C49" s="1412">
        <f>R49</f>
        <v>8220</v>
      </c>
      <c r="D49" s="1413"/>
      <c r="E49" s="1413"/>
      <c r="F49" s="1413"/>
      <c r="G49" s="1413"/>
      <c r="H49" s="1413"/>
      <c r="I49" s="1413"/>
      <c r="J49" s="1413"/>
      <c r="K49" s="2610"/>
      <c r="L49" s="1141"/>
      <c r="M49" s="1142"/>
      <c r="N49" s="1142"/>
      <c r="O49" s="1142"/>
      <c r="P49" s="3294" t="str">
        <f>A49</f>
        <v>估价对象XX用房的比较价值（楼面单价，元/平方米）</v>
      </c>
      <c r="Q49" s="3295"/>
      <c r="R49" s="3302">
        <f>IF(F1="售价",ROUND(AVERAGE(R48:V48),0),ROUND(AVERAGE(R48:V48),1))</f>
        <v>8220</v>
      </c>
      <c r="S49" s="3302"/>
      <c r="T49" s="3302"/>
      <c r="U49" s="3302"/>
      <c r="V49" s="3302"/>
      <c r="W49" s="3302"/>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2564</v>
      </c>
      <c r="D52" s="496"/>
      <c r="E52" s="497">
        <f>IF(E47&lt;E48,E48/E47-1,E47/E48-1)</f>
        <v>8.5365853658525559E-4</v>
      </c>
      <c r="F52" s="498" t="str">
        <f>IF(OR(E52&gt;=0.3,E52&lt;=-0.3),"超过30%","")</f>
        <v/>
      </c>
      <c r="G52" s="497">
        <f>IF(G47&lt;G48,G48/G47-1,G47/G48-1)</f>
        <v>1.0874999999999968E-2</v>
      </c>
      <c r="H52" s="498" t="str">
        <f>IF(OR(G52&gt;=0.3,G52&lt;=-0.3),"超过30%","")</f>
        <v/>
      </c>
      <c r="I52" s="497">
        <f>IF(I47&lt;I48,I48/I47-1,I47/I48-1)</f>
        <v>5.220125786163532E-2</v>
      </c>
      <c r="J52" s="498" t="str">
        <f>IF(OR(I52&gt;=0.3,I52&lt;=-0.3),"超过30%","")</f>
        <v/>
      </c>
      <c r="K52" s="1103"/>
      <c r="L52" s="1104"/>
      <c r="M52" s="1142"/>
      <c r="N52" s="1142"/>
      <c r="O52" s="1142"/>
    </row>
    <row r="53" spans="1:29" ht="13.5" customHeight="1">
      <c r="A53" s="1142"/>
      <c r="B53" s="1142"/>
      <c r="C53" s="495" t="s">
        <v>2565</v>
      </c>
      <c r="D53" s="499"/>
      <c r="E53" s="497">
        <f>IF(E48&lt;G48,G48/E48-1,E48/G48-1)</f>
        <v>1.4838629899839306E-2</v>
      </c>
      <c r="F53" s="498" t="str">
        <f>IF(OR(E53&gt;=0.2,E53&lt;=-0.2),"超过20%","")</f>
        <v/>
      </c>
      <c r="G53" s="497">
        <f>IF(G48&lt;I48,I48/G48-1,G48/I48-1)</f>
        <v>3.4376159267961004E-2</v>
      </c>
      <c r="H53" s="498" t="str">
        <f>IF(OR(G53&gt;=0.2,G53&lt;=-0.2),"超过20%","")</f>
        <v/>
      </c>
      <c r="I53" s="497">
        <f>IF(I48&lt;E48,E48/I48-1,I48/E48-1)</f>
        <v>1.9251858169855085E-2</v>
      </c>
      <c r="J53" s="498" t="str">
        <f>IF(OR(I53&gt;=0.2,I53&lt;=-0.2),"超过20%","")</f>
        <v/>
      </c>
      <c r="K53" s="1103"/>
      <c r="L53" s="1104"/>
      <c r="M53" s="1142"/>
      <c r="N53" s="1142"/>
      <c r="O53" s="1142"/>
    </row>
    <row r="54" spans="1:29" s="500" customFormat="1" ht="13.5" customHeight="1">
      <c r="A54" s="1143"/>
      <c r="B54" s="1143"/>
      <c r="C54" s="495" t="s">
        <v>2566</v>
      </c>
      <c r="D54" s="499"/>
      <c r="E54" s="497">
        <f>IF(E47&lt;G47,G47/E47-1,E47/G47-1)</f>
        <v>2.4999999999999911E-2</v>
      </c>
      <c r="F54" s="498" t="str">
        <f>IF(OR(E54&gt;=0.3,E54&lt;=-0.3),"超过30%","")</f>
        <v/>
      </c>
      <c r="G54" s="497">
        <f>IF(G47&lt;I47,I47/G47-1,G47/I47-1)</f>
        <v>6.2893081761006275E-3</v>
      </c>
      <c r="H54" s="498" t="str">
        <f>IF(OR(G54&gt;=0.3,G54&lt;=-0.3),"超过30%","")</f>
        <v/>
      </c>
      <c r="I54" s="497">
        <f>IF(I47&lt;E47,E47/I47-1,I47/E47-1)</f>
        <v>3.1446540880503138E-2</v>
      </c>
      <c r="J54" s="498" t="str">
        <f>IF(OR(I54&gt;=0.3,I54&lt;=-0.3),"超过30%","")</f>
        <v/>
      </c>
      <c r="K54" s="1146"/>
      <c r="L54" s="1147"/>
      <c r="M54" s="1143"/>
      <c r="N54" s="1143"/>
      <c r="O54" s="1143"/>
      <c r="P54" s="2612"/>
    </row>
    <row r="55" spans="1:29" s="500" customFormat="1">
      <c r="A55" s="1143"/>
      <c r="B55" s="1144"/>
      <c r="C55" s="1148"/>
      <c r="D55" s="1143"/>
      <c r="E55" s="1143"/>
      <c r="F55" s="1143"/>
      <c r="G55" s="1143"/>
      <c r="H55" s="1143"/>
      <c r="I55" s="1143"/>
      <c r="J55" s="1143"/>
      <c r="K55" s="1146"/>
      <c r="L55" s="1147"/>
      <c r="M55" s="1143"/>
      <c r="N55" s="1143"/>
      <c r="O55" s="1143"/>
      <c r="P55" s="2612"/>
    </row>
    <row r="56" spans="1:29">
      <c r="A56" s="1142"/>
      <c r="B56" s="1144"/>
      <c r="C56" s="1148"/>
      <c r="D56" s="1142"/>
      <c r="E56" s="1142"/>
      <c r="F56" s="1142"/>
      <c r="G56" s="1142"/>
      <c r="H56" s="1142"/>
      <c r="I56" s="1142"/>
      <c r="J56" s="1142"/>
      <c r="K56" s="1103"/>
      <c r="L56" s="1104"/>
      <c r="M56" s="1142"/>
      <c r="N56" s="1142"/>
      <c r="O56" s="1142"/>
    </row>
    <row r="57" spans="1:29" ht="21.75" thickBot="1">
      <c r="A57" s="759" t="s">
        <v>2567</v>
      </c>
      <c r="B57" s="755"/>
      <c r="C57" s="760"/>
      <c r="D57" s="760"/>
      <c r="E57" s="760"/>
      <c r="F57" s="761"/>
      <c r="G57" s="761"/>
      <c r="H57" s="760"/>
      <c r="I57" s="760"/>
      <c r="J57" s="760"/>
      <c r="K57" s="1158"/>
      <c r="L57" s="1159"/>
      <c r="M57" s="1157"/>
      <c r="N57" s="1157"/>
      <c r="O57" s="1157"/>
      <c r="P57" s="2613"/>
      <c r="Q57" s="502"/>
    </row>
    <row r="58" spans="1:29" s="506" customFormat="1" ht="15">
      <c r="A58" s="503" t="s">
        <v>2568</v>
      </c>
      <c r="B58" s="504"/>
      <c r="C58" s="1571" t="str">
        <f>YEAR(C7)&amp;"-"&amp;MONTH(C7)</f>
        <v>2018-4</v>
      </c>
      <c r="D58" s="1570">
        <f>EDATE(C58,-1)</f>
        <v>43160</v>
      </c>
      <c r="E58" s="1570">
        <f>EDATE(D58,-1)</f>
        <v>43132</v>
      </c>
      <c r="F58" s="1570">
        <f t="shared" ref="F58:O58" si="19">EDATE(E58,-1)</f>
        <v>43101</v>
      </c>
      <c r="G58" s="1570">
        <f t="shared" si="19"/>
        <v>43070</v>
      </c>
      <c r="H58" s="1570">
        <f t="shared" si="19"/>
        <v>43040</v>
      </c>
      <c r="I58" s="1570">
        <f t="shared" si="19"/>
        <v>43009</v>
      </c>
      <c r="J58" s="1570">
        <f t="shared" si="19"/>
        <v>42979</v>
      </c>
      <c r="K58" s="1570">
        <f t="shared" si="19"/>
        <v>42948</v>
      </c>
      <c r="L58" s="1570">
        <f t="shared" si="19"/>
        <v>42917</v>
      </c>
      <c r="M58" s="1570">
        <f t="shared" si="19"/>
        <v>42887</v>
      </c>
      <c r="N58" s="1570">
        <f t="shared" si="19"/>
        <v>42856</v>
      </c>
      <c r="O58" s="1570">
        <f t="shared" si="19"/>
        <v>42826</v>
      </c>
      <c r="P58" s="1565"/>
    </row>
    <row r="59" spans="1:29" s="116" customFormat="1" ht="15">
      <c r="A59" s="507"/>
      <c r="B59" s="2614"/>
      <c r="C59" s="1568">
        <v>100</v>
      </c>
      <c r="D59" s="509">
        <v>99</v>
      </c>
      <c r="E59" s="510">
        <v>98</v>
      </c>
      <c r="F59" s="509">
        <v>97</v>
      </c>
      <c r="G59" s="510">
        <v>96</v>
      </c>
      <c r="H59" s="509">
        <v>95</v>
      </c>
      <c r="I59" s="510">
        <v>94</v>
      </c>
      <c r="J59" s="509">
        <v>93</v>
      </c>
      <c r="K59" s="510">
        <v>92</v>
      </c>
      <c r="L59" s="509">
        <v>91</v>
      </c>
      <c r="M59" s="510">
        <v>90</v>
      </c>
      <c r="N59" s="509">
        <v>89</v>
      </c>
      <c r="O59" s="510">
        <v>88</v>
      </c>
      <c r="P59" s="2615"/>
    </row>
    <row r="60" spans="1:29" s="116" customFormat="1" ht="15.75" thickBot="1">
      <c r="A60" s="513" t="s">
        <v>2569</v>
      </c>
      <c r="B60" s="514"/>
      <c r="C60" s="515"/>
      <c r="D60" s="516"/>
      <c r="E60" s="516"/>
      <c r="F60" s="516"/>
      <c r="G60" s="516"/>
      <c r="H60" s="516"/>
      <c r="I60" s="516"/>
      <c r="J60" s="516"/>
      <c r="K60" s="516"/>
      <c r="L60" s="516"/>
      <c r="M60" s="517"/>
      <c r="N60" s="516"/>
      <c r="O60" s="517"/>
      <c r="P60" s="2615"/>
      <c r="Q60" s="502"/>
    </row>
    <row r="61" spans="1:29" s="116" customFormat="1" ht="15">
      <c r="A61" s="519" t="s">
        <v>2570</v>
      </c>
      <c r="B61" s="508"/>
      <c r="C61" s="520" t="s">
        <v>2571</v>
      </c>
      <c r="D61" s="521"/>
      <c r="E61" s="521"/>
      <c r="F61" s="521"/>
      <c r="G61" s="521"/>
      <c r="H61" s="521"/>
      <c r="I61" s="521"/>
      <c r="J61" s="521"/>
      <c r="K61" s="521"/>
      <c r="L61" s="522"/>
      <c r="M61" s="523"/>
      <c r="N61" s="1149"/>
      <c r="O61" s="1149"/>
      <c r="P61" s="2616"/>
      <c r="Q61" s="502"/>
    </row>
    <row r="62" spans="1:29" s="116" customFormat="1" ht="15.75" thickBot="1">
      <c r="A62" s="519"/>
      <c r="B62" s="508"/>
      <c r="C62" s="509">
        <v>100</v>
      </c>
      <c r="D62" s="510"/>
      <c r="E62" s="510"/>
      <c r="F62" s="510"/>
      <c r="G62" s="510"/>
      <c r="H62" s="510"/>
      <c r="I62" s="510"/>
      <c r="J62" s="510"/>
      <c r="K62" s="510"/>
      <c r="L62" s="510"/>
      <c r="M62" s="512"/>
      <c r="N62" s="1149"/>
      <c r="O62" s="1149"/>
      <c r="P62" s="2615"/>
      <c r="Q62" s="502"/>
    </row>
    <row r="63" spans="1:29">
      <c r="A63" s="525" t="s">
        <v>2572</v>
      </c>
      <c r="B63" s="526" t="s">
        <v>2538</v>
      </c>
      <c r="C63" s="527" t="str">
        <f>C9</f>
        <v>住宅</v>
      </c>
      <c r="D63" s="528"/>
      <c r="E63" s="528"/>
      <c r="F63" s="528"/>
      <c r="G63" s="528"/>
      <c r="H63" s="528"/>
      <c r="I63" s="528"/>
      <c r="J63" s="528"/>
      <c r="K63" s="529"/>
      <c r="L63" s="530"/>
      <c r="M63" s="531"/>
      <c r="N63" s="1150"/>
      <c r="O63" s="1150"/>
      <c r="P63" s="2617"/>
      <c r="Q63" s="502"/>
    </row>
    <row r="64" spans="1:29" ht="15.75" thickBot="1">
      <c r="A64" s="532"/>
      <c r="B64" s="533"/>
      <c r="C64" s="534">
        <v>100</v>
      </c>
      <c r="D64" s="534"/>
      <c r="E64" s="534"/>
      <c r="F64" s="534"/>
      <c r="G64" s="534"/>
      <c r="H64" s="534"/>
      <c r="I64" s="534"/>
      <c r="J64" s="534"/>
      <c r="K64" s="534"/>
      <c r="L64" s="534"/>
      <c r="M64" s="535"/>
      <c r="N64" s="1151"/>
      <c r="O64" s="1151"/>
      <c r="P64" s="2617"/>
      <c r="Q64" s="502"/>
    </row>
    <row r="65" spans="1:17" ht="27.75" thickTop="1">
      <c r="A65" s="532"/>
      <c r="B65" s="536" t="s">
        <v>2541</v>
      </c>
      <c r="C65" s="537" t="s">
        <v>2573</v>
      </c>
      <c r="D65" s="537" t="s">
        <v>2574</v>
      </c>
      <c r="E65" s="537" t="s">
        <v>2575</v>
      </c>
      <c r="F65" s="537" t="s">
        <v>2576</v>
      </c>
      <c r="G65" s="537" t="s">
        <v>2577</v>
      </c>
      <c r="H65" s="537" t="s">
        <v>2578</v>
      </c>
      <c r="I65" s="537" t="s">
        <v>2579</v>
      </c>
      <c r="J65" s="537"/>
      <c r="K65" s="538"/>
      <c r="L65" s="539"/>
      <c r="M65" s="540"/>
      <c r="N65" s="1150"/>
      <c r="O65" s="1150"/>
      <c r="P65" s="2617"/>
      <c r="Q65" s="502"/>
    </row>
    <row r="66" spans="1:17" ht="15.75"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51"/>
      <c r="O66" s="1151"/>
      <c r="P66" s="2617"/>
      <c r="Q66" s="502"/>
    </row>
    <row r="67" spans="1:17" ht="15.75" thickTop="1">
      <c r="A67" s="532"/>
      <c r="B67" s="544" t="s">
        <v>2542</v>
      </c>
      <c r="C67" s="545" t="str">
        <f>C68&amp;"（含）"&amp;"-"&amp;D68</f>
        <v>0（含）-1</v>
      </c>
      <c r="D67" s="545" t="str">
        <f t="shared" ref="D67:L67" si="21">D68&amp;"（含）"&amp;"-"&amp;E68</f>
        <v>1（含）-2</v>
      </c>
      <c r="E67" s="545" t="str">
        <f t="shared" si="21"/>
        <v>2（含）-3</v>
      </c>
      <c r="F67" s="545" t="str">
        <f t="shared" si="21"/>
        <v>3（含）-4</v>
      </c>
      <c r="G67" s="545" t="str">
        <f t="shared" si="21"/>
        <v>4（含）-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617"/>
      <c r="Q67" s="502"/>
    </row>
    <row r="68" spans="1:17" ht="15">
      <c r="A68" s="532"/>
      <c r="B68" s="546"/>
      <c r="C68" s="547">
        <v>0</v>
      </c>
      <c r="D68" s="547">
        <v>1</v>
      </c>
      <c r="E68" s="547">
        <v>2</v>
      </c>
      <c r="F68" s="547">
        <v>3</v>
      </c>
      <c r="G68" s="547">
        <v>4</v>
      </c>
      <c r="H68" s="547"/>
      <c r="I68" s="547"/>
      <c r="J68" s="547"/>
      <c r="K68" s="548"/>
      <c r="L68" s="549"/>
      <c r="M68" s="550"/>
      <c r="N68" s="1150"/>
      <c r="O68" s="1150"/>
      <c r="P68" s="2617"/>
      <c r="Q68" s="502"/>
    </row>
    <row r="69" spans="1:17" ht="15.75"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51"/>
      <c r="O69" s="1151"/>
      <c r="P69" s="2617"/>
      <c r="Q69" s="502"/>
    </row>
    <row r="70" spans="1:17" s="469" customFormat="1" ht="15.75" thickTop="1">
      <c r="A70" s="551"/>
      <c r="B70" s="536">
        <f>B12</f>
        <v>111</v>
      </c>
      <c r="C70" s="552"/>
      <c r="D70" s="552"/>
      <c r="E70" s="552"/>
      <c r="F70" s="552"/>
      <c r="G70" s="552"/>
      <c r="H70" s="553"/>
      <c r="I70" s="553"/>
      <c r="J70" s="553"/>
      <c r="K70" s="553"/>
      <c r="L70" s="554"/>
      <c r="M70" s="555"/>
      <c r="N70" s="1152"/>
      <c r="O70" s="1152"/>
      <c r="P70" s="2618"/>
      <c r="Q70" s="557"/>
    </row>
    <row r="71" spans="1:17" s="469" customFormat="1" ht="15.75" thickBot="1">
      <c r="A71" s="551"/>
      <c r="B71" s="541"/>
      <c r="C71" s="558"/>
      <c r="D71" s="534"/>
      <c r="E71" s="534"/>
      <c r="F71" s="534"/>
      <c r="G71" s="534"/>
      <c r="H71" s="534"/>
      <c r="I71" s="534"/>
      <c r="J71" s="534"/>
      <c r="K71" s="534"/>
      <c r="L71" s="534"/>
      <c r="M71" s="535"/>
      <c r="N71" s="1151"/>
      <c r="O71" s="1151"/>
      <c r="P71" s="2618"/>
      <c r="Q71" s="557"/>
    </row>
    <row r="72" spans="1:17" s="469" customFormat="1" ht="15.75" thickTop="1">
      <c r="A72" s="551"/>
      <c r="B72" s="536">
        <f>B13</f>
        <v>111</v>
      </c>
      <c r="C72" s="552"/>
      <c r="D72" s="552"/>
      <c r="E72" s="552"/>
      <c r="F72" s="552"/>
      <c r="G72" s="552"/>
      <c r="H72" s="553"/>
      <c r="I72" s="553"/>
      <c r="J72" s="553"/>
      <c r="K72" s="553"/>
      <c r="L72" s="554"/>
      <c r="M72" s="555"/>
      <c r="N72" s="1152"/>
      <c r="O72" s="1152"/>
      <c r="P72" s="2619"/>
      <c r="Q72" s="559"/>
    </row>
    <row r="73" spans="1:17" s="469" customFormat="1" ht="15.75" thickBot="1">
      <c r="A73" s="551"/>
      <c r="B73" s="541"/>
      <c r="C73" s="558"/>
      <c r="D73" s="558"/>
      <c r="E73" s="558"/>
      <c r="F73" s="558"/>
      <c r="G73" s="558"/>
      <c r="H73" s="560"/>
      <c r="I73" s="560"/>
      <c r="J73" s="560"/>
      <c r="K73" s="560"/>
      <c r="L73" s="560"/>
      <c r="M73" s="561"/>
      <c r="N73" s="1152"/>
      <c r="O73" s="1152"/>
      <c r="P73" s="2618"/>
      <c r="Q73" s="557"/>
    </row>
    <row r="74" spans="1:17" s="469" customFormat="1" ht="15.75" thickTop="1">
      <c r="A74" s="551"/>
      <c r="B74" s="544">
        <f>B14</f>
        <v>111</v>
      </c>
      <c r="C74" s="552"/>
      <c r="D74" s="552"/>
      <c r="E74" s="552"/>
      <c r="F74" s="552"/>
      <c r="G74" s="521"/>
      <c r="H74" s="562"/>
      <c r="I74" s="562"/>
      <c r="J74" s="562"/>
      <c r="K74" s="562"/>
      <c r="L74" s="563"/>
      <c r="M74" s="564"/>
      <c r="N74" s="1152"/>
      <c r="O74" s="1152"/>
      <c r="P74" s="2620"/>
      <c r="Q74" s="557"/>
    </row>
    <row r="75" spans="1:17" s="469" customFormat="1" ht="15.75" thickBot="1">
      <c r="A75" s="566"/>
      <c r="B75" s="567"/>
      <c r="C75" s="568"/>
      <c r="D75" s="568"/>
      <c r="E75" s="568"/>
      <c r="F75" s="568"/>
      <c r="G75" s="568"/>
      <c r="H75" s="569"/>
      <c r="I75" s="569"/>
      <c r="J75" s="569"/>
      <c r="K75" s="569"/>
      <c r="L75" s="569"/>
      <c r="M75" s="570"/>
      <c r="N75" s="1152"/>
      <c r="O75" s="1152"/>
      <c r="P75" s="2618"/>
      <c r="Q75" s="557"/>
    </row>
    <row r="76" spans="1:17">
      <c r="A76" s="525" t="s">
        <v>2543</v>
      </c>
      <c r="B76" s="526" t="s">
        <v>2580</v>
      </c>
      <c r="C76" s="571" t="s">
        <v>2581</v>
      </c>
      <c r="D76" s="571" t="s">
        <v>2582</v>
      </c>
      <c r="E76" s="571" t="s">
        <v>2583</v>
      </c>
      <c r="F76" s="571" t="s">
        <v>2584</v>
      </c>
      <c r="G76" s="571" t="s">
        <v>2585</v>
      </c>
      <c r="H76" s="527"/>
      <c r="I76" s="527"/>
      <c r="J76" s="527"/>
      <c r="K76" s="572"/>
      <c r="L76" s="573"/>
      <c r="M76" s="574"/>
      <c r="N76" s="1150"/>
      <c r="O76" s="1150"/>
      <c r="P76" s="2621"/>
      <c r="Q76" s="502"/>
    </row>
    <row r="77" spans="1:17" ht="15.75" thickBot="1">
      <c r="A77" s="532"/>
      <c r="B77" s="541"/>
      <c r="C77" s="542">
        <v>100</v>
      </c>
      <c r="D77" s="542">
        <f>C77-$K15</f>
        <v>99</v>
      </c>
      <c r="E77" s="542">
        <f>D77-$K15</f>
        <v>98</v>
      </c>
      <c r="F77" s="542">
        <f>E77-$K15</f>
        <v>97</v>
      </c>
      <c r="G77" s="542">
        <f>F77-$K15</f>
        <v>96</v>
      </c>
      <c r="H77" s="542"/>
      <c r="I77" s="542"/>
      <c r="J77" s="542"/>
      <c r="K77" s="542"/>
      <c r="L77" s="542"/>
      <c r="M77" s="543"/>
      <c r="N77" s="1151"/>
      <c r="O77" s="1151"/>
      <c r="P77" s="2617"/>
      <c r="Q77" s="502"/>
    </row>
    <row r="78" spans="1:17" ht="15.75" thickTop="1">
      <c r="A78" s="532"/>
      <c r="B78" s="536" t="s">
        <v>2586</v>
      </c>
      <c r="C78" s="576" t="s">
        <v>2581</v>
      </c>
      <c r="D78" s="576" t="s">
        <v>2582</v>
      </c>
      <c r="E78" s="576" t="s">
        <v>2583</v>
      </c>
      <c r="F78" s="576" t="s">
        <v>2584</v>
      </c>
      <c r="G78" s="576" t="s">
        <v>2585</v>
      </c>
      <c r="H78" s="537"/>
      <c r="I78" s="537"/>
      <c r="J78" s="537"/>
      <c r="K78" s="538"/>
      <c r="L78" s="539"/>
      <c r="M78" s="540"/>
      <c r="N78" s="1150"/>
      <c r="O78" s="1150"/>
      <c r="P78" s="2617"/>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1"/>
      <c r="O79" s="1151"/>
      <c r="P79" s="2617"/>
      <c r="Q79" s="502"/>
    </row>
    <row r="80" spans="1:17" ht="15.75" thickTop="1">
      <c r="A80" s="532"/>
      <c r="B80" s="536" t="s">
        <v>2587</v>
      </c>
      <c r="C80" s="576" t="s">
        <v>2581</v>
      </c>
      <c r="D80" s="576" t="s">
        <v>2582</v>
      </c>
      <c r="E80" s="576" t="s">
        <v>2583</v>
      </c>
      <c r="F80" s="576" t="s">
        <v>2584</v>
      </c>
      <c r="G80" s="576" t="s">
        <v>2585</v>
      </c>
      <c r="H80" s="537"/>
      <c r="I80" s="537"/>
      <c r="J80" s="537"/>
      <c r="K80" s="538"/>
      <c r="L80" s="539"/>
      <c r="M80" s="540"/>
      <c r="N80" s="1150"/>
      <c r="O80" s="1150"/>
      <c r="P80" s="2617"/>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1"/>
      <c r="O81" s="1151"/>
      <c r="P81" s="2617"/>
      <c r="Q81" s="502"/>
    </row>
    <row r="82" spans="1:17" ht="15.75" thickTop="1">
      <c r="A82" s="532"/>
      <c r="B82" s="544" t="s">
        <v>2090</v>
      </c>
      <c r="C82" s="537" t="s">
        <v>2588</v>
      </c>
      <c r="D82" s="537" t="s">
        <v>2589</v>
      </c>
      <c r="E82" s="537" t="s">
        <v>2590</v>
      </c>
      <c r="F82" s="537" t="s">
        <v>2591</v>
      </c>
      <c r="G82" s="537" t="s">
        <v>2592</v>
      </c>
      <c r="H82" s="537"/>
      <c r="I82" s="537"/>
      <c r="J82" s="537"/>
      <c r="K82" s="537"/>
      <c r="L82" s="537"/>
      <c r="M82" s="1378"/>
      <c r="N82" s="1151"/>
      <c r="O82" s="1151"/>
      <c r="P82" s="2617"/>
      <c r="Q82" s="502"/>
    </row>
    <row r="83" spans="1:17" ht="15.75" thickBot="1">
      <c r="A83" s="532"/>
      <c r="B83" s="544"/>
      <c r="C83" s="658">
        <v>100</v>
      </c>
      <c r="D83" s="658">
        <f>C83-$K21</f>
        <v>98</v>
      </c>
      <c r="E83" s="658">
        <f t="shared" ref="E83:G83" si="23">D83-$K21</f>
        <v>96</v>
      </c>
      <c r="F83" s="658">
        <f t="shared" si="23"/>
        <v>94</v>
      </c>
      <c r="G83" s="658">
        <f t="shared" si="23"/>
        <v>92</v>
      </c>
      <c r="H83" s="658"/>
      <c r="I83" s="658"/>
      <c r="J83" s="658"/>
      <c r="K83" s="658"/>
      <c r="L83" s="658"/>
      <c r="M83" s="448"/>
      <c r="N83" s="1151"/>
      <c r="O83" s="1151"/>
      <c r="P83" s="2617"/>
      <c r="Q83" s="502"/>
    </row>
    <row r="84" spans="1:17" ht="15.75" thickTop="1">
      <c r="A84" s="532"/>
      <c r="B84" s="536" t="s">
        <v>2593</v>
      </c>
      <c r="C84" s="576" t="s">
        <v>2581</v>
      </c>
      <c r="D84" s="576" t="s">
        <v>2582</v>
      </c>
      <c r="E84" s="576" t="s">
        <v>2583</v>
      </c>
      <c r="F84" s="576" t="s">
        <v>2584</v>
      </c>
      <c r="G84" s="576" t="s">
        <v>2585</v>
      </c>
      <c r="H84" s="537"/>
      <c r="I84" s="537"/>
      <c r="J84" s="537"/>
      <c r="K84" s="538"/>
      <c r="L84" s="539"/>
      <c r="M84" s="540"/>
      <c r="N84" s="1150"/>
      <c r="O84" s="1150"/>
      <c r="P84" s="2617"/>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1"/>
      <c r="O85" s="1151"/>
      <c r="P85" s="2617"/>
      <c r="Q85" s="502"/>
    </row>
    <row r="86" spans="1:17" s="116" customFormat="1" ht="15.75" thickTop="1">
      <c r="A86" s="577"/>
      <c r="B86" s="536" t="s">
        <v>2594</v>
      </c>
      <c r="C86" s="552"/>
      <c r="D86" s="552"/>
      <c r="E86" s="552"/>
      <c r="F86" s="552"/>
      <c r="G86" s="552"/>
      <c r="H86" s="552"/>
      <c r="I86" s="552"/>
      <c r="J86" s="552"/>
      <c r="K86" s="552"/>
      <c r="L86" s="578"/>
      <c r="M86" s="579"/>
      <c r="N86" s="1149"/>
      <c r="O86" s="1149"/>
      <c r="P86" s="2617"/>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617"/>
      <c r="Q87" s="502"/>
    </row>
    <row r="88" spans="1:17" s="116" customFormat="1" ht="15.75" thickTop="1">
      <c r="A88" s="577"/>
      <c r="B88" s="536" t="s">
        <v>2595</v>
      </c>
      <c r="C88" s="552"/>
      <c r="D88" s="552"/>
      <c r="E88" s="552"/>
      <c r="F88" s="2622"/>
      <c r="G88" s="552"/>
      <c r="H88" s="552"/>
      <c r="I88" s="552"/>
      <c r="J88" s="552"/>
      <c r="K88" s="552"/>
      <c r="L88" s="552"/>
      <c r="M88" s="579"/>
      <c r="N88" s="1149"/>
      <c r="O88" s="1149"/>
      <c r="P88" s="2617"/>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617"/>
      <c r="Q89" s="502"/>
    </row>
    <row r="90" spans="1:17" s="469" customFormat="1" ht="15.75" thickTop="1">
      <c r="A90" s="551"/>
      <c r="B90" s="536">
        <f>B27</f>
        <v>111</v>
      </c>
      <c r="C90" s="552"/>
      <c r="D90" s="552"/>
      <c r="E90" s="552"/>
      <c r="F90" s="552"/>
      <c r="G90" s="552"/>
      <c r="H90" s="553"/>
      <c r="I90" s="553"/>
      <c r="J90" s="553"/>
      <c r="K90" s="553"/>
      <c r="L90" s="554"/>
      <c r="M90" s="555"/>
      <c r="N90" s="1152"/>
      <c r="O90" s="1152"/>
      <c r="P90" s="2618"/>
      <c r="Q90" s="557"/>
    </row>
    <row r="91" spans="1:17" s="469" customFormat="1" ht="15.75" thickBot="1">
      <c r="A91" s="551"/>
      <c r="B91" s="541"/>
      <c r="C91" s="558"/>
      <c r="D91" s="558"/>
      <c r="E91" s="558"/>
      <c r="F91" s="558"/>
      <c r="G91" s="558"/>
      <c r="H91" s="560"/>
      <c r="I91" s="560"/>
      <c r="J91" s="560"/>
      <c r="K91" s="560"/>
      <c r="L91" s="560"/>
      <c r="M91" s="561"/>
      <c r="N91" s="1152"/>
      <c r="O91" s="1152"/>
      <c r="P91" s="2618"/>
      <c r="Q91" s="557"/>
    </row>
    <row r="92" spans="1:17" ht="15.75" thickTop="1">
      <c r="A92" s="532"/>
      <c r="B92" s="536">
        <f>B28</f>
        <v>111</v>
      </c>
      <c r="C92" s="552"/>
      <c r="D92" s="552"/>
      <c r="E92" s="552"/>
      <c r="F92" s="552"/>
      <c r="G92" s="581"/>
      <c r="H92" s="581"/>
      <c r="I92" s="581"/>
      <c r="J92" s="581"/>
      <c r="K92" s="582"/>
      <c r="L92" s="583"/>
      <c r="M92" s="584"/>
      <c r="N92" s="1150"/>
      <c r="O92" s="1150"/>
      <c r="P92" s="2617"/>
      <c r="Q92" s="502"/>
    </row>
    <row r="93" spans="1:17" ht="15.75" thickBot="1">
      <c r="A93" s="532"/>
      <c r="B93" s="541"/>
      <c r="C93" s="558"/>
      <c r="D93" s="534"/>
      <c r="E93" s="534"/>
      <c r="F93" s="534"/>
      <c r="G93" s="534"/>
      <c r="H93" s="534"/>
      <c r="I93" s="534"/>
      <c r="J93" s="534"/>
      <c r="K93" s="534"/>
      <c r="L93" s="534"/>
      <c r="M93" s="535"/>
      <c r="N93" s="1151"/>
      <c r="O93" s="1151"/>
      <c r="P93" s="2617"/>
      <c r="Q93" s="502"/>
    </row>
    <row r="94" spans="1:17" ht="15.75" thickTop="1">
      <c r="A94" s="532"/>
      <c r="B94" s="536">
        <f>B29</f>
        <v>111</v>
      </c>
      <c r="C94" s="552"/>
      <c r="D94" s="552"/>
      <c r="E94" s="552"/>
      <c r="F94" s="552"/>
      <c r="G94" s="581"/>
      <c r="H94" s="581"/>
      <c r="I94" s="581"/>
      <c r="J94" s="581"/>
      <c r="K94" s="582"/>
      <c r="L94" s="583"/>
      <c r="M94" s="584"/>
      <c r="N94" s="1150"/>
      <c r="O94" s="1150"/>
      <c r="P94" s="2617"/>
      <c r="Q94" s="502"/>
    </row>
    <row r="95" spans="1:17" ht="15.75" thickBot="1">
      <c r="A95" s="532"/>
      <c r="B95" s="541"/>
      <c r="C95" s="558"/>
      <c r="D95" s="558"/>
      <c r="E95" s="558"/>
      <c r="F95" s="558"/>
      <c r="G95" s="534"/>
      <c r="H95" s="534"/>
      <c r="I95" s="534"/>
      <c r="J95" s="534"/>
      <c r="K95" s="534"/>
      <c r="L95" s="534"/>
      <c r="M95" s="535"/>
      <c r="N95" s="1151"/>
      <c r="O95" s="1151"/>
      <c r="P95" s="2617"/>
      <c r="Q95" s="502"/>
    </row>
    <row r="96" spans="1:17" ht="15.75" thickTop="1">
      <c r="A96" s="532"/>
      <c r="B96" s="536">
        <f>B30</f>
        <v>111</v>
      </c>
      <c r="C96" s="552"/>
      <c r="D96" s="552"/>
      <c r="E96" s="552"/>
      <c r="F96" s="552"/>
      <c r="G96" s="581"/>
      <c r="H96" s="581"/>
      <c r="I96" s="581"/>
      <c r="J96" s="581"/>
      <c r="K96" s="582"/>
      <c r="L96" s="583"/>
      <c r="M96" s="584"/>
      <c r="N96" s="1150"/>
      <c r="O96" s="1150"/>
      <c r="P96" s="2617"/>
      <c r="Q96" s="502"/>
    </row>
    <row r="97" spans="1:17" ht="15.75" thickBot="1">
      <c r="A97" s="532"/>
      <c r="B97" s="541"/>
      <c r="C97" s="568"/>
      <c r="D97" s="568"/>
      <c r="E97" s="568"/>
      <c r="F97" s="568"/>
      <c r="G97" s="534"/>
      <c r="H97" s="534"/>
      <c r="I97" s="534"/>
      <c r="J97" s="534"/>
      <c r="K97" s="534"/>
      <c r="L97" s="534"/>
      <c r="M97" s="535"/>
      <c r="N97" s="1151"/>
      <c r="O97" s="1151"/>
      <c r="P97" s="2617"/>
      <c r="Q97" s="502"/>
    </row>
    <row r="98" spans="1:17" ht="15.75" thickTop="1">
      <c r="A98" s="532"/>
      <c r="B98" s="544">
        <f>B31</f>
        <v>111</v>
      </c>
      <c r="C98" s="585"/>
      <c r="D98" s="585"/>
      <c r="E98" s="585"/>
      <c r="F98" s="585"/>
      <c r="G98" s="585"/>
      <c r="H98" s="585"/>
      <c r="I98" s="585"/>
      <c r="J98" s="585"/>
      <c r="K98" s="586"/>
      <c r="L98" s="587"/>
      <c r="M98" s="588"/>
      <c r="N98" s="1150"/>
      <c r="O98" s="1150"/>
      <c r="P98" s="2617"/>
      <c r="Q98" s="502"/>
    </row>
    <row r="99" spans="1:17" ht="15.75" thickBot="1">
      <c r="A99" s="2623"/>
      <c r="B99" s="567"/>
      <c r="C99" s="589"/>
      <c r="D99" s="589"/>
      <c r="E99" s="589"/>
      <c r="F99" s="589"/>
      <c r="G99" s="589"/>
      <c r="H99" s="589"/>
      <c r="I99" s="589"/>
      <c r="J99" s="589"/>
      <c r="K99" s="589"/>
      <c r="L99" s="589"/>
      <c r="M99" s="590"/>
      <c r="N99" s="1151"/>
      <c r="O99" s="1151"/>
      <c r="P99" s="2617"/>
      <c r="Q99" s="502"/>
    </row>
    <row r="100" spans="1:17">
      <c r="A100" s="525" t="s">
        <v>2547</v>
      </c>
      <c r="B100" s="526" t="s">
        <v>2596</v>
      </c>
      <c r="C100" s="2944" t="s">
        <v>3246</v>
      </c>
      <c r="D100" s="2944" t="s">
        <v>3247</v>
      </c>
      <c r="E100" s="2944" t="s">
        <v>3248</v>
      </c>
      <c r="F100" s="2944" t="s">
        <v>3249</v>
      </c>
      <c r="G100" s="528"/>
      <c r="H100" s="528"/>
      <c r="I100" s="528"/>
      <c r="J100" s="528"/>
      <c r="K100" s="529"/>
      <c r="L100" s="530"/>
      <c r="M100" s="531"/>
      <c r="N100" s="1150"/>
      <c r="O100" s="1150"/>
      <c r="P100" s="2617"/>
      <c r="Q100" s="502"/>
    </row>
    <row r="101" spans="1:17" ht="15.75" thickBot="1">
      <c r="A101" s="532"/>
      <c r="B101" s="541"/>
      <c r="C101" s="542">
        <v>100</v>
      </c>
      <c r="D101" s="542">
        <f t="shared" ref="D101:M101" si="26">C101-$K32</f>
        <v>90</v>
      </c>
      <c r="E101" s="542">
        <f t="shared" si="26"/>
        <v>80</v>
      </c>
      <c r="F101" s="542">
        <f t="shared" si="26"/>
        <v>70</v>
      </c>
      <c r="G101" s="542">
        <f t="shared" si="26"/>
        <v>60</v>
      </c>
      <c r="H101" s="542">
        <f t="shared" si="26"/>
        <v>50</v>
      </c>
      <c r="I101" s="542">
        <f t="shared" si="26"/>
        <v>40</v>
      </c>
      <c r="J101" s="542">
        <f t="shared" si="26"/>
        <v>30</v>
      </c>
      <c r="K101" s="542">
        <f t="shared" si="26"/>
        <v>20</v>
      </c>
      <c r="L101" s="542">
        <f t="shared" si="26"/>
        <v>10</v>
      </c>
      <c r="M101" s="542">
        <f t="shared" si="26"/>
        <v>0</v>
      </c>
      <c r="N101" s="1151"/>
      <c r="O101" s="1151"/>
      <c r="P101" s="2617"/>
      <c r="Q101" s="502"/>
    </row>
    <row r="102" spans="1:17" ht="29.25" thickTop="1">
      <c r="A102" s="532"/>
      <c r="B102" s="536" t="s">
        <v>2597</v>
      </c>
      <c r="C102" s="576" t="str">
        <f>C103&amp;"(含)"&amp;"-"&amp;D103</f>
        <v>0(含)-10000</v>
      </c>
      <c r="D102" s="576" t="str">
        <f t="shared" ref="D102:L102" si="27">D103&amp;"(含)"&amp;"-"&amp;E103</f>
        <v>10000(含)-20000</v>
      </c>
      <c r="E102" s="576" t="str">
        <f t="shared" si="27"/>
        <v>20000(含)-30000</v>
      </c>
      <c r="F102" s="576" t="str">
        <f t="shared" si="27"/>
        <v>30000(含)-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9"/>
      <c r="O102" s="1149"/>
      <c r="P102" s="2617"/>
      <c r="Q102" s="502"/>
    </row>
    <row r="103" spans="1:17" s="469" customFormat="1">
      <c r="A103" s="591"/>
      <c r="B103" s="592"/>
      <c r="C103" s="593">
        <v>0</v>
      </c>
      <c r="D103" s="593">
        <v>10000</v>
      </c>
      <c r="E103" s="593">
        <v>20000</v>
      </c>
      <c r="F103" s="593">
        <v>30000</v>
      </c>
      <c r="G103" s="593"/>
      <c r="H103" s="593"/>
      <c r="I103" s="593"/>
      <c r="J103" s="594"/>
      <c r="K103" s="594"/>
      <c r="L103" s="595"/>
      <c r="M103" s="596"/>
      <c r="N103" s="1152"/>
      <c r="O103" s="1152"/>
      <c r="P103" s="2618"/>
      <c r="Q103" s="557"/>
    </row>
    <row r="104" spans="1:17" s="469" customFormat="1" ht="15.75" thickBot="1">
      <c r="A104" s="551"/>
      <c r="B104" s="541"/>
      <c r="C104" s="558">
        <v>100</v>
      </c>
      <c r="D104" s="534">
        <v>101</v>
      </c>
      <c r="E104" s="534">
        <v>102</v>
      </c>
      <c r="F104" s="534">
        <v>103</v>
      </c>
      <c r="G104" s="534"/>
      <c r="H104" s="534"/>
      <c r="I104" s="534"/>
      <c r="J104" s="534"/>
      <c r="K104" s="534"/>
      <c r="L104" s="534"/>
      <c r="M104" s="534"/>
      <c r="N104" s="1151"/>
      <c r="O104" s="1151"/>
      <c r="P104" s="2618"/>
      <c r="Q104" s="557"/>
    </row>
    <row r="105" spans="1:17" ht="15" thickTop="1">
      <c r="A105" s="597"/>
      <c r="B105" s="536" t="s">
        <v>2598</v>
      </c>
      <c r="C105" s="2942" t="s">
        <v>3250</v>
      </c>
      <c r="D105" s="2942" t="s">
        <v>3251</v>
      </c>
      <c r="E105" s="2943" t="s">
        <v>3252</v>
      </c>
      <c r="F105" s="581"/>
      <c r="G105" s="581"/>
      <c r="H105" s="581"/>
      <c r="I105" s="581"/>
      <c r="J105" s="581"/>
      <c r="K105" s="582"/>
      <c r="L105" s="583"/>
      <c r="M105" s="584"/>
      <c r="N105" s="1150"/>
      <c r="O105" s="1150"/>
      <c r="P105" s="2617"/>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51"/>
      <c r="O106" s="1151"/>
      <c r="P106" s="2617"/>
      <c r="Q106" s="502"/>
    </row>
    <row r="107" spans="1:17" ht="15" thickTop="1">
      <c r="A107" s="597"/>
      <c r="B107" s="536" t="s">
        <v>2599</v>
      </c>
      <c r="C107" s="2943" t="s">
        <v>3253</v>
      </c>
      <c r="D107" s="2943" t="s">
        <v>3255</v>
      </c>
      <c r="E107" s="581"/>
      <c r="F107" s="581"/>
      <c r="G107" s="581"/>
      <c r="H107" s="581"/>
      <c r="I107" s="581"/>
      <c r="J107" s="581"/>
      <c r="K107" s="582"/>
      <c r="L107" s="583"/>
      <c r="M107" s="584"/>
      <c r="N107" s="1150"/>
      <c r="O107" s="1150"/>
      <c r="P107" s="2617"/>
      <c r="Q107" s="502"/>
    </row>
    <row r="108" spans="1:17" ht="15.75" thickBot="1">
      <c r="A108" s="532"/>
      <c r="B108" s="541"/>
      <c r="C108" s="542">
        <v>100</v>
      </c>
      <c r="D108" s="542">
        <f t="shared" ref="D108:M108" si="29">C108-$K35</f>
        <v>98</v>
      </c>
      <c r="E108" s="542">
        <f t="shared" si="29"/>
        <v>96</v>
      </c>
      <c r="F108" s="542">
        <f t="shared" si="29"/>
        <v>94</v>
      </c>
      <c r="G108" s="542">
        <f t="shared" si="29"/>
        <v>92</v>
      </c>
      <c r="H108" s="542">
        <f t="shared" si="29"/>
        <v>90</v>
      </c>
      <c r="I108" s="542">
        <f t="shared" si="29"/>
        <v>88</v>
      </c>
      <c r="J108" s="542">
        <f t="shared" si="29"/>
        <v>86</v>
      </c>
      <c r="K108" s="542">
        <f t="shared" si="29"/>
        <v>84</v>
      </c>
      <c r="L108" s="542">
        <f t="shared" si="29"/>
        <v>82</v>
      </c>
      <c r="M108" s="542">
        <f t="shared" si="29"/>
        <v>80</v>
      </c>
      <c r="N108" s="1151"/>
      <c r="O108" s="1151"/>
      <c r="P108" s="2617"/>
      <c r="Q108" s="502"/>
    </row>
    <row r="109" spans="1:17" ht="15" thickTop="1">
      <c r="A109" s="597"/>
      <c r="B109" s="536" t="s">
        <v>2600</v>
      </c>
      <c r="C109" s="2942" t="s">
        <v>3256</v>
      </c>
      <c r="D109" s="2942" t="s">
        <v>3257</v>
      </c>
      <c r="E109" s="2942" t="s">
        <v>3258</v>
      </c>
      <c r="F109" s="2943" t="s">
        <v>3259</v>
      </c>
      <c r="G109" s="581"/>
      <c r="H109" s="581"/>
      <c r="I109" s="581"/>
      <c r="J109" s="581"/>
      <c r="K109" s="582"/>
      <c r="L109" s="583"/>
      <c r="M109" s="584"/>
      <c r="N109" s="1150"/>
      <c r="O109" s="1150"/>
      <c r="P109" s="2617"/>
      <c r="Q109" s="502"/>
    </row>
    <row r="110" spans="1:17" ht="15.75"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51"/>
      <c r="O110" s="1151"/>
      <c r="P110" s="2617"/>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18"/>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18"/>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52"/>
      <c r="O113" s="1152"/>
      <c r="P113" s="2618"/>
      <c r="Q113" s="557"/>
    </row>
    <row r="114" spans="1:17" ht="15" thickTop="1">
      <c r="A114" s="597"/>
      <c r="B114" s="536" t="s">
        <v>2601</v>
      </c>
      <c r="C114" s="2942" t="s">
        <v>3260</v>
      </c>
      <c r="D114" s="2942" t="s">
        <v>3261</v>
      </c>
      <c r="E114" s="581"/>
      <c r="F114" s="581"/>
      <c r="G114" s="581"/>
      <c r="H114" s="581"/>
      <c r="I114" s="581"/>
      <c r="J114" s="581"/>
      <c r="K114" s="582"/>
      <c r="L114" s="583"/>
      <c r="M114" s="584"/>
      <c r="N114" s="1150"/>
      <c r="O114" s="1150"/>
      <c r="P114" s="2617"/>
      <c r="Q114" s="502"/>
    </row>
    <row r="115" spans="1:17" ht="15.75"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51"/>
      <c r="O115" s="1151"/>
      <c r="P115" s="2617"/>
      <c r="Q115" s="502"/>
    </row>
    <row r="116" spans="1:17" ht="15" thickTop="1">
      <c r="A116" s="597"/>
      <c r="B116" s="536" t="s">
        <v>2602</v>
      </c>
      <c r="C116" s="2942" t="s">
        <v>3262</v>
      </c>
      <c r="D116" s="2942" t="s">
        <v>3263</v>
      </c>
      <c r="E116" s="2942" t="s">
        <v>3264</v>
      </c>
      <c r="F116" s="2942" t="s">
        <v>3265</v>
      </c>
      <c r="G116" s="2942" t="s">
        <v>3266</v>
      </c>
      <c r="H116" s="581"/>
      <c r="I116" s="581"/>
      <c r="J116" s="581"/>
      <c r="K116" s="582"/>
      <c r="L116" s="583"/>
      <c r="M116" s="584"/>
      <c r="N116" s="1150"/>
      <c r="O116" s="1150"/>
      <c r="P116" s="2617"/>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51"/>
      <c r="O117" s="1151"/>
      <c r="P117" s="2617"/>
      <c r="Q117" s="502"/>
    </row>
    <row r="118" spans="1:17" ht="15" thickTop="1">
      <c r="A118" s="597"/>
      <c r="B118" s="536" t="s">
        <v>2603</v>
      </c>
      <c r="C118" s="581"/>
      <c r="D118" s="581"/>
      <c r="E118" s="581"/>
      <c r="F118" s="581"/>
      <c r="G118" s="581"/>
      <c r="H118" s="581"/>
      <c r="I118" s="581"/>
      <c r="J118" s="581"/>
      <c r="K118" s="582"/>
      <c r="L118" s="583"/>
      <c r="M118" s="584"/>
      <c r="N118" s="1150"/>
      <c r="O118" s="1150"/>
      <c r="P118" s="2617"/>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617"/>
      <c r="Q119" s="502"/>
    </row>
    <row r="120" spans="1:17" s="469" customFormat="1" ht="28.5" thickTop="1">
      <c r="A120" s="591"/>
      <c r="B120" s="536" t="s">
        <v>2558</v>
      </c>
      <c r="C120" s="552"/>
      <c r="D120" s="552"/>
      <c r="E120" s="552"/>
      <c r="F120" s="552"/>
      <c r="G120" s="552"/>
      <c r="H120" s="552"/>
      <c r="I120" s="552"/>
      <c r="J120" s="552"/>
      <c r="K120" s="552"/>
      <c r="L120" s="578"/>
      <c r="M120" s="579"/>
      <c r="N120" s="1152"/>
      <c r="O120" s="1152"/>
      <c r="P120" s="2618"/>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18"/>
      <c r="Q121" s="557"/>
    </row>
    <row r="122" spans="1:17" ht="15" thickTop="1">
      <c r="A122" s="597"/>
      <c r="B122" s="536" t="s">
        <v>2604</v>
      </c>
      <c r="C122" s="2942" t="s">
        <v>3256</v>
      </c>
      <c r="D122" s="2942" t="s">
        <v>3257</v>
      </c>
      <c r="E122" s="2942" t="s">
        <v>3258</v>
      </c>
      <c r="F122" s="2943" t="s">
        <v>3259</v>
      </c>
      <c r="G122" s="581"/>
      <c r="H122" s="581"/>
      <c r="I122" s="581"/>
      <c r="J122" s="581"/>
      <c r="K122" s="582"/>
      <c r="L122" s="583"/>
      <c r="M122" s="584"/>
      <c r="N122" s="1150"/>
      <c r="O122" s="1150"/>
      <c r="P122" s="2617"/>
      <c r="Q122" s="502"/>
    </row>
    <row r="123" spans="1:17" ht="15.75" thickBot="1">
      <c r="A123" s="532"/>
      <c r="B123" s="541"/>
      <c r="C123" s="542">
        <v>100</v>
      </c>
      <c r="D123" s="542">
        <f t="shared" ref="D123:M123" si="33">C123-$K42</f>
        <v>98</v>
      </c>
      <c r="E123" s="542">
        <f t="shared" si="33"/>
        <v>96</v>
      </c>
      <c r="F123" s="542">
        <f t="shared" si="33"/>
        <v>94</v>
      </c>
      <c r="G123" s="542">
        <f t="shared" si="33"/>
        <v>92</v>
      </c>
      <c r="H123" s="542">
        <f t="shared" si="33"/>
        <v>90</v>
      </c>
      <c r="I123" s="542">
        <f t="shared" si="33"/>
        <v>88</v>
      </c>
      <c r="J123" s="542">
        <f t="shared" si="33"/>
        <v>86</v>
      </c>
      <c r="K123" s="542">
        <f t="shared" si="33"/>
        <v>84</v>
      </c>
      <c r="L123" s="542">
        <f t="shared" si="33"/>
        <v>82</v>
      </c>
      <c r="M123" s="542">
        <f t="shared" si="33"/>
        <v>80</v>
      </c>
      <c r="N123" s="1151"/>
      <c r="O123" s="1151"/>
      <c r="P123" s="2617"/>
      <c r="Q123" s="502"/>
    </row>
    <row r="124" spans="1:17" ht="15" thickTop="1">
      <c r="A124" s="597"/>
      <c r="B124" s="536" t="s">
        <v>2605</v>
      </c>
      <c r="C124" s="576" t="s">
        <v>2581</v>
      </c>
      <c r="D124" s="576" t="s">
        <v>2582</v>
      </c>
      <c r="E124" s="576" t="s">
        <v>2583</v>
      </c>
      <c r="F124" s="576" t="s">
        <v>2584</v>
      </c>
      <c r="G124" s="576" t="s">
        <v>2585</v>
      </c>
      <c r="H124" s="537"/>
      <c r="I124" s="537"/>
      <c r="J124" s="537"/>
      <c r="K124" s="538"/>
      <c r="L124" s="539"/>
      <c r="M124" s="540"/>
      <c r="N124" s="1150"/>
      <c r="O124" s="1150"/>
      <c r="P124" s="2618"/>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1"/>
      <c r="O125" s="1151"/>
      <c r="P125" s="2617"/>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18"/>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18"/>
      <c r="Q127" s="557"/>
    </row>
    <row r="128" spans="1:17" ht="15" thickTop="1">
      <c r="A128" s="597"/>
      <c r="B128" s="536">
        <f>B45</f>
        <v>111</v>
      </c>
      <c r="C128" s="552"/>
      <c r="D128" s="552"/>
      <c r="E128" s="552"/>
      <c r="F128" s="552"/>
      <c r="G128" s="581"/>
      <c r="H128" s="581"/>
      <c r="I128" s="581"/>
      <c r="J128" s="581"/>
      <c r="K128" s="582"/>
      <c r="L128" s="583"/>
      <c r="M128" s="584"/>
      <c r="N128" s="1150"/>
      <c r="O128" s="1150"/>
      <c r="P128" s="2617"/>
      <c r="Q128" s="502"/>
    </row>
    <row r="129" spans="1:17" ht="15.75" thickBot="1">
      <c r="A129" s="532"/>
      <c r="B129" s="541"/>
      <c r="C129" s="558"/>
      <c r="D129" s="558"/>
      <c r="E129" s="558"/>
      <c r="F129" s="558"/>
      <c r="G129" s="534"/>
      <c r="H129" s="534"/>
      <c r="I129" s="534"/>
      <c r="J129" s="534"/>
      <c r="K129" s="534"/>
      <c r="L129" s="534"/>
      <c r="M129" s="535"/>
      <c r="N129" s="1151"/>
      <c r="O129" s="1151"/>
      <c r="P129" s="2617"/>
      <c r="Q129" s="502"/>
    </row>
    <row r="130" spans="1:17" ht="15" thickTop="1">
      <c r="A130" s="597"/>
      <c r="B130" s="544">
        <f>B46</f>
        <v>111</v>
      </c>
      <c r="C130" s="552"/>
      <c r="D130" s="552"/>
      <c r="E130" s="552"/>
      <c r="F130" s="552"/>
      <c r="G130" s="585"/>
      <c r="H130" s="585"/>
      <c r="I130" s="585"/>
      <c r="J130" s="585"/>
      <c r="K130" s="521"/>
      <c r="L130" s="522"/>
      <c r="M130" s="588"/>
      <c r="N130" s="1150"/>
      <c r="O130" s="1150"/>
      <c r="P130" s="2617"/>
      <c r="Q130" s="502"/>
    </row>
    <row r="131" spans="1:17" ht="15.75" thickBot="1">
      <c r="A131" s="2623"/>
      <c r="B131" s="567"/>
      <c r="C131" s="568"/>
      <c r="D131" s="568"/>
      <c r="E131" s="568"/>
      <c r="F131" s="568"/>
      <c r="G131" s="589"/>
      <c r="H131" s="589"/>
      <c r="I131" s="589"/>
      <c r="J131" s="589"/>
      <c r="K131" s="589"/>
      <c r="L131" s="589"/>
      <c r="M131" s="590"/>
      <c r="N131" s="1151"/>
      <c r="O131" s="1151"/>
      <c r="P131" s="2617"/>
      <c r="Q131" s="502"/>
    </row>
    <row r="136" spans="1:17" ht="15" thickBot="1">
      <c r="B136" s="2624" t="s">
        <v>2606</v>
      </c>
    </row>
    <row r="137" spans="1:17" ht="15">
      <c r="B137" s="2625" t="s">
        <v>2607</v>
      </c>
      <c r="C137" s="2626"/>
      <c r="D137" s="2626"/>
      <c r="E137" s="2626"/>
      <c r="F137" s="2626"/>
      <c r="G137" s="2627"/>
      <c r="H137" s="2628"/>
      <c r="I137" s="2629" t="s">
        <v>2608</v>
      </c>
      <c r="J137" s="2626"/>
      <c r="K137" s="2630"/>
    </row>
    <row r="138" spans="1:17" ht="15">
      <c r="B138" s="2631"/>
      <c r="C138" s="144" t="s">
        <v>2609</v>
      </c>
      <c r="D138" s="144" t="s">
        <v>2610</v>
      </c>
      <c r="E138" s="2632" t="s">
        <v>2611</v>
      </c>
      <c r="F138" s="2633" t="s">
        <v>2612</v>
      </c>
      <c r="G138" s="144" t="s">
        <v>2610</v>
      </c>
      <c r="H138" s="145" t="s">
        <v>2611</v>
      </c>
      <c r="I138" s="2634"/>
      <c r="J138" s="144" t="s">
        <v>2613</v>
      </c>
      <c r="K138" s="145" t="s">
        <v>2614</v>
      </c>
    </row>
    <row r="139" spans="1:17" ht="15">
      <c r="B139" s="1082">
        <v>6</v>
      </c>
      <c r="C139" s="1083">
        <v>96</v>
      </c>
      <c r="D139" s="2635" t="s">
        <v>2615</v>
      </c>
      <c r="E139" s="1084">
        <v>100</v>
      </c>
      <c r="F139" s="1085">
        <v>102.5</v>
      </c>
      <c r="G139" s="2635" t="s">
        <v>2615</v>
      </c>
      <c r="H139" s="1086">
        <v>105</v>
      </c>
      <c r="I139" s="2636" t="s">
        <v>2616</v>
      </c>
      <c r="J139" s="1083">
        <v>20</v>
      </c>
      <c r="K139" s="1087">
        <f>C145/(J139-2)</f>
        <v>4.0555555555555553E-3</v>
      </c>
    </row>
    <row r="140" spans="1:17" ht="15">
      <c r="B140" s="1088">
        <v>5</v>
      </c>
      <c r="C140" s="1089">
        <v>100</v>
      </c>
      <c r="D140" s="1089"/>
      <c r="E140" s="1090"/>
      <c r="F140" s="1091">
        <v>102</v>
      </c>
      <c r="G140" s="1089"/>
      <c r="H140" s="1092"/>
      <c r="I140" s="2637" t="s">
        <v>2617</v>
      </c>
      <c r="J140" s="313">
        <f>ROUNDUP((J139-1)/2,0)</f>
        <v>10</v>
      </c>
      <c r="K140" s="1093">
        <v>100</v>
      </c>
    </row>
    <row r="141" spans="1:17" ht="15">
      <c r="B141" s="1088">
        <v>4</v>
      </c>
      <c r="C141" s="1089">
        <v>102</v>
      </c>
      <c r="D141" s="1089"/>
      <c r="E141" s="1090"/>
      <c r="F141" s="1091">
        <v>101.5</v>
      </c>
      <c r="G141" s="1089"/>
      <c r="H141" s="1092"/>
      <c r="I141" s="2637" t="s">
        <v>2618</v>
      </c>
      <c r="J141" s="313">
        <v>1</v>
      </c>
      <c r="K141" s="1094">
        <f>ROUND(100+(J141-J140)*K139*100,1)</f>
        <v>96.4</v>
      </c>
    </row>
    <row r="142" spans="1:17" ht="15">
      <c r="B142" s="1088">
        <v>3</v>
      </c>
      <c r="C142" s="1089">
        <v>103</v>
      </c>
      <c r="D142" s="1089"/>
      <c r="E142" s="1090"/>
      <c r="F142" s="1091">
        <v>101</v>
      </c>
      <c r="G142" s="1089"/>
      <c r="H142" s="1092"/>
      <c r="I142" s="2637" t="s">
        <v>2619</v>
      </c>
      <c r="J142" s="313">
        <f>J139</f>
        <v>20</v>
      </c>
      <c r="K142" s="1095">
        <v>95</v>
      </c>
    </row>
    <row r="143" spans="1:17" ht="15">
      <c r="B143" s="1088">
        <v>2</v>
      </c>
      <c r="C143" s="1089">
        <v>100</v>
      </c>
      <c r="D143" s="1089"/>
      <c r="E143" s="1090"/>
      <c r="F143" s="1091">
        <v>100.5</v>
      </c>
      <c r="G143" s="1089"/>
      <c r="H143" s="1092"/>
      <c r="I143" s="2637" t="s">
        <v>2620</v>
      </c>
      <c r="J143" s="1089">
        <v>15</v>
      </c>
      <c r="K143" s="1094">
        <f>ROUND(100+(J143-J140)*K139*100,1)</f>
        <v>102</v>
      </c>
    </row>
    <row r="144" spans="1:17" ht="15">
      <c r="B144" s="1088">
        <v>1</v>
      </c>
      <c r="C144" s="1089">
        <v>98</v>
      </c>
      <c r="D144" s="2638" t="s">
        <v>2621</v>
      </c>
      <c r="E144" s="1090">
        <v>102</v>
      </c>
      <c r="F144" s="1096">
        <v>100</v>
      </c>
      <c r="G144" s="2638" t="s">
        <v>2621</v>
      </c>
      <c r="H144" s="1092">
        <v>105</v>
      </c>
      <c r="I144" s="2637" t="s">
        <v>2620</v>
      </c>
      <c r="J144" s="1089">
        <v>18</v>
      </c>
      <c r="K144" s="1094">
        <f>ROUND(100+(J144-J140)*K139*100,1)</f>
        <v>103.2</v>
      </c>
    </row>
    <row r="145" spans="2:11" ht="15.75" thickBot="1">
      <c r="B145" s="2639" t="s">
        <v>2622</v>
      </c>
      <c r="C145" s="1097">
        <f>ROUND(MAX(C139:C144)/MIN(C139:C144)-1,3)</f>
        <v>7.2999999999999995E-2</v>
      </c>
      <c r="D145" s="1098"/>
      <c r="E145" s="1098"/>
      <c r="F145" s="2640" t="s">
        <v>2623</v>
      </c>
      <c r="G145" s="2641"/>
      <c r="H145" s="2642"/>
      <c r="I145" s="2643" t="s">
        <v>2620</v>
      </c>
      <c r="J145" s="1099">
        <v>8</v>
      </c>
      <c r="K145" s="1100">
        <f>ROUND(100+(J145-J140)*K139*100,1)</f>
        <v>99.2</v>
      </c>
    </row>
    <row r="147" spans="2:11">
      <c r="B147" s="2624" t="s">
        <v>2624</v>
      </c>
    </row>
    <row r="148" spans="2:11">
      <c r="B148" s="2624" t="s">
        <v>2625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33" sqref="I3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78"/>
      <c r="C1" s="1832" t="s">
        <v>3170</v>
      </c>
      <c r="D1" s="3064" t="s">
        <v>3535</v>
      </c>
      <c r="E1" s="1816" t="s">
        <v>1387</v>
      </c>
      <c r="F1" s="1279">
        <f ca="1">J53</f>
        <v>38.950000000000003</v>
      </c>
      <c r="G1" s="1831">
        <f>MATCH(C1,'数据-取费表'!A6:A16,0)+5</f>
        <v>7</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1515</v>
      </c>
      <c r="B2" s="1839">
        <f ca="1">C40+J29+L46</f>
        <v>2126</v>
      </c>
      <c r="C2" s="1840" t="s">
        <v>1516</v>
      </c>
      <c r="D2" s="1840"/>
      <c r="E2" s="1841"/>
      <c r="F2" s="1842"/>
      <c r="G2" s="1843"/>
      <c r="H2" s="1835"/>
      <c r="I2" s="1835"/>
      <c r="J2" s="1835"/>
      <c r="K2" s="1836"/>
      <c r="L2" s="1835"/>
      <c r="M2" s="1835"/>
    </row>
    <row r="3" spans="1:37" ht="18" customHeight="1" thickBot="1">
      <c r="A3" s="1844" t="s">
        <v>1517</v>
      </c>
      <c r="B3" s="1845">
        <f ca="1">IF(ISERROR(B2*10000/F43),0,ROUND(B2*10000/F43,0))</f>
        <v>4487</v>
      </c>
      <c r="C3" s="1840" t="s">
        <v>1518</v>
      </c>
      <c r="D3" s="1840"/>
      <c r="E3" s="1841"/>
      <c r="F3" s="1842"/>
      <c r="G3" s="1843"/>
      <c r="H3" s="740"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8">
        <f ca="1">C6+C10+C12</f>
        <v>156</v>
      </c>
      <c r="D5" s="1817" t="s">
        <v>1402</v>
      </c>
      <c r="E5" s="1289"/>
      <c r="F5" s="1290"/>
      <c r="G5" s="1846"/>
      <c r="H5" s="342">
        <v>1</v>
      </c>
      <c r="I5" s="343" t="s">
        <v>1401</v>
      </c>
      <c r="J5" s="1288">
        <f ca="1">J6+J10+J12</f>
        <v>0</v>
      </c>
      <c r="K5" s="1817" t="s">
        <v>1402</v>
      </c>
      <c r="L5" s="1289"/>
      <c r="M5" s="1290"/>
    </row>
    <row r="6" spans="1:37" ht="18" customHeight="1">
      <c r="A6" s="1287" t="s">
        <v>1035</v>
      </c>
      <c r="B6" s="3326" t="s">
        <v>1403</v>
      </c>
      <c r="C6" s="1292">
        <f ca="1">ROUND(F6*F8*F7*(1-F9)/10000,0)</f>
        <v>156</v>
      </c>
      <c r="D6" s="162" t="s">
        <v>3014</v>
      </c>
      <c r="E6" s="345" t="s">
        <v>1405</v>
      </c>
      <c r="F6" s="346">
        <f ca="1">INDIRECT("'数据-取费表'!u"&amp;$G$1)</f>
        <v>1</v>
      </c>
      <c r="G6" s="1846"/>
      <c r="H6" s="1287" t="s">
        <v>1035</v>
      </c>
      <c r="I6" s="3326" t="s">
        <v>1403</v>
      </c>
      <c r="J6" s="344">
        <f ca="1">ROUND(M6*M8*M7*(1-M9)/10000,0)</f>
        <v>0</v>
      </c>
      <c r="K6" s="162" t="s">
        <v>3013</v>
      </c>
      <c r="L6" s="345" t="s">
        <v>1405</v>
      </c>
      <c r="M6" s="346">
        <f ca="1">INDIRECT("'数据-取费表'!z"&amp;$G$1)</f>
        <v>0</v>
      </c>
    </row>
    <row r="7" spans="1:37" ht="18" customHeight="1">
      <c r="A7" s="1291"/>
      <c r="B7" s="3327"/>
      <c r="C7" s="1293"/>
      <c r="D7" s="350"/>
      <c r="E7" s="1294" t="s">
        <v>1406</v>
      </c>
      <c r="F7" s="346">
        <f ca="1">IF(INDIRECT("'数据-取费表'!ah"&amp;$G$1)="",INDIRECT("'数据-取费表'!k"&amp;$G$1),INDIRECT("'数据-取费表'!ah"&amp;$G$1))</f>
        <v>4738.6399999999994</v>
      </c>
      <c r="G7" s="1846"/>
      <c r="H7" s="347"/>
      <c r="I7" s="3327"/>
      <c r="J7" s="349"/>
      <c r="K7" s="350"/>
      <c r="L7" s="345" t="s">
        <v>1406</v>
      </c>
      <c r="M7" s="346">
        <f ca="1">F7</f>
        <v>4738.6399999999994</v>
      </c>
    </row>
    <row r="8" spans="1:37" ht="18" customHeight="1">
      <c r="A8" s="347"/>
      <c r="B8" s="3327"/>
      <c r="C8" s="349"/>
      <c r="D8" s="350"/>
      <c r="E8" s="345" t="s">
        <v>1407</v>
      </c>
      <c r="F8" s="346">
        <f ca="1">INDIRECT("'数据-取费表'!ai"&amp;$G$1)</f>
        <v>365</v>
      </c>
      <c r="G8" s="1846"/>
      <c r="H8" s="347"/>
      <c r="I8" s="3327"/>
      <c r="J8" s="349"/>
      <c r="K8" s="350"/>
      <c r="L8" s="345" t="s">
        <v>1407</v>
      </c>
      <c r="M8" s="346">
        <f ca="1">INDIRECT("'数据-取费表'!ai"&amp;$G$1)</f>
        <v>365</v>
      </c>
    </row>
    <row r="9" spans="1:37" ht="18" customHeight="1">
      <c r="A9" s="347"/>
      <c r="B9" s="3328"/>
      <c r="C9" s="349"/>
      <c r="D9" s="350"/>
      <c r="E9" s="345" t="s">
        <v>1408</v>
      </c>
      <c r="F9" s="355">
        <f ca="1">INDIRECT("'数据-取费表'!w"&amp;$G$1)</f>
        <v>0.1</v>
      </c>
      <c r="G9" s="1846"/>
      <c r="H9" s="347"/>
      <c r="I9" s="3328"/>
      <c r="J9" s="349"/>
      <c r="K9" s="350"/>
      <c r="L9" s="356" t="s">
        <v>1408</v>
      </c>
      <c r="M9" s="357">
        <f ca="1">INDIRECT("'数据-取费表'!ab"&amp;$G$1)</f>
        <v>0</v>
      </c>
    </row>
    <row r="10" spans="1:37" ht="18" customHeight="1">
      <c r="A10" s="1287" t="s">
        <v>1039</v>
      </c>
      <c r="B10" s="1818" t="s">
        <v>1409</v>
      </c>
      <c r="C10" s="359">
        <f ca="1">ROUND(IF(F10="押一",C6/12*F11,IF(F10="押二",C6/12*2*F11,IF(F10="押三",C6/12*3*F11,C11*F11)))/10000,0)</f>
        <v>0</v>
      </c>
      <c r="D10" s="1819" t="s">
        <v>3023</v>
      </c>
      <c r="E10" s="356" t="s">
        <v>1410</v>
      </c>
      <c r="F10" s="3065" t="s">
        <v>3536</v>
      </c>
      <c r="G10" s="1846"/>
      <c r="H10" s="1287" t="s">
        <v>1039</v>
      </c>
      <c r="I10" s="1818" t="s">
        <v>1409</v>
      </c>
      <c r="J10" s="344">
        <f ca="1">ROUND(IF(M10="押一",J6/12*M11,IF(M10="押二",J6/12*2*M11,IF(M10="押三",J6/12*3*M11,J11*M11)))/10000,0)</f>
        <v>0</v>
      </c>
      <c r="K10" s="1819" t="s">
        <v>3022</v>
      </c>
      <c r="L10" s="356" t="s">
        <v>1410</v>
      </c>
      <c r="M10" s="1362" t="s">
        <v>1411</v>
      </c>
    </row>
    <row r="11" spans="1:37" ht="18" customHeight="1">
      <c r="A11" s="351"/>
      <c r="B11" s="1820" t="s">
        <v>1388</v>
      </c>
      <c r="C11" s="1176"/>
      <c r="D11" s="1821"/>
      <c r="E11" s="356" t="s">
        <v>1412</v>
      </c>
      <c r="F11" s="357">
        <f ca="1">'数据-取费表'!B39</f>
        <v>1.4999999999999999E-2</v>
      </c>
      <c r="G11" s="1846"/>
      <c r="H11" s="1295"/>
      <c r="I11" s="1820" t="s">
        <v>1388</v>
      </c>
      <c r="J11" s="1176"/>
      <c r="K11" s="744"/>
      <c r="L11" s="356"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3">
        <f ca="1">ROUND(C29*F13,0)</f>
        <v>1696</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9" t="s">
        <v>1034</v>
      </c>
      <c r="B14" s="345" t="s">
        <v>1417</v>
      </c>
      <c r="C14" s="361">
        <f ca="1">INDIRECT("'数据-取费表'!m"&amp;$G$1)+INDIRECT("'数据-取费表'!t"&amp;$G$1)</f>
        <v>1173</v>
      </c>
      <c r="D14" s="1795" t="s">
        <v>1418</v>
      </c>
      <c r="E14" s="1789"/>
      <c r="F14" s="362"/>
      <c r="G14" s="1846"/>
      <c r="H14" s="1199" t="s">
        <v>1035</v>
      </c>
      <c r="I14" s="345" t="s">
        <v>1419</v>
      </c>
      <c r="J14" s="24">
        <f ca="1">C29</f>
        <v>1696</v>
      </c>
      <c r="K14" s="15"/>
      <c r="L14" s="977"/>
      <c r="M14" s="978"/>
    </row>
    <row r="15" spans="1:37" s="1853" customFormat="1" ht="18" customHeight="1" thickBot="1">
      <c r="A15" s="1199" t="s">
        <v>1036</v>
      </c>
      <c r="B15" s="345" t="s">
        <v>1420</v>
      </c>
      <c r="C15" s="24">
        <f ca="1">ROUND(C14*F15,0)</f>
        <v>35</v>
      </c>
      <c r="D15" s="363" t="s">
        <v>1421</v>
      </c>
      <c r="E15" s="363" t="s">
        <v>1422</v>
      </c>
      <c r="F15" s="364">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1389</v>
      </c>
      <c r="B16" s="345" t="s">
        <v>1423</v>
      </c>
      <c r="C16" s="24">
        <f ca="1">ROUND(INDIRECT("'数据-取费表'!m"&amp;$G$1)*F16,0)</f>
        <v>0</v>
      </c>
      <c r="D16" s="345" t="s">
        <v>1421</v>
      </c>
      <c r="E16" s="345" t="s">
        <v>1422</v>
      </c>
      <c r="F16" s="365">
        <f ca="1">IF(INDIRECT("'数据-取费表'!c"&amp;$G$1)="住宅",'数据-取费表'!B34,0)</f>
        <v>0</v>
      </c>
      <c r="G16" s="1846"/>
      <c r="H16" s="1325" t="s">
        <v>1030</v>
      </c>
      <c r="I16" s="1326" t="s">
        <v>1424</v>
      </c>
      <c r="J16" s="353">
        <f ca="1">ROUND(J17+J22+J23+J24,0)</f>
        <v>45</v>
      </c>
      <c r="K16" s="1333" t="s">
        <v>1425</v>
      </c>
      <c r="L16" s="1334"/>
      <c r="M16" s="1290"/>
    </row>
    <row r="17" spans="1:37" s="1853" customFormat="1" ht="18" customHeight="1">
      <c r="A17" s="1199" t="s">
        <v>1390</v>
      </c>
      <c r="B17" s="345" t="s">
        <v>1426</v>
      </c>
      <c r="C17" s="24">
        <f ca="1">ROUND(F17*(F43+INDIRECT("'数据-取费表'!S"&amp;$G$1))/10000,0)</f>
        <v>112</v>
      </c>
      <c r="D17" s="345" t="s">
        <v>1427</v>
      </c>
      <c r="E17" s="345" t="s">
        <v>1428</v>
      </c>
      <c r="F17" s="26">
        <f>'数据-取费表'!B35</f>
        <v>200</v>
      </c>
      <c r="G17" s="1849"/>
      <c r="H17" s="1199" t="s">
        <v>1035</v>
      </c>
      <c r="I17" s="345" t="s">
        <v>1429</v>
      </c>
      <c r="J17" s="24">
        <f ca="1">ROUND(IF(项目基本情况!B11="自然人",J5*M17,J18+J19+J20),1)</f>
        <v>19.600000000000001</v>
      </c>
      <c r="K17" s="1795" t="s">
        <v>1430</v>
      </c>
      <c r="L17" s="1793"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1391</v>
      </c>
      <c r="B18" s="345" t="s">
        <v>1432</v>
      </c>
      <c r="C18" s="24">
        <f ca="1">ROUND(C14*F18,0)</f>
        <v>18</v>
      </c>
      <c r="D18" s="345" t="s">
        <v>1421</v>
      </c>
      <c r="E18" s="345" t="s">
        <v>1422</v>
      </c>
      <c r="F18" s="365">
        <f>'数据-取费表'!B36</f>
        <v>1.4999999999999999E-2</v>
      </c>
      <c r="G18" s="1849"/>
      <c r="H18" s="1199" t="s">
        <v>1034</v>
      </c>
      <c r="I18" s="345" t="s">
        <v>1433</v>
      </c>
      <c r="J18" s="24">
        <f ca="1">ROUND(J5*M18/(1+'数据-取费表'!C42),2)</f>
        <v>0</v>
      </c>
      <c r="K18" s="1793" t="s">
        <v>1434</v>
      </c>
      <c r="L18" s="345" t="s">
        <v>1422</v>
      </c>
      <c r="M18" s="365">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5" t="s">
        <v>1435</v>
      </c>
      <c r="C19" s="24">
        <f ca="1">SUM(C14:C18)</f>
        <v>1338</v>
      </c>
      <c r="D19" s="138" t="s">
        <v>1436</v>
      </c>
      <c r="E19" s="1813"/>
      <c r="F19" s="26"/>
      <c r="G19" s="1846"/>
      <c r="H19" s="1199" t="s">
        <v>1036</v>
      </c>
      <c r="I19" s="345" t="s">
        <v>1437</v>
      </c>
      <c r="J19" s="24">
        <f ca="1">IF(K19="按租金收入计税",ROUND(J5*M19,2),ROUND(C29*M19*0.7,2))</f>
        <v>14.25</v>
      </c>
      <c r="K19" s="1823" t="s">
        <v>1438</v>
      </c>
      <c r="L19" s="345" t="s">
        <v>1422</v>
      </c>
      <c r="M19" s="365">
        <f>IF(K19="按租金收入计税",'数据-取费表'!B51,'数据-取费表'!B50)</f>
        <v>1.2E-2</v>
      </c>
    </row>
    <row r="20" spans="1:37" s="1853" customFormat="1" ht="18" customHeight="1">
      <c r="A20" s="1199" t="s">
        <v>1039</v>
      </c>
      <c r="B20" s="345" t="s">
        <v>1439</v>
      </c>
      <c r="C20" s="24">
        <f ca="1">ROUND(C19*F20,0)</f>
        <v>27</v>
      </c>
      <c r="D20" s="367" t="s">
        <v>1440</v>
      </c>
      <c r="E20" s="345" t="s">
        <v>1422</v>
      </c>
      <c r="F20" s="365">
        <f>'数据-取费表'!B37</f>
        <v>0.02</v>
      </c>
      <c r="G20" s="1849"/>
      <c r="H20" s="1199" t="s">
        <v>1389</v>
      </c>
      <c r="I20" s="162" t="s">
        <v>1441</v>
      </c>
      <c r="J20" s="25">
        <f ca="1">ROUND(M20*M21/10000,2)</f>
        <v>5.35</v>
      </c>
      <c r="K20" s="368" t="s">
        <v>1442</v>
      </c>
      <c r="L20" s="345" t="s">
        <v>1443</v>
      </c>
      <c r="M20" s="369">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5" t="s">
        <v>1444</v>
      </c>
      <c r="C21" s="24" t="s">
        <v>18</v>
      </c>
      <c r="D21" s="367" t="s">
        <v>1445</v>
      </c>
      <c r="E21" s="345" t="s">
        <v>1446</v>
      </c>
      <c r="F21" s="365">
        <f>'数据-取费表'!B38</f>
        <v>0.02</v>
      </c>
      <c r="G21" s="1849"/>
      <c r="H21" s="370"/>
      <c r="I21" s="354"/>
      <c r="J21" s="29"/>
      <c r="K21" s="371"/>
      <c r="L21" s="345" t="s">
        <v>1447</v>
      </c>
      <c r="M21" s="346">
        <f ca="1">INDIRECT("'数据-取费表'!r"&amp;$G$1)</f>
        <v>4461.41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1813"/>
      <c r="F22" s="26"/>
      <c r="G22" s="1846"/>
      <c r="H22" s="1199" t="s">
        <v>1039</v>
      </c>
      <c r="I22" s="345" t="s">
        <v>1449</v>
      </c>
      <c r="J22" s="24">
        <f ca="1">ROUND(J14*M22,1)</f>
        <v>25.4</v>
      </c>
      <c r="K22" s="1793" t="s">
        <v>1450</v>
      </c>
      <c r="L22" s="345" t="s">
        <v>1422</v>
      </c>
      <c r="M22" s="372">
        <f ca="1">INDIRECT("'数据-取费表'!Ak"&amp;$G$1)</f>
        <v>1.4999999999999999E-2</v>
      </c>
    </row>
    <row r="23" spans="1:37" s="1853" customFormat="1" ht="18" customHeight="1">
      <c r="A23" s="1199" t="s">
        <v>1034</v>
      </c>
      <c r="B23" s="345" t="s">
        <v>1451</v>
      </c>
      <c r="C23" s="24">
        <f ca="1">IF('数据-取费表'!B22&lt;=1,ROUND(C19*F24*F23/2,0)+ROUND(C20*F24*F23/2,0),ROUND(C19*(POWER((1+F24),F23/2)-1),0)+ROUND(C20*(POWER((1+F24),F23/2)-1),0))</f>
        <v>65</v>
      </c>
      <c r="D23" s="373" t="str">
        <f>IF(F23&lt;=1,"(建造成本+管理费用)×利率×(建设周期÷2)","(建造成本+管理费用)×((1+利率)^(建设周期÷2)-1)")</f>
        <v>(建造成本+管理费用)×((1+利率)^(建设周期÷2)-1)</v>
      </c>
      <c r="E23" s="345" t="s">
        <v>1452</v>
      </c>
      <c r="F23" s="369">
        <f>'数据-取费表'!B20</f>
        <v>2</v>
      </c>
      <c r="G23" s="1849"/>
      <c r="H23" s="1199" t="s">
        <v>1075</v>
      </c>
      <c r="I23" s="345" t="s">
        <v>1453</v>
      </c>
      <c r="J23" s="24">
        <f ca="1">ROUND(J13*M23,1)</f>
        <v>0</v>
      </c>
      <c r="K23" s="1793" t="s">
        <v>1454</v>
      </c>
      <c r="L23" s="345" t="s">
        <v>1455</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9"/>
      <c r="H24" s="1335" t="s">
        <v>1393</v>
      </c>
      <c r="I24" s="1336" t="s">
        <v>1439</v>
      </c>
      <c r="J24" s="1337">
        <f ca="1">ROUND(J5*M24,1)</f>
        <v>0</v>
      </c>
      <c r="K24" s="1338" t="s">
        <v>1459</v>
      </c>
      <c r="L24" s="1336" t="s">
        <v>1455</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9" t="s">
        <v>1460</v>
      </c>
      <c r="B25" s="345" t="s">
        <v>1461</v>
      </c>
      <c r="C25" s="24"/>
      <c r="D25" s="138" t="s">
        <v>1462</v>
      </c>
      <c r="E25" s="1813"/>
      <c r="F25" s="26"/>
      <c r="G25" s="1846"/>
      <c r="H25" s="1325" t="s">
        <v>1031</v>
      </c>
      <c r="I25" s="1340" t="s">
        <v>1463</v>
      </c>
      <c r="J25" s="353">
        <f ca="1">J5-J16</f>
        <v>-45</v>
      </c>
      <c r="K25" s="1341" t="s">
        <v>1464</v>
      </c>
      <c r="L25" s="1342"/>
      <c r="M25" s="1343"/>
    </row>
    <row r="26" spans="1:37">
      <c r="A26" s="1199" t="s">
        <v>1034</v>
      </c>
      <c r="B26" s="345" t="s">
        <v>1465</v>
      </c>
      <c r="C26" s="24">
        <f ca="1">ROUND((C19+C20)*F26,0)</f>
        <v>137</v>
      </c>
      <c r="D26" s="367" t="s">
        <v>1466</v>
      </c>
      <c r="E26" s="356" t="s">
        <v>1467</v>
      </c>
      <c r="F26" s="355">
        <f ca="1">INDIRECT("'数据-取费表'!q"&amp;$G$1)</f>
        <v>0.1</v>
      </c>
      <c r="G26" s="1846"/>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199" t="s">
        <v>1036</v>
      </c>
      <c r="B27" s="345" t="s">
        <v>1471</v>
      </c>
      <c r="C27" s="24">
        <f ca="1">ROUND(F21*F26,4)</f>
        <v>2E-3</v>
      </c>
      <c r="D27" s="367" t="s">
        <v>1472</v>
      </c>
      <c r="E27" s="363"/>
      <c r="F27" s="364"/>
      <c r="G27" s="1846"/>
      <c r="H27" s="347"/>
      <c r="I27" s="348"/>
      <c r="J27" s="349"/>
      <c r="K27" s="376" t="s">
        <v>1473</v>
      </c>
      <c r="L27" s="345" t="s">
        <v>1474</v>
      </c>
      <c r="M27" s="377">
        <f ca="1">INDIRECT("'数据-取费表'!ag"&amp;$G$1)</f>
        <v>0</v>
      </c>
    </row>
    <row r="28" spans="1:37" s="1853" customFormat="1" ht="18" customHeight="1">
      <c r="A28" s="1199" t="s">
        <v>1037</v>
      </c>
      <c r="B28" s="345" t="s">
        <v>1475</v>
      </c>
      <c r="C28" s="24">
        <f>ROUND(F28/(1+'数据-取费表'!C42),4)</f>
        <v>5.33E-2</v>
      </c>
      <c r="D28" s="367" t="s">
        <v>1476</v>
      </c>
      <c r="E28" s="345" t="s">
        <v>1422</v>
      </c>
      <c r="F28" s="365">
        <f>'数据-取费表'!B41</f>
        <v>5.6000000000000001E-2</v>
      </c>
      <c r="G28" s="1849"/>
      <c r="H28" s="351"/>
      <c r="I28" s="352"/>
      <c r="J28" s="353"/>
      <c r="K28" s="371"/>
      <c r="L28" s="345" t="s">
        <v>1477</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1696</v>
      </c>
      <c r="D29" s="1338"/>
      <c r="E29" s="1336"/>
      <c r="F29" s="1339"/>
      <c r="G29" s="1849"/>
      <c r="H29" s="378" t="s">
        <v>1033</v>
      </c>
      <c r="I29" s="379" t="s">
        <v>1479</v>
      </c>
      <c r="J29" s="380">
        <f ca="1">ROUND(J26/(1+F40)^F41,0)</f>
        <v>0</v>
      </c>
      <c r="K29" s="381" t="s">
        <v>1480</v>
      </c>
      <c r="L29" s="382"/>
      <c r="M29" s="383">
        <f ca="1">INDIRECT("'数据-取费表'!k"&amp;$G$1)</f>
        <v>4738.6399999999994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3">
        <f ca="1">ROUND(C31+C36+C37+C38,0)</f>
        <v>62</v>
      </c>
      <c r="D30" s="1333" t="s">
        <v>1425</v>
      </c>
      <c r="E30" s="1334"/>
      <c r="F30" s="1290"/>
      <c r="G30" s="1846"/>
      <c r="H30" s="741"/>
      <c r="I30" s="742"/>
      <c r="J30" s="743"/>
      <c r="K30" s="744"/>
      <c r="L30" s="745"/>
      <c r="M30" s="746"/>
    </row>
    <row r="31" spans="1:37" ht="18" customHeight="1">
      <c r="A31" s="1199" t="s">
        <v>1035</v>
      </c>
      <c r="B31" s="345" t="s">
        <v>1429</v>
      </c>
      <c r="C31" s="24">
        <f ca="1">ROUND(IF(项目基本情况!B11="自然人",C5*F31,C32+C33+C34),1)</f>
        <v>32.4</v>
      </c>
      <c r="D31" s="1795" t="s">
        <v>1430</v>
      </c>
      <c r="E31" s="1793" t="s">
        <v>1481</v>
      </c>
      <c r="F31" s="366" t="str">
        <f ca="1">IF(项目基本情况!B11="企业","",IF(INDIRECT("'数据-取费表'!c"&amp;$G$1)="住宅",5%,IF(F6*F7*F8/12/(1+'数据-取费表'!C42)&gt;20000,12%,7%)))</f>
        <v/>
      </c>
      <c r="G31" s="1846"/>
      <c r="H31" s="741"/>
      <c r="I31" s="742"/>
      <c r="J31" s="743"/>
      <c r="K31" s="744"/>
      <c r="L31" s="745"/>
      <c r="M31" s="746"/>
    </row>
    <row r="32" spans="1:37" ht="18" customHeight="1">
      <c r="A32" s="1199" t="s">
        <v>1034</v>
      </c>
      <c r="B32" s="345" t="s">
        <v>1433</v>
      </c>
      <c r="C32" s="24">
        <f ca="1">IF(项目基本情况!B11="自然人","——",ROUND(C5*F32/(1+'数据-取费表'!C42),2))</f>
        <v>8.32</v>
      </c>
      <c r="D32" s="1793" t="s">
        <v>1434</v>
      </c>
      <c r="E32" s="345" t="s">
        <v>1422</v>
      </c>
      <c r="F32" s="375">
        <f>'数据-取费表'!B41</f>
        <v>5.6000000000000001E-2</v>
      </c>
      <c r="G32" s="1846"/>
      <c r="H32" s="741"/>
      <c r="I32" s="742"/>
      <c r="J32" s="743"/>
      <c r="K32" s="744"/>
      <c r="L32" s="745"/>
      <c r="M32" s="746"/>
    </row>
    <row r="33" spans="1:18" ht="18" customHeight="1">
      <c r="A33" s="1199" t="s">
        <v>1036</v>
      </c>
      <c r="B33" s="345" t="s">
        <v>1437</v>
      </c>
      <c r="C33" s="24">
        <f ca="1">IF(项目基本情况!B11="自然人","——",IF(D33="按租金收入计税",ROUND(C5*F33,2),IF(D33="按房产原值计税",ROUND(C29*F33*0.7,2),INDIRECT("'数据-取费表'!Aj"&amp;$G$1))))</f>
        <v>18.72</v>
      </c>
      <c r="D33" s="3066" t="s">
        <v>3150</v>
      </c>
      <c r="E33" s="345" t="s">
        <v>1422</v>
      </c>
      <c r="F33" s="365">
        <f>IF(D33="按票据","——",IF(D33="按租金收入计税",'数据-取费表'!B51,'数据-取费表'!B50))</f>
        <v>0.12</v>
      </c>
      <c r="G33" s="1846"/>
      <c r="H33" s="1854"/>
      <c r="I33" s="1855"/>
      <c r="J33" s="1856"/>
      <c r="K33" s="1857"/>
      <c r="L33" s="1854"/>
      <c r="M33" s="1854"/>
    </row>
    <row r="34" spans="1:18" ht="18" customHeight="1">
      <c r="A34" s="1287" t="s">
        <v>1389</v>
      </c>
      <c r="B34" s="162" t="s">
        <v>1441</v>
      </c>
      <c r="C34" s="25">
        <f ca="1">IF(项目基本情况!B11="自然人","——",ROUND(F34*F35/10000,2))</f>
        <v>5.35</v>
      </c>
      <c r="D34" s="368" t="s">
        <v>1442</v>
      </c>
      <c r="E34" s="345" t="s">
        <v>1443</v>
      </c>
      <c r="F34" s="369">
        <f>'数据-取费表'!B52</f>
        <v>12</v>
      </c>
      <c r="G34" s="1846"/>
      <c r="H34" s="741"/>
      <c r="I34" s="1855"/>
      <c r="J34" s="1856"/>
      <c r="K34" s="1858"/>
      <c r="L34" s="1859"/>
      <c r="M34" s="1859"/>
    </row>
    <row r="35" spans="1:18" ht="18" customHeight="1">
      <c r="A35" s="1349"/>
      <c r="B35" s="1347"/>
      <c r="C35" s="29"/>
      <c r="D35" s="371"/>
      <c r="E35" s="345" t="s">
        <v>1447</v>
      </c>
      <c r="F35" s="346">
        <f ca="1">INDIRECT("'数据-取费表'!r"&amp;$G$1)</f>
        <v>4461.41</v>
      </c>
      <c r="G35" s="1846"/>
      <c r="H35" s="741"/>
      <c r="I35" s="1855"/>
      <c r="J35" s="1856"/>
      <c r="K35" s="1857"/>
      <c r="L35" s="1854"/>
      <c r="M35" s="1854"/>
    </row>
    <row r="36" spans="1:18" ht="18" customHeight="1">
      <c r="A36" s="1348" t="s">
        <v>1039</v>
      </c>
      <c r="B36" s="345" t="s">
        <v>1449</v>
      </c>
      <c r="C36" s="24">
        <f ca="1">ROUND(C29*F36,1)</f>
        <v>25.4</v>
      </c>
      <c r="D36" s="1793" t="s">
        <v>1482</v>
      </c>
      <c r="E36" s="345" t="s">
        <v>1422</v>
      </c>
      <c r="F36" s="372">
        <f ca="1">INDIRECT("'数据-取费表'!Ak"&amp;$G$1)</f>
        <v>1.4999999999999999E-2</v>
      </c>
      <c r="G36" s="1846"/>
      <c r="H36" s="1854"/>
      <c r="I36" s="1855"/>
      <c r="J36" s="1856"/>
      <c r="K36" s="747"/>
      <c r="L36" s="1854"/>
      <c r="M36" s="1854"/>
    </row>
    <row r="37" spans="1:18" ht="18" customHeight="1">
      <c r="A37" s="1199" t="s">
        <v>1075</v>
      </c>
      <c r="B37" s="345" t="s">
        <v>1453</v>
      </c>
      <c r="C37" s="24">
        <f ca="1">ROUND(C13*F37,1)</f>
        <v>2.5</v>
      </c>
      <c r="D37" s="1793" t="s">
        <v>1454</v>
      </c>
      <c r="E37" s="345" t="s">
        <v>1455</v>
      </c>
      <c r="F37" s="374">
        <f ca="1">INDIRECT("'数据-取费表'!Al"&amp;$G$1)</f>
        <v>1.5E-3</v>
      </c>
      <c r="G37" s="1846"/>
      <c r="H37" s="1854"/>
      <c r="I37" s="1855"/>
      <c r="J37" s="1856"/>
      <c r="K37" s="747"/>
      <c r="L37" s="1854"/>
      <c r="M37" s="1854"/>
    </row>
    <row r="38" spans="1:18" ht="18" customHeight="1" thickBot="1">
      <c r="A38" s="1335" t="s">
        <v>1393</v>
      </c>
      <c r="B38" s="1336" t="s">
        <v>1439</v>
      </c>
      <c r="C38" s="1337">
        <f ca="1">ROUND(C5*F38,1)</f>
        <v>1.6</v>
      </c>
      <c r="D38" s="1338" t="s">
        <v>1459</v>
      </c>
      <c r="E38" s="1336" t="s">
        <v>1455</v>
      </c>
      <c r="F38" s="1332">
        <f ca="1">INDIRECT("'数据-取费表'!Am"&amp;$G$1)</f>
        <v>0.01</v>
      </c>
      <c r="G38" s="1846"/>
      <c r="H38" s="1854"/>
      <c r="I38" s="1855"/>
      <c r="J38" s="1856"/>
      <c r="K38" s="1860"/>
      <c r="L38" s="1854"/>
      <c r="M38" s="1854"/>
    </row>
    <row r="39" spans="1:18" ht="24.6" customHeight="1" thickTop="1">
      <c r="A39" s="1325" t="s">
        <v>1031</v>
      </c>
      <c r="B39" s="1340" t="s">
        <v>1483</v>
      </c>
      <c r="C39" s="353">
        <f ca="1">C5-C30</f>
        <v>94</v>
      </c>
      <c r="D39" s="1341" t="s">
        <v>1484</v>
      </c>
      <c r="E39" s="1342"/>
      <c r="F39" s="1343"/>
      <c r="G39" s="1846"/>
      <c r="H39" s="1854"/>
      <c r="I39" s="1855"/>
      <c r="J39" s="1856"/>
      <c r="K39" s="1860"/>
      <c r="L39" s="1854"/>
      <c r="M39" s="1854"/>
    </row>
    <row r="40" spans="1:18" ht="18" customHeight="1">
      <c r="A40" s="342" t="s">
        <v>1032</v>
      </c>
      <c r="B40" s="343" t="s">
        <v>1485</v>
      </c>
      <c r="C40" s="344">
        <f ca="1">ROUND(C39*(1-((1+F42)/(1+F40))^F41)/(F40-F42),0)</f>
        <v>2126</v>
      </c>
      <c r="D40" s="368" t="s">
        <v>1469</v>
      </c>
      <c r="E40" s="345" t="s">
        <v>1470</v>
      </c>
      <c r="F40" s="355">
        <f ca="1">INDIRECT("'数据-取费表'!I"&amp;$G$1)</f>
        <v>4.4999999999999998E-2</v>
      </c>
      <c r="G40" s="1846"/>
      <c r="H40" s="1834"/>
      <c r="I40" s="1855"/>
      <c r="J40" s="1856"/>
      <c r="K40" s="1860"/>
      <c r="L40" s="1834"/>
      <c r="M40" s="1834"/>
    </row>
    <row r="41" spans="1:18" ht="18" customHeight="1">
      <c r="A41" s="347"/>
      <c r="B41" s="348"/>
      <c r="C41" s="349"/>
      <c r="D41" s="376" t="s">
        <v>1486</v>
      </c>
      <c r="E41" s="345" t="s">
        <v>1474</v>
      </c>
      <c r="F41" s="377">
        <f ca="1">IF(INDIRECT("'数据-取费表'!af"&amp;$G$1)=0,INDIRECT("'数据-取费表'!ae"&amp;$G$1),INDIRECT("'数据-取费表'!af"&amp;$G$1))</f>
        <v>38.950000000000003</v>
      </c>
      <c r="G41" s="1846"/>
      <c r="H41" s="728"/>
      <c r="I41" s="1855"/>
      <c r="J41" s="1856"/>
      <c r="K41" s="747"/>
      <c r="L41" s="728"/>
      <c r="M41" s="728"/>
    </row>
    <row r="42" spans="1:18" ht="18" customHeight="1">
      <c r="A42" s="351"/>
      <c r="B42" s="352"/>
      <c r="C42" s="353"/>
      <c r="D42" s="371"/>
      <c r="E42" s="345" t="s">
        <v>1477</v>
      </c>
      <c r="F42" s="355">
        <f ca="1">INDIRECT("'数据-取费表'!v"&amp;$G$1)</f>
        <v>1.4999999999999999E-2</v>
      </c>
      <c r="G42" s="1846"/>
      <c r="H42" s="728"/>
      <c r="I42" s="1855"/>
      <c r="J42" s="1856"/>
      <c r="K42" s="747"/>
      <c r="L42" s="728"/>
      <c r="M42" s="728"/>
    </row>
    <row r="43" spans="1:18" ht="18" customHeight="1" thickBot="1">
      <c r="A43" s="378" t="s">
        <v>1033</v>
      </c>
      <c r="B43" s="379" t="s">
        <v>1487</v>
      </c>
      <c r="C43" s="380">
        <f ca="1">ROUND(C40*10000/F43,0)</f>
        <v>4487</v>
      </c>
      <c r="D43" s="381" t="s">
        <v>1488</v>
      </c>
      <c r="E43" s="382" t="s">
        <v>1489</v>
      </c>
      <c r="F43" s="383">
        <f ca="1">INDIRECT("'数据-取费表'!k"&amp;$G$1)</f>
        <v>4738.6399999999994</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1519</v>
      </c>
      <c r="P45" s="1834"/>
      <c r="Q45" s="1834"/>
      <c r="R45" s="1834"/>
    </row>
    <row r="46" spans="1:18" s="1837" customFormat="1" ht="13.5" thickBot="1">
      <c r="A46" s="1865" t="s">
        <v>1520</v>
      </c>
      <c r="C46" s="1866">
        <f ca="1">C68-C40</f>
        <v>-5333</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3" t="s">
        <v>1396</v>
      </c>
      <c r="B47" s="1195" t="s">
        <v>1397</v>
      </c>
      <c r="C47" s="1363" t="s">
        <v>1398</v>
      </c>
      <c r="D47" s="1195" t="s">
        <v>1399</v>
      </c>
      <c r="E47" s="1275" t="s">
        <v>1400</v>
      </c>
      <c r="F47" s="1276"/>
      <c r="G47" s="788"/>
      <c r="I47" s="1875" t="s">
        <v>1526</v>
      </c>
      <c r="J47" s="1876" t="s">
        <v>3043</v>
      </c>
      <c r="K47" s="1877" t="s">
        <v>1527</v>
      </c>
      <c r="L47" s="1878">
        <f ca="1">INDIRECT("'数据-取费表'!d"&amp;$G$1)</f>
        <v>50</v>
      </c>
      <c r="M47" s="1833" t="str">
        <f>IF(ISNUMBER(FIND("住宅",C1)),"住宅","非住宅")</f>
        <v>非住宅</v>
      </c>
      <c r="O47" s="1879" t="s">
        <v>1040</v>
      </c>
      <c r="P47" s="1880" t="s">
        <v>1528</v>
      </c>
      <c r="Q47" s="1881">
        <f ca="1">C40+J29</f>
        <v>2126</v>
      </c>
      <c r="R47" s="1881" t="s">
        <v>1529</v>
      </c>
    </row>
    <row r="48" spans="1:18" s="1837" customFormat="1" ht="28.5" thickBot="1">
      <c r="A48" s="1356" t="s">
        <v>1135</v>
      </c>
      <c r="B48" s="343" t="s">
        <v>1401</v>
      </c>
      <c r="C48" s="1812">
        <f ca="1">C49+C53+C55</f>
        <v>0</v>
      </c>
      <c r="D48" s="1358"/>
      <c r="E48" s="1359"/>
      <c r="F48" s="1179"/>
      <c r="G48" s="788"/>
      <c r="H48" s="789"/>
      <c r="I48" s="1882" t="s">
        <v>1530</v>
      </c>
      <c r="J48" s="1883" t="s">
        <v>3044</v>
      </c>
      <c r="K48" s="1884" t="s">
        <v>1531</v>
      </c>
      <c r="L48" s="1885">
        <f ca="1">INDIRECT("'数据-取费表'!f"&amp;$G$1)</f>
        <v>40.950000000000003</v>
      </c>
      <c r="O48" s="1879" t="s">
        <v>1041</v>
      </c>
      <c r="P48" s="1880" t="s">
        <v>1532</v>
      </c>
      <c r="Q48" s="1881" t="str">
        <f ca="1">J60</f>
        <v>0</v>
      </c>
      <c r="R48" s="1881" t="s">
        <v>1533</v>
      </c>
    </row>
    <row r="49" spans="1:18" s="1837" customFormat="1" ht="13.5" thickBot="1">
      <c r="A49" s="1192" t="s">
        <v>1136</v>
      </c>
      <c r="B49" s="1824" t="s">
        <v>1490</v>
      </c>
      <c r="C49" s="1360">
        <f ca="1">ROUND(F49*F51*F50*(1-F52)/10000,0)</f>
        <v>0</v>
      </c>
      <c r="D49" s="1272" t="s">
        <v>3015</v>
      </c>
      <c r="E49" s="1825" t="s">
        <v>1491</v>
      </c>
      <c r="F49" s="1277"/>
      <c r="G49" s="1886"/>
      <c r="H49" s="789"/>
      <c r="I49" s="1882" t="s">
        <v>1534</v>
      </c>
      <c r="J49" s="1887">
        <v>2012</v>
      </c>
      <c r="K49" s="1884" t="s">
        <v>1535</v>
      </c>
      <c r="L49" s="1888"/>
      <c r="O49" s="1889" t="s">
        <v>1042</v>
      </c>
      <c r="P49" s="1880" t="s">
        <v>1536</v>
      </c>
      <c r="Q49" s="1881">
        <f ca="1">C29</f>
        <v>1696</v>
      </c>
      <c r="R49" s="1881" t="s">
        <v>1529</v>
      </c>
    </row>
    <row r="50" spans="1:18" s="1837" customFormat="1" ht="13.5" thickBot="1">
      <c r="A50" s="1193"/>
      <c r="B50" s="1196"/>
      <c r="C50" s="1364"/>
      <c r="D50" s="1170"/>
      <c r="E50" s="1273" t="s">
        <v>1406</v>
      </c>
      <c r="F50" s="1274">
        <f ca="1">F7</f>
        <v>4738.6399999999994</v>
      </c>
      <c r="H50" s="789"/>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4"/>
      <c r="B51" s="1196"/>
      <c r="C51" s="1197"/>
      <c r="D51" s="1170"/>
      <c r="E51" s="1198" t="s">
        <v>1407</v>
      </c>
      <c r="F51" s="346">
        <f ca="1">F8</f>
        <v>365</v>
      </c>
      <c r="I51" s="1893" t="s">
        <v>1540</v>
      </c>
      <c r="J51" s="1894">
        <f>IF(J49="",J50,J49+J50-YEAR('数据-取费表'!B2))</f>
        <v>54</v>
      </c>
      <c r="K51" s="1895" t="s">
        <v>1541</v>
      </c>
      <c r="L51" s="1896">
        <f ca="1">ROUND(-PV(INDIRECT("'数据-取费表'!h"&amp;$G$1),L48,(C39-C13*C76),0),0)</f>
        <v>-833</v>
      </c>
      <c r="M51" s="1897"/>
      <c r="O51" s="1889" t="s">
        <v>1044</v>
      </c>
      <c r="P51" s="1880" t="s">
        <v>1542</v>
      </c>
      <c r="Q51" s="1892">
        <f>J52</f>
        <v>8.5000000000000006E-2</v>
      </c>
      <c r="R51" s="1881"/>
    </row>
    <row r="52" spans="1:18" s="1837" customFormat="1" ht="13.5" thickBot="1">
      <c r="A52" s="1194"/>
      <c r="B52" s="1196"/>
      <c r="C52" s="1197"/>
      <c r="D52" s="1170"/>
      <c r="E52" s="1198" t="s">
        <v>1408</v>
      </c>
      <c r="F52" s="1271"/>
      <c r="I52" s="1898" t="s">
        <v>1543</v>
      </c>
      <c r="J52" s="1899">
        <v>8.5000000000000006E-2</v>
      </c>
      <c r="K52" s="1898" t="s">
        <v>1544</v>
      </c>
      <c r="L52" s="1899"/>
      <c r="O52" s="1889" t="s">
        <v>1045</v>
      </c>
      <c r="P52" s="1880" t="s">
        <v>1545</v>
      </c>
      <c r="Q52" s="1881">
        <f ca="1">J53</f>
        <v>38.950000000000003</v>
      </c>
      <c r="R52" s="1881" t="s">
        <v>1546</v>
      </c>
    </row>
    <row r="53" spans="1:18" s="1837" customFormat="1" ht="24.75" thickBot="1">
      <c r="A53" s="1401" t="s">
        <v>1137</v>
      </c>
      <c r="B53" s="1826" t="s">
        <v>1409</v>
      </c>
      <c r="C53" s="359">
        <f ca="1">ROUND(IF(F53="押一",C49/12*F11,IF(F53="押二",C49/12*2*F11,IF(F53="押三",C49/12*3*F11,C54*F11)))/10000,0)</f>
        <v>0</v>
      </c>
      <c r="D53" s="1819" t="s">
        <v>3022</v>
      </c>
      <c r="E53" s="356" t="s">
        <v>1410</v>
      </c>
      <c r="F53" s="1362"/>
      <c r="I53" s="1900" t="s">
        <v>1547</v>
      </c>
      <c r="J53" s="1901">
        <f ca="1">IF(M47="住宅",J51,IF(D1="——",MIN(J51,L48),IF(D1="在建（套用方法）",MIN(J51,L48-'数据-取费表'!B24),IF(D1="土地（套用方法）",MIN(J51,L48-'数据-取费表'!B20)))))</f>
        <v>38.950000000000003</v>
      </c>
      <c r="K53" s="3329" t="s">
        <v>1548</v>
      </c>
      <c r="L53" s="3330"/>
      <c r="O53" s="1879" t="s">
        <v>1046</v>
      </c>
      <c r="P53" s="1880" t="s">
        <v>1549</v>
      </c>
      <c r="Q53" s="1881">
        <f ca="1">Q47+Q48</f>
        <v>2126</v>
      </c>
      <c r="R53" s="1881" t="s">
        <v>1047</v>
      </c>
    </row>
    <row r="54" spans="1:18" s="1837" customFormat="1" ht="13.5" thickBot="1">
      <c r="A54" s="1402"/>
      <c r="B54" s="1820" t="s">
        <v>1388</v>
      </c>
      <c r="C54" s="1176"/>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4">
        <v>2</v>
      </c>
      <c r="B56" s="1175" t="s">
        <v>1414</v>
      </c>
      <c r="C56" s="274">
        <f ca="1">C13</f>
        <v>1696</v>
      </c>
      <c r="D56" s="1909"/>
      <c r="E56" s="1910"/>
      <c r="F56" s="1902"/>
      <c r="I56" s="1911" t="s">
        <v>1554</v>
      </c>
      <c r="J56" s="1912" t="s">
        <v>3031</v>
      </c>
      <c r="K56" s="1882" t="s">
        <v>1555</v>
      </c>
      <c r="L56" s="1885" t="str">
        <f ca="1">IF(L48&lt;J51,"——",L48-J53)</f>
        <v>——</v>
      </c>
      <c r="O56" s="1879" t="s">
        <v>1040</v>
      </c>
      <c r="P56" s="1880" t="s">
        <v>1528</v>
      </c>
      <c r="Q56" s="1881">
        <f ca="1">C40+J29</f>
        <v>2126</v>
      </c>
      <c r="R56" s="1881" t="s">
        <v>1529</v>
      </c>
    </row>
    <row r="57" spans="1:18" s="1837" customFormat="1" ht="24.75" thickBot="1">
      <c r="A57" s="1913"/>
      <c r="B57" s="1167" t="s">
        <v>1478</v>
      </c>
      <c r="C57" s="280">
        <f ca="1">C29</f>
        <v>1696</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8" t="s">
        <v>1030</v>
      </c>
      <c r="B58" s="1175" t="s">
        <v>1424</v>
      </c>
      <c r="C58" s="359">
        <f ca="1">ROUND(C59+C64+C65+C66,0)</f>
        <v>176</v>
      </c>
      <c r="D58" s="1177" t="s">
        <v>1425</v>
      </c>
      <c r="E58" s="1178"/>
      <c r="F58" s="1179"/>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9" t="s">
        <v>1035</v>
      </c>
      <c r="B59" s="1167" t="s">
        <v>1429</v>
      </c>
      <c r="C59" s="24">
        <f ca="1">ROUND(IF(项目基本情况!B11="自然人",C48*F59,C60+C61+C62),1)</f>
        <v>147.80000000000001</v>
      </c>
      <c r="D59" s="1180" t="s">
        <v>1430</v>
      </c>
      <c r="E59" s="1181" t="s">
        <v>1431</v>
      </c>
      <c r="F59" s="366"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9" t="s">
        <v>1034</v>
      </c>
      <c r="B60" s="1167" t="s">
        <v>1433</v>
      </c>
      <c r="C60" s="24">
        <f ca="1">IF(项目基本情况!B11="自然人","——",ROUND(C48*F60/(1+'数据-取费表'!C42),2))</f>
        <v>0</v>
      </c>
      <c r="D60" s="1181" t="s">
        <v>1434</v>
      </c>
      <c r="E60" s="1167" t="s">
        <v>1422</v>
      </c>
      <c r="F60" s="375">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9" t="s">
        <v>1492</v>
      </c>
      <c r="B61" s="1167" t="s">
        <v>1493</v>
      </c>
      <c r="C61" s="24">
        <f ca="1">IF(项目基本情况!B11="自然人","——",IF(D61="按租金收入计税",ROUND(C48*F61,2),IF(D61="按房产原值计税",ROUND(C57*F61*0.7,2),INDIRECT("'数据-取费表'!Aj"&amp;$G$1))))</f>
        <v>142.46</v>
      </c>
      <c r="D61" s="1823" t="s">
        <v>1438</v>
      </c>
      <c r="E61" s="1167" t="s">
        <v>1494</v>
      </c>
      <c r="F61" s="365">
        <f t="shared" si="0"/>
        <v>0.12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9" t="s">
        <v>1495</v>
      </c>
      <c r="B62" s="1166" t="s">
        <v>1496</v>
      </c>
      <c r="C62" s="25">
        <f ca="1">IF(项目基本情况!B11="自然人","——",ROUND(F62*F63/10000,2))</f>
        <v>5.35</v>
      </c>
      <c r="D62" s="1182" t="s">
        <v>1497</v>
      </c>
      <c r="E62" s="1167" t="s">
        <v>1498</v>
      </c>
      <c r="F62" s="369">
        <f t="shared" si="0"/>
        <v>12</v>
      </c>
      <c r="I62" s="1924" t="s">
        <v>1570</v>
      </c>
      <c r="J62" s="1925" t="s">
        <v>1571</v>
      </c>
      <c r="K62" s="1925" t="s">
        <v>1572</v>
      </c>
      <c r="L62" s="1925" t="s">
        <v>1573</v>
      </c>
      <c r="M62" s="1926" t="s">
        <v>1574</v>
      </c>
      <c r="O62" s="1879" t="s">
        <v>1046</v>
      </c>
      <c r="P62" s="1880" t="s">
        <v>1575</v>
      </c>
      <c r="Q62" s="1881">
        <f ca="1">Q56+Q57</f>
        <v>2126</v>
      </c>
      <c r="R62" s="1881" t="s">
        <v>1047</v>
      </c>
    </row>
    <row r="63" spans="1:18" s="1837" customFormat="1" ht="13.5" thickBot="1">
      <c r="A63" s="370"/>
      <c r="B63" s="1173"/>
      <c r="C63" s="29"/>
      <c r="D63" s="1183"/>
      <c r="E63" s="1167" t="s">
        <v>1499</v>
      </c>
      <c r="F63" s="346">
        <f t="shared" ca="1" si="0"/>
        <v>4461.41</v>
      </c>
      <c r="I63" s="1924" t="s">
        <v>1576</v>
      </c>
      <c r="J63" s="1925">
        <v>70</v>
      </c>
      <c r="K63" s="1925">
        <v>50</v>
      </c>
      <c r="L63" s="1925">
        <v>80</v>
      </c>
      <c r="M63" s="1927">
        <v>0.02</v>
      </c>
      <c r="O63" s="1864" t="s">
        <v>1577</v>
      </c>
      <c r="P63" s="1834"/>
      <c r="Q63" s="1834"/>
      <c r="R63" s="1834"/>
    </row>
    <row r="64" spans="1:18" s="1837" customFormat="1" ht="13.5" thickBot="1">
      <c r="A64" s="1199" t="s">
        <v>1500</v>
      </c>
      <c r="B64" s="1167" t="s">
        <v>1501</v>
      </c>
      <c r="C64" s="24">
        <f ca="1">ROUND(C57*F64,1)</f>
        <v>25.4</v>
      </c>
      <c r="D64" s="1181" t="s">
        <v>1502</v>
      </c>
      <c r="E64" s="1167" t="s">
        <v>1494</v>
      </c>
      <c r="F64" s="372">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9" t="s">
        <v>1503</v>
      </c>
      <c r="B65" s="1167" t="s">
        <v>1453</v>
      </c>
      <c r="C65" s="24">
        <f ca="1">ROUND(C56*F65,1)</f>
        <v>2.5</v>
      </c>
      <c r="D65" s="1181" t="s">
        <v>1454</v>
      </c>
      <c r="E65" s="1167" t="s">
        <v>1455</v>
      </c>
      <c r="F65" s="374">
        <f t="shared" ca="1" si="0"/>
        <v>1.5E-3</v>
      </c>
      <c r="I65" s="1924" t="s">
        <v>1579</v>
      </c>
      <c r="J65" s="1925">
        <v>40</v>
      </c>
      <c r="K65" s="1925">
        <v>30</v>
      </c>
      <c r="L65" s="1925">
        <v>50</v>
      </c>
      <c r="M65" s="1927">
        <v>0.02</v>
      </c>
      <c r="O65" s="1879" t="s">
        <v>1040</v>
      </c>
      <c r="P65" s="1880" t="s">
        <v>1580</v>
      </c>
      <c r="Q65" s="1881">
        <f ca="1">C40+J29</f>
        <v>2126</v>
      </c>
      <c r="R65" s="1881" t="s">
        <v>1529</v>
      </c>
    </row>
    <row r="66" spans="1:18" s="1837" customFormat="1" ht="16.5" thickBot="1">
      <c r="A66" s="1199" t="s">
        <v>1504</v>
      </c>
      <c r="B66" s="1167" t="s">
        <v>1439</v>
      </c>
      <c r="C66" s="24">
        <f ca="1">ROUND(C48*F66,1)</f>
        <v>0</v>
      </c>
      <c r="D66" s="1181" t="s">
        <v>1505</v>
      </c>
      <c r="E66" s="1167" t="s">
        <v>1422</v>
      </c>
      <c r="F66" s="355">
        <f t="shared" ca="1" si="0"/>
        <v>0.01</v>
      </c>
      <c r="O66" s="1879" t="s">
        <v>1041</v>
      </c>
      <c r="P66" s="1880" t="s">
        <v>1558</v>
      </c>
      <c r="Q66" s="1881">
        <f ca="1">L60</f>
        <v>0</v>
      </c>
      <c r="R66" s="1881" t="s">
        <v>1581</v>
      </c>
    </row>
    <row r="67" spans="1:18" s="1837" customFormat="1" ht="16.5" thickBot="1">
      <c r="A67" s="1174" t="s">
        <v>1031</v>
      </c>
      <c r="B67" s="1184" t="s">
        <v>1463</v>
      </c>
      <c r="C67" s="359">
        <f ca="1">C48-C58</f>
        <v>-176</v>
      </c>
      <c r="D67" s="1180" t="s">
        <v>1464</v>
      </c>
      <c r="E67" s="1185"/>
      <c r="F67" s="1186"/>
      <c r="O67" s="1889" t="s">
        <v>1042</v>
      </c>
      <c r="P67" s="1880" t="s">
        <v>1562</v>
      </c>
      <c r="Q67" s="1928">
        <f ca="1">L51</f>
        <v>-833</v>
      </c>
      <c r="R67" s="1881" t="s">
        <v>1582</v>
      </c>
    </row>
    <row r="68" spans="1:18" s="1837" customFormat="1" ht="16.5" thickBot="1">
      <c r="A68" s="1164" t="s">
        <v>1032</v>
      </c>
      <c r="B68" s="1165" t="s">
        <v>1485</v>
      </c>
      <c r="C68" s="344">
        <f ca="1">ROUND(C67*(1-((1+F70)/(1+F68))^F69)/(F68-F70),0)</f>
        <v>-3207</v>
      </c>
      <c r="D68" s="1182" t="s">
        <v>1469</v>
      </c>
      <c r="E68" s="1167" t="s">
        <v>1470</v>
      </c>
      <c r="F68" s="355">
        <f ca="1">F40</f>
        <v>4.4999999999999998E-2</v>
      </c>
      <c r="O68" s="1889" t="s">
        <v>1043</v>
      </c>
      <c r="P68" s="1929" t="s">
        <v>1583</v>
      </c>
      <c r="Q68" s="1881">
        <f ca="1">ROUND(Q69-Q70*Q71,0)</f>
        <v>-42</v>
      </c>
      <c r="R68" s="1881" t="s">
        <v>1051</v>
      </c>
    </row>
    <row r="69" spans="1:18" s="1837" customFormat="1" ht="13.5" thickBot="1">
      <c r="A69" s="1168"/>
      <c r="B69" s="1169"/>
      <c r="C69" s="349"/>
      <c r="D69" s="1187" t="s">
        <v>1473</v>
      </c>
      <c r="E69" s="1167" t="s">
        <v>1474</v>
      </c>
      <c r="F69" s="377">
        <f ca="1">F41</f>
        <v>38.950000000000003</v>
      </c>
      <c r="O69" s="1889" t="s">
        <v>1048</v>
      </c>
      <c r="P69" s="1929" t="s">
        <v>1584</v>
      </c>
      <c r="Q69" s="1881">
        <f ca="1">C39</f>
        <v>94</v>
      </c>
      <c r="R69" s="1881" t="s">
        <v>1529</v>
      </c>
    </row>
    <row r="70" spans="1:18" s="1837" customFormat="1" ht="13.5" thickBot="1">
      <c r="A70" s="1171"/>
      <c r="B70" s="1172"/>
      <c r="C70" s="353"/>
      <c r="D70" s="1183"/>
      <c r="E70" s="1167" t="s">
        <v>1477</v>
      </c>
      <c r="F70" s="1271"/>
      <c r="O70" s="1889" t="s">
        <v>1049</v>
      </c>
      <c r="P70" s="1929" t="s">
        <v>1585</v>
      </c>
      <c r="Q70" s="1881">
        <f ca="1">C13</f>
        <v>1696</v>
      </c>
      <c r="R70" s="1881" t="s">
        <v>1529</v>
      </c>
    </row>
    <row r="71" spans="1:18" s="1837" customFormat="1" ht="13.5" thickBot="1">
      <c r="A71" s="1188" t="s">
        <v>1033</v>
      </c>
      <c r="B71" s="1189" t="s">
        <v>1487</v>
      </c>
      <c r="C71" s="380">
        <f ca="1">ROUND(C68*10000/F71,0)</f>
        <v>-6768</v>
      </c>
      <c r="D71" s="1190" t="s">
        <v>1488</v>
      </c>
      <c r="E71" s="1191" t="s">
        <v>1489</v>
      </c>
      <c r="F71" s="383">
        <f ca="1">F43</f>
        <v>4738.6399999999994</v>
      </c>
      <c r="O71" s="1889" t="s">
        <v>1050</v>
      </c>
      <c r="P71" s="1929" t="s">
        <v>1586</v>
      </c>
      <c r="Q71" s="1892">
        <f ca="1">C76</f>
        <v>0.08</v>
      </c>
      <c r="R71" s="1881"/>
    </row>
    <row r="72" spans="1:18" s="1837" customFormat="1" ht="13.5" thickBot="1">
      <c r="B72" s="792"/>
      <c r="C72" s="792"/>
      <c r="O72" s="1889" t="s">
        <v>1044</v>
      </c>
      <c r="P72" s="1880" t="s">
        <v>1564</v>
      </c>
      <c r="Q72" s="1892">
        <f>L52</f>
        <v>0</v>
      </c>
      <c r="R72" s="1881"/>
    </row>
    <row r="73" spans="1:18" ht="16.5" thickBot="1">
      <c r="A73" s="1837"/>
      <c r="B73" s="792"/>
      <c r="C73" s="792"/>
      <c r="D73" s="1837"/>
      <c r="E73" s="1837"/>
      <c r="F73" s="1837"/>
      <c r="O73" s="1889" t="s">
        <v>1045</v>
      </c>
      <c r="P73" s="1880" t="s">
        <v>1567</v>
      </c>
      <c r="Q73" s="1881" t="e">
        <f ca="1">L58</f>
        <v>#DIV/0!</v>
      </c>
      <c r="R73" s="1881" t="s">
        <v>1568</v>
      </c>
    </row>
    <row r="74" spans="1:18" ht="13.5" thickBot="1">
      <c r="A74" s="1837"/>
      <c r="B74" s="315"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4" t="s">
        <v>1506</v>
      </c>
      <c r="C75" s="385">
        <f ca="1">ROUND(C13*C76,0)</f>
        <v>136</v>
      </c>
      <c r="D75" s="1837"/>
      <c r="E75" s="1837"/>
      <c r="F75" s="1837"/>
      <c r="K75" s="1863"/>
      <c r="L75" s="1837"/>
      <c r="O75" s="1879" t="s">
        <v>1046</v>
      </c>
      <c r="P75" s="1880" t="s">
        <v>1549</v>
      </c>
      <c r="Q75" s="1881">
        <f ca="1">Q65+Q66</f>
        <v>2126</v>
      </c>
      <c r="R75" s="1881" t="s">
        <v>1047</v>
      </c>
    </row>
    <row r="76" spans="1:18">
      <c r="B76" s="386" t="s">
        <v>1507</v>
      </c>
      <c r="C76" s="387">
        <f ca="1">INDIRECT("'数据-取费表'!j"&amp;$G$1)</f>
        <v>0.08</v>
      </c>
      <c r="I76" s="1837"/>
      <c r="J76" s="1837"/>
      <c r="K76" s="1863"/>
      <c r="L76" s="1837"/>
    </row>
    <row r="77" spans="1:18">
      <c r="B77" s="388" t="s">
        <v>1508</v>
      </c>
      <c r="C77" s="389"/>
      <c r="I77" s="1837"/>
      <c r="J77" s="1837"/>
      <c r="K77" s="1863"/>
      <c r="L77" s="1837"/>
    </row>
    <row r="78" spans="1:18">
      <c r="B78" s="312" t="s">
        <v>1509</v>
      </c>
      <c r="C78" s="390"/>
    </row>
    <row r="79" spans="1:18">
      <c r="B79" s="384" t="s">
        <v>1510</v>
      </c>
      <c r="C79" s="316">
        <f ca="1">1-C80</f>
        <v>-0.44700000000000006</v>
      </c>
    </row>
    <row r="80" spans="1:18">
      <c r="B80" s="384" t="s">
        <v>1511</v>
      </c>
      <c r="C80" s="316">
        <f ca="1">ROUND(C75/C39,3)</f>
        <v>1.4470000000000001</v>
      </c>
    </row>
    <row r="81" spans="2:3">
      <c r="B81" s="312" t="s">
        <v>1512</v>
      </c>
      <c r="C81" s="280"/>
    </row>
    <row r="82" spans="2:3">
      <c r="B82" s="315" t="s">
        <v>1513</v>
      </c>
      <c r="C82" s="317">
        <f ca="1">1-C83</f>
        <v>0.20199999999999996</v>
      </c>
    </row>
    <row r="83" spans="2:3">
      <c r="B83" s="315" t="s">
        <v>1514</v>
      </c>
      <c r="C83" s="316">
        <f ca="1">ROUND(C13/C40,3)</f>
        <v>0.79800000000000004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3" priority="56">
      <formula>$L$48&gt;$J$51</formula>
    </cfRule>
  </conditionalFormatting>
  <conditionalFormatting sqref="I55 I60">
    <cfRule type="expression" dxfId="92" priority="57">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滨州新湖房地产开发有限公司：</v>
      </c>
    </row>
    <row r="4" spans="1:1" ht="36">
      <c r="A4" s="1943" t="str">
        <f>"受贵公司委托，我公司对"&amp;项目基本情况!S1&amp;"进行了预评估。"</f>
        <v>受贵公司委托，我公司对山东省滨州市渤海十一路以东、盛华路以南出让国有建设用地使用权及在建建筑物房地产抵押价值进行了预评估。</v>
      </c>
    </row>
    <row r="5" spans="1:1" ht="18.75">
      <c r="A5" s="1944" t="s">
        <v>1612</v>
      </c>
    </row>
    <row r="6" spans="1:1" ht="18.75">
      <c r="A6" s="1945" t="s">
        <v>1613</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滨州市渤海十一路以东、盛华路以南出让国有建设用地使用权及在建建筑物房地产，为所有。根据，估价对象（分摊）出让国有建设用地使用权面积为57352.9平方米。根据，估价对象建筑面积为72085.95平方米。</v>
      </c>
    </row>
    <row r="8" spans="1:1" ht="57.75">
      <c r="A8" s="1946" t="s">
        <v>1614</v>
      </c>
    </row>
    <row r="9" spans="1:1" ht="18.75">
      <c r="A9" s="1945" t="s">
        <v>1615</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滨州市渤海十一路以东、盛华路以南出让国有建设用地使用权及在建建筑物房地产,属开发建设的居住项目，该项目尚在开发建设中。根据，估价对象（分摊）出让国有建设用地使用权面积为57352.9平方米。根据，估价对象规划建筑面积为72085.95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2018年4月17日（评估专业人员实地查勘之日）</v>
      </c>
    </row>
    <row r="16" spans="1:1" ht="18.75">
      <c r="A16" s="1948" t="s">
        <v>1619</v>
      </c>
    </row>
    <row r="17" spans="1:1" ht="75">
      <c r="A17" s="1943" t="s">
        <v>1620</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17日，估价对象规划用途为住宅、商业、地下仓储、地下车库，土地取得方式为出让，出让国有建设用地使用权剩余土地使用年限为住宅60.9年、商业30.9年、地下仓储及地下车库40.9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仓储、地下车库，实际开发程度为宗地红线外“七通”（即通路、通电、通讯、通上水、通下水、平整、通热）、红线内场地平整条件下，剩余土地使用年限为住宅60.9年、商业30.9年、地下仓储及地下车库40.9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1609</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 sqref="D1"/>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78"/>
      <c r="C1" s="1832" t="s">
        <v>3469</v>
      </c>
      <c r="D1" s="1815" t="s">
        <v>70</v>
      </c>
      <c r="E1" s="1816" t="s">
        <v>1387</v>
      </c>
      <c r="F1" s="1279" t="e">
        <f ca="1">J53</f>
        <v>#N/A</v>
      </c>
      <c r="G1" s="1831" t="e">
        <f>MATCH(C1,'数据-取费表'!A6:A16,0)+5</f>
        <v>#N/A</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1590</v>
      </c>
      <c r="B2" s="1839" t="e">
        <f ca="1">ROUND(D2/10000,0)</f>
        <v>#N/A</v>
      </c>
      <c r="C2" s="1840" t="s">
        <v>1591</v>
      </c>
      <c r="D2" s="1933" t="e">
        <f ca="1">C40+J29+L46</f>
        <v>#N/A</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0" t="s">
        <v>1588</v>
      </c>
      <c r="I3" s="1835"/>
      <c r="J3" s="1835"/>
      <c r="K3" s="1836"/>
      <c r="L3" s="1835"/>
      <c r="M3" s="1835"/>
    </row>
    <row r="4" spans="1:37" ht="18" customHeight="1">
      <c r="A4" s="338" t="s">
        <v>1595</v>
      </c>
      <c r="B4" s="339" t="s">
        <v>1596</v>
      </c>
      <c r="C4" s="339" t="s">
        <v>1597</v>
      </c>
      <c r="D4" s="339" t="s">
        <v>1598</v>
      </c>
      <c r="E4" s="340" t="s">
        <v>1599</v>
      </c>
      <c r="F4" s="341"/>
      <c r="G4" s="1846"/>
      <c r="H4" s="338" t="s">
        <v>1595</v>
      </c>
      <c r="I4" s="339" t="s">
        <v>1596</v>
      </c>
      <c r="J4" s="339" t="s">
        <v>1597</v>
      </c>
      <c r="K4" s="339" t="s">
        <v>1598</v>
      </c>
      <c r="L4" s="340" t="s">
        <v>1599</v>
      </c>
      <c r="M4" s="341"/>
    </row>
    <row r="5" spans="1:37" ht="18" customHeight="1">
      <c r="A5" s="342">
        <v>1</v>
      </c>
      <c r="B5" s="343" t="s">
        <v>1600</v>
      </c>
      <c r="C5" s="1288" t="e">
        <f ca="1">C6+C10+C12</f>
        <v>#N/A</v>
      </c>
      <c r="D5" s="1817" t="s">
        <v>1601</v>
      </c>
      <c r="E5" s="1289"/>
      <c r="F5" s="1290"/>
      <c r="G5" s="1846"/>
      <c r="H5" s="342">
        <v>1</v>
      </c>
      <c r="I5" s="343" t="s">
        <v>1600</v>
      </c>
      <c r="J5" s="1288" t="e">
        <f ca="1">J6+J10+J12</f>
        <v>#N/A</v>
      </c>
      <c r="K5" s="1817" t="s">
        <v>1601</v>
      </c>
      <c r="L5" s="1289"/>
      <c r="M5" s="1290"/>
    </row>
    <row r="6" spans="1:37" ht="18" customHeight="1">
      <c r="A6" s="1287" t="s">
        <v>1035</v>
      </c>
      <c r="B6" s="3326" t="s">
        <v>1403</v>
      </c>
      <c r="C6" s="1292" t="e">
        <f ca="1">ROUND(F6*F8*F7*(1-F9),0)</f>
        <v>#N/A</v>
      </c>
      <c r="D6" s="162" t="s">
        <v>3011</v>
      </c>
      <c r="E6" s="345" t="s">
        <v>1405</v>
      </c>
      <c r="F6" s="346" t="e">
        <f ca="1">INDIRECT("'数据-取费表'!u"&amp;$G$1)</f>
        <v>#N/A</v>
      </c>
      <c r="G6" s="1846"/>
      <c r="H6" s="1287" t="s">
        <v>1035</v>
      </c>
      <c r="I6" s="3326" t="s">
        <v>1403</v>
      </c>
      <c r="J6" s="344" t="e">
        <f ca="1">ROUND(M6*M8*M7*(1-M9),0)</f>
        <v>#N/A</v>
      </c>
      <c r="K6" s="1829" t="s">
        <v>3012</v>
      </c>
      <c r="L6" s="345" t="s">
        <v>1405</v>
      </c>
      <c r="M6" s="346" t="e">
        <f ca="1">INDIRECT("'数据-取费表'!z"&amp;$G$1)</f>
        <v>#N/A</v>
      </c>
    </row>
    <row r="7" spans="1:37" ht="18" customHeight="1">
      <c r="A7" s="1291"/>
      <c r="B7" s="3327"/>
      <c r="C7" s="1293"/>
      <c r="D7" s="350"/>
      <c r="E7" s="1294" t="s">
        <v>1406</v>
      </c>
      <c r="F7" s="346" t="e">
        <f ca="1">IF(INDIRECT("'数据-取费表'!ah"&amp;$G$1)="",INDIRECT("'数据-取费表'!k"&amp;$G$1),INDIRECT("'数据-取费表'!ah"&amp;$G$1))</f>
        <v>#N/A</v>
      </c>
      <c r="G7" s="1846"/>
      <c r="H7" s="347"/>
      <c r="I7" s="3327"/>
      <c r="J7" s="349"/>
      <c r="K7" s="350"/>
      <c r="L7" s="345" t="s">
        <v>1406</v>
      </c>
      <c r="M7" s="346" t="e">
        <f ca="1">F7</f>
        <v>#N/A</v>
      </c>
    </row>
    <row r="8" spans="1:37" ht="18" customHeight="1">
      <c r="A8" s="347"/>
      <c r="B8" s="3327"/>
      <c r="C8" s="349"/>
      <c r="D8" s="350"/>
      <c r="E8" s="345" t="s">
        <v>1407</v>
      </c>
      <c r="F8" s="346" t="e">
        <f ca="1">INDIRECT("'数据-取费表'!ai"&amp;$G$1)</f>
        <v>#N/A</v>
      </c>
      <c r="G8" s="1846"/>
      <c r="H8" s="347"/>
      <c r="I8" s="3327"/>
      <c r="J8" s="349"/>
      <c r="K8" s="350"/>
      <c r="L8" s="345" t="s">
        <v>1407</v>
      </c>
      <c r="M8" s="346" t="e">
        <f ca="1">INDIRECT("'数据-取费表'!ai"&amp;$G$1)</f>
        <v>#N/A</v>
      </c>
    </row>
    <row r="9" spans="1:37" ht="18" customHeight="1">
      <c r="A9" s="347"/>
      <c r="B9" s="3328"/>
      <c r="C9" s="349"/>
      <c r="D9" s="350"/>
      <c r="E9" s="345" t="s">
        <v>1408</v>
      </c>
      <c r="F9" s="355" t="e">
        <f ca="1">INDIRECT("'数据-取费表'!w"&amp;$G$1)</f>
        <v>#N/A</v>
      </c>
      <c r="G9" s="1846"/>
      <c r="H9" s="347"/>
      <c r="I9" s="3328"/>
      <c r="J9" s="349"/>
      <c r="K9" s="350"/>
      <c r="L9" s="356" t="s">
        <v>1408</v>
      </c>
      <c r="M9" s="357" t="e">
        <f ca="1">INDIRECT("'数据-取费表'!ab"&amp;$G$1)</f>
        <v>#N/A</v>
      </c>
    </row>
    <row r="10" spans="1:37" ht="18" customHeight="1">
      <c r="A10" s="1287" t="s">
        <v>1039</v>
      </c>
      <c r="B10" s="1818" t="s">
        <v>1409</v>
      </c>
      <c r="C10" s="359" t="e">
        <f ca="1">ROUND(IF(F10="押一",C6/12*F11,IF(F10="押二",C6/12*2*F11,IF(F10="押三",C6/12*3*F11,C11*F11))),0)</f>
        <v>#N/A</v>
      </c>
      <c r="D10" s="1819" t="s">
        <v>3022</v>
      </c>
      <c r="E10" s="356" t="s">
        <v>1410</v>
      </c>
      <c r="F10" s="1362" t="s">
        <v>3042</v>
      </c>
      <c r="G10" s="1846"/>
      <c r="H10" s="1287" t="s">
        <v>1039</v>
      </c>
      <c r="I10" s="1818" t="s">
        <v>1409</v>
      </c>
      <c r="J10" s="344">
        <f ca="1">ROUND(IF(M10="押一",J6/12*M11,IF(M10="押二",J6/12*2*M11,IF(M10="押三",J6/12*3*M11,J11*M11))),0)</f>
        <v>0</v>
      </c>
      <c r="K10" s="1830" t="s">
        <v>3024</v>
      </c>
      <c r="L10" s="356" t="s">
        <v>1410</v>
      </c>
      <c r="M10" s="1362"/>
    </row>
    <row r="11" spans="1:37" ht="18" customHeight="1">
      <c r="A11" s="351"/>
      <c r="B11" s="1820" t="s">
        <v>1602</v>
      </c>
      <c r="C11" s="1176"/>
      <c r="D11" s="350"/>
      <c r="E11" s="356" t="s">
        <v>1412</v>
      </c>
      <c r="F11" s="357">
        <f ca="1">'数据-取费表'!B39</f>
        <v>1.4999999999999999E-2</v>
      </c>
      <c r="G11" s="1846"/>
      <c r="H11" s="1295"/>
      <c r="I11" s="1820" t="s">
        <v>1603</v>
      </c>
      <c r="J11" s="1176"/>
      <c r="K11" s="744"/>
      <c r="L11" s="356"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3" t="e">
        <f ca="1">ROUND(C29*F13,0)</f>
        <v>#N/A</v>
      </c>
      <c r="D13" s="1327" t="s">
        <v>1415</v>
      </c>
      <c r="E13" s="1327" t="s">
        <v>1416</v>
      </c>
      <c r="F13" s="1328" t="e">
        <f ca="1">INDIRECT("'数据-取费表'!y"&amp;$G$1)</f>
        <v>#N/A</v>
      </c>
      <c r="G13" s="1846"/>
      <c r="H13" s="1325">
        <v>2</v>
      </c>
      <c r="I13" s="1326" t="s">
        <v>1414</v>
      </c>
      <c r="J13" s="1286" t="e">
        <f ca="1">ROUND(J14*J15,0)</f>
        <v>#N/A</v>
      </c>
      <c r="K13" s="1333" t="s">
        <v>1415</v>
      </c>
      <c r="L13" s="1847"/>
      <c r="M13" s="1848"/>
    </row>
    <row r="14" spans="1:37" ht="18" customHeight="1">
      <c r="A14" s="1199" t="s">
        <v>1034</v>
      </c>
      <c r="B14" s="345" t="s">
        <v>1417</v>
      </c>
      <c r="C14" s="361" t="e">
        <f ca="1">ROUND(INDIRECT("'数据-取费表'!l"&amp;$G$1)*F43+'数据-取费表'!L14*INDIRECT("'数据-取费表'!S"&amp;$G$1),0)</f>
        <v>#N/A</v>
      </c>
      <c r="D14" s="1795" t="s">
        <v>1418</v>
      </c>
      <c r="E14" s="1789"/>
      <c r="F14" s="362"/>
      <c r="G14" s="1846"/>
      <c r="H14" s="1199" t="s">
        <v>1035</v>
      </c>
      <c r="I14" s="345" t="s">
        <v>1419</v>
      </c>
      <c r="J14" s="24" t="e">
        <f ca="1">C29</f>
        <v>#N/A</v>
      </c>
      <c r="K14" s="15"/>
      <c r="L14" s="977"/>
      <c r="M14" s="978"/>
    </row>
    <row r="15" spans="1:37" s="1853" customFormat="1" ht="18" customHeight="1" thickBot="1">
      <c r="A15" s="1199" t="s">
        <v>1036</v>
      </c>
      <c r="B15" s="345" t="s">
        <v>1420</v>
      </c>
      <c r="C15" s="24" t="e">
        <f ca="1">ROUND(C14*F15,0)</f>
        <v>#N/A</v>
      </c>
      <c r="D15" s="363" t="s">
        <v>1421</v>
      </c>
      <c r="E15" s="363" t="s">
        <v>1422</v>
      </c>
      <c r="F15" s="364">
        <f>'数据-取费表'!B33</f>
        <v>0.03</v>
      </c>
      <c r="G15" s="1849"/>
      <c r="H15" s="1335" t="s">
        <v>1039</v>
      </c>
      <c r="I15" s="1336" t="s">
        <v>1416</v>
      </c>
      <c r="J15" s="1345" t="e">
        <f ca="1">INDIRECT("'数据-取费表'!ad"&amp;$G$1)</f>
        <v>#N/A</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1389</v>
      </c>
      <c r="B16" s="345" t="s">
        <v>1423</v>
      </c>
      <c r="C16" s="24" t="e">
        <f ca="1">ROUND(INDIRECT("'数据-取费表'!l"&amp;$G$1)*F43*F16,0)</f>
        <v>#N/A</v>
      </c>
      <c r="D16" s="345" t="s">
        <v>1421</v>
      </c>
      <c r="E16" s="345" t="s">
        <v>1422</v>
      </c>
      <c r="F16" s="365" t="e">
        <f ca="1">IF(INDIRECT("'数据-取费表'!c"&amp;$G$1)="住宅",'数据-取费表'!B34,0)</f>
        <v>#N/A</v>
      </c>
      <c r="G16" s="1846"/>
      <c r="H16" s="1325" t="s">
        <v>1030</v>
      </c>
      <c r="I16" s="1326" t="s">
        <v>1424</v>
      </c>
      <c r="J16" s="353" t="e">
        <f ca="1">ROUND(J17+J22+J23+J24,0)</f>
        <v>#N/A</v>
      </c>
      <c r="K16" s="1333" t="s">
        <v>1425</v>
      </c>
      <c r="L16" s="1334"/>
      <c r="M16" s="1290"/>
    </row>
    <row r="17" spans="1:37" s="1853" customFormat="1" ht="18" customHeight="1">
      <c r="A17" s="1199" t="s">
        <v>1390</v>
      </c>
      <c r="B17" s="345" t="s">
        <v>1426</v>
      </c>
      <c r="C17" s="24" t="e">
        <f ca="1">ROUND(F17*(F43+INDIRECT("'数据-取费表'!S"&amp;$G$1)),0)</f>
        <v>#N/A</v>
      </c>
      <c r="D17" s="345" t="s">
        <v>1427</v>
      </c>
      <c r="E17" s="345" t="s">
        <v>1428</v>
      </c>
      <c r="F17" s="26">
        <f>'数据-取费表'!B35</f>
        <v>200</v>
      </c>
      <c r="G17" s="1849"/>
      <c r="H17" s="1199" t="s">
        <v>1035</v>
      </c>
      <c r="I17" s="345" t="s">
        <v>1429</v>
      </c>
      <c r="J17" s="24" t="e">
        <f ca="1">ROUND(IF(项目基本情况!B11="自然人",J5*M17,J18+J19+J20),0)</f>
        <v>#N/A</v>
      </c>
      <c r="K17" s="1795" t="s">
        <v>1430</v>
      </c>
      <c r="L17" s="1793"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1391</v>
      </c>
      <c r="B18" s="345" t="s">
        <v>1432</v>
      </c>
      <c r="C18" s="24" t="e">
        <f ca="1">ROUND(C14*F18,0)</f>
        <v>#N/A</v>
      </c>
      <c r="D18" s="345" t="s">
        <v>1421</v>
      </c>
      <c r="E18" s="345" t="s">
        <v>1422</v>
      </c>
      <c r="F18" s="365">
        <f>'数据-取费表'!B36</f>
        <v>1.4999999999999999E-2</v>
      </c>
      <c r="G18" s="1849"/>
      <c r="H18" s="1199" t="s">
        <v>1034</v>
      </c>
      <c r="I18" s="345" t="s">
        <v>1433</v>
      </c>
      <c r="J18" s="24" t="e">
        <f ca="1">ROUND(J5*M18/(1+'数据-取费表'!C42),0)</f>
        <v>#N/A</v>
      </c>
      <c r="K18" s="1793" t="s">
        <v>1434</v>
      </c>
      <c r="L18" s="345" t="s">
        <v>1422</v>
      </c>
      <c r="M18" s="365">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5" t="s">
        <v>1435</v>
      </c>
      <c r="C19" s="24" t="e">
        <f ca="1">SUM(C14:C18)</f>
        <v>#N/A</v>
      </c>
      <c r="D19" s="138" t="s">
        <v>1436</v>
      </c>
      <c r="E19" s="1813"/>
      <c r="F19" s="26"/>
      <c r="G19" s="1846"/>
      <c r="H19" s="1199" t="s">
        <v>1036</v>
      </c>
      <c r="I19" s="345" t="s">
        <v>1437</v>
      </c>
      <c r="J19" s="24" t="e">
        <f ca="1">IF(K19="按租金收入计税",ROUND(J5*M19,0),ROUND(C29*M19*0.7,0))</f>
        <v>#N/A</v>
      </c>
      <c r="K19" s="1823" t="s">
        <v>1438</v>
      </c>
      <c r="L19" s="345" t="s">
        <v>1422</v>
      </c>
      <c r="M19" s="365">
        <f>IF(K19="按租金收入计税",'数据-取费表'!B51,'数据-取费表'!B50)</f>
        <v>1.2E-2</v>
      </c>
    </row>
    <row r="20" spans="1:37" s="1853" customFormat="1" ht="18" customHeight="1">
      <c r="A20" s="1199" t="s">
        <v>1039</v>
      </c>
      <c r="B20" s="345" t="s">
        <v>1439</v>
      </c>
      <c r="C20" s="24" t="e">
        <f ca="1">ROUND(C19*F20,0)</f>
        <v>#N/A</v>
      </c>
      <c r="D20" s="367" t="s">
        <v>1440</v>
      </c>
      <c r="E20" s="345" t="s">
        <v>1422</v>
      </c>
      <c r="F20" s="365">
        <f>'数据-取费表'!B37</f>
        <v>0.02</v>
      </c>
      <c r="G20" s="1849"/>
      <c r="H20" s="1199" t="s">
        <v>1389</v>
      </c>
      <c r="I20" s="162" t="s">
        <v>1441</v>
      </c>
      <c r="J20" s="25" t="e">
        <f ca="1">ROUND(M20*M21,0)</f>
        <v>#N/A</v>
      </c>
      <c r="K20" s="368" t="s">
        <v>1442</v>
      </c>
      <c r="L20" s="345" t="s">
        <v>1443</v>
      </c>
      <c r="M20" s="369">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5" t="s">
        <v>1444</v>
      </c>
      <c r="C21" s="24" t="s">
        <v>1</v>
      </c>
      <c r="D21" s="367" t="s">
        <v>1445</v>
      </c>
      <c r="E21" s="345" t="s">
        <v>1446</v>
      </c>
      <c r="F21" s="365">
        <f>'数据-取费表'!B38</f>
        <v>0.02</v>
      </c>
      <c r="G21" s="1849"/>
      <c r="H21" s="370"/>
      <c r="I21" s="354"/>
      <c r="J21" s="29"/>
      <c r="K21" s="371"/>
      <c r="L21" s="345" t="s">
        <v>1447</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1813"/>
      <c r="F22" s="26"/>
      <c r="G22" s="1846"/>
      <c r="H22" s="1199" t="s">
        <v>1039</v>
      </c>
      <c r="I22" s="345" t="s">
        <v>1449</v>
      </c>
      <c r="J22" s="24" t="e">
        <f ca="1">ROUND(J14*M22,0)</f>
        <v>#N/A</v>
      </c>
      <c r="K22" s="1793" t="s">
        <v>1450</v>
      </c>
      <c r="L22" s="345" t="s">
        <v>1422</v>
      </c>
      <c r="M22" s="372" t="e">
        <f ca="1">INDIRECT("'数据-取费表'!Ak"&amp;$G$1)</f>
        <v>#N/A</v>
      </c>
    </row>
    <row r="23" spans="1:37" s="1853" customFormat="1" ht="18" customHeight="1">
      <c r="A23" s="1199"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9"/>
      <c r="H23" s="1199" t="s">
        <v>1075</v>
      </c>
      <c r="I23" s="345" t="s">
        <v>1453</v>
      </c>
      <c r="J23" s="24" t="e">
        <f ca="1">ROUND(J13*M23,0)</f>
        <v>#N/A</v>
      </c>
      <c r="K23" s="1793" t="s">
        <v>1454</v>
      </c>
      <c r="L23" s="345" t="s">
        <v>1455</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9"/>
      <c r="H24" s="1335" t="s">
        <v>1393</v>
      </c>
      <c r="I24" s="1336" t="s">
        <v>1439</v>
      </c>
      <c r="J24" s="1337" t="e">
        <f ca="1">ROUND(J5*M24,0)</f>
        <v>#N/A</v>
      </c>
      <c r="K24" s="1338" t="s">
        <v>1459</v>
      </c>
      <c r="L24" s="1336" t="s">
        <v>1455</v>
      </c>
      <c r="M24" s="1332"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9" t="s">
        <v>1460</v>
      </c>
      <c r="B25" s="345" t="s">
        <v>1461</v>
      </c>
      <c r="C25" s="24"/>
      <c r="D25" s="138" t="s">
        <v>1462</v>
      </c>
      <c r="E25" s="1813"/>
      <c r="F25" s="26"/>
      <c r="G25" s="1846"/>
      <c r="H25" s="1325" t="s">
        <v>1031</v>
      </c>
      <c r="I25" s="1340" t="s">
        <v>1463</v>
      </c>
      <c r="J25" s="353" t="e">
        <f ca="1">J5-J16</f>
        <v>#N/A</v>
      </c>
      <c r="K25" s="1341" t="s">
        <v>1464</v>
      </c>
      <c r="L25" s="1342"/>
      <c r="M25" s="1343"/>
    </row>
    <row r="26" spans="1:37" ht="18" customHeight="1">
      <c r="A26" s="1199" t="s">
        <v>1034</v>
      </c>
      <c r="B26" s="345" t="s">
        <v>1465</v>
      </c>
      <c r="C26" s="24" t="e">
        <f ca="1">ROUND((C19+C20)*F26,0)</f>
        <v>#N/A</v>
      </c>
      <c r="D26" s="367" t="s">
        <v>1466</v>
      </c>
      <c r="E26" s="356" t="s">
        <v>1467</v>
      </c>
      <c r="F26" s="355" t="e">
        <f ca="1">INDIRECT("'数据-取费表'!q"&amp;$G$1)</f>
        <v>#N/A</v>
      </c>
      <c r="G26" s="1846"/>
      <c r="H26" s="342" t="s">
        <v>1032</v>
      </c>
      <c r="I26" s="343" t="s">
        <v>1468</v>
      </c>
      <c r="J26" s="344" t="e">
        <f ca="1">IF(J5&lt;&gt;0,ROUND(J25*(1-((1+M28)/(1+M26))^M27)/(M26-M28),0),0)</f>
        <v>#N/A</v>
      </c>
      <c r="K26" s="368" t="s">
        <v>1469</v>
      </c>
      <c r="L26" s="345" t="s">
        <v>1470</v>
      </c>
      <c r="M26" s="355" t="e">
        <f ca="1">INDIRECT("'数据-取费表'!I"&amp;$G$1)</f>
        <v>#N/A</v>
      </c>
    </row>
    <row r="27" spans="1:37" ht="18" customHeight="1">
      <c r="A27" s="1199" t="s">
        <v>1036</v>
      </c>
      <c r="B27" s="345" t="s">
        <v>1471</v>
      </c>
      <c r="C27" s="24" t="e">
        <f ca="1">ROUND(F21*F26,4)</f>
        <v>#N/A</v>
      </c>
      <c r="D27" s="367" t="s">
        <v>1472</v>
      </c>
      <c r="E27" s="363"/>
      <c r="F27" s="364"/>
      <c r="G27" s="1846"/>
      <c r="H27" s="347"/>
      <c r="I27" s="348"/>
      <c r="J27" s="349"/>
      <c r="K27" s="376" t="s">
        <v>1473</v>
      </c>
      <c r="L27" s="345" t="s">
        <v>1474</v>
      </c>
      <c r="M27" s="377" t="e">
        <f ca="1">INDIRECT("'数据-取费表'!ag"&amp;$G$1)</f>
        <v>#N/A</v>
      </c>
    </row>
    <row r="28" spans="1:37" s="1853" customFormat="1" ht="18" customHeight="1">
      <c r="A28" s="1199" t="s">
        <v>1037</v>
      </c>
      <c r="B28" s="345" t="s">
        <v>1475</v>
      </c>
      <c r="C28" s="24">
        <f>ROUND(F28/(1+'数据-取费表'!C42),4)</f>
        <v>5.33E-2</v>
      </c>
      <c r="D28" s="367" t="s">
        <v>1476</v>
      </c>
      <c r="E28" s="345" t="s">
        <v>1422</v>
      </c>
      <c r="F28" s="365">
        <f>'数据-取费表'!B41</f>
        <v>5.6000000000000001E-2</v>
      </c>
      <c r="G28" s="1849"/>
      <c r="H28" s="351"/>
      <c r="I28" s="352"/>
      <c r="J28" s="353"/>
      <c r="K28" s="371"/>
      <c r="L28" s="345" t="s">
        <v>1477</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t="e">
        <f ca="1">ROUND((C19+C20+C23+C26)/(1-F21-C24-C27-C28),0)</f>
        <v>#N/A</v>
      </c>
      <c r="D29" s="1338"/>
      <c r="E29" s="1336"/>
      <c r="F29" s="1339"/>
      <c r="G29" s="1849"/>
      <c r="H29" s="378" t="s">
        <v>1033</v>
      </c>
      <c r="I29" s="379" t="s">
        <v>1479</v>
      </c>
      <c r="J29" s="380" t="e">
        <f ca="1">ROUND(J26/(1+F40)^F41,0)</f>
        <v>#N/A</v>
      </c>
      <c r="K29" s="381" t="s">
        <v>1480</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3" t="e">
        <f ca="1">ROUND(C31+C36+C37+C38,0)</f>
        <v>#N/A</v>
      </c>
      <c r="D30" s="1333" t="s">
        <v>1425</v>
      </c>
      <c r="E30" s="1334"/>
      <c r="F30" s="1290"/>
      <c r="G30" s="1846"/>
      <c r="H30" s="741"/>
      <c r="I30" s="742"/>
      <c r="J30" s="743"/>
      <c r="K30" s="744"/>
      <c r="L30" s="745"/>
      <c r="M30" s="746"/>
    </row>
    <row r="31" spans="1:37" ht="18" customHeight="1">
      <c r="A31" s="1199" t="s">
        <v>1035</v>
      </c>
      <c r="B31" s="345" t="s">
        <v>1429</v>
      </c>
      <c r="C31" s="24" t="e">
        <f ca="1">ROUND(IF(项目基本情况!B11="自然人",C5*F31,C32+C33+C34),0)</f>
        <v>#N/A</v>
      </c>
      <c r="D31" s="1795" t="s">
        <v>1430</v>
      </c>
      <c r="E31" s="1793" t="s">
        <v>1481</v>
      </c>
      <c r="F31" s="366" t="str">
        <f ca="1">IF(项目基本情况!B11="企业","",IF(INDIRECT("'数据-取费表'!c"&amp;$G$1)="住宅",5%,IF(F6*F7*F8/12/(1+'数据-取费表'!C42)&gt;20000,12%,7%)))</f>
        <v/>
      </c>
      <c r="G31" s="1846"/>
      <c r="H31" s="741"/>
      <c r="I31" s="742"/>
      <c r="J31" s="743"/>
      <c r="K31" s="744"/>
      <c r="L31" s="745"/>
      <c r="M31" s="746"/>
    </row>
    <row r="32" spans="1:37" ht="18" customHeight="1">
      <c r="A32" s="1199" t="s">
        <v>1034</v>
      </c>
      <c r="B32" s="345" t="s">
        <v>1433</v>
      </c>
      <c r="C32" s="24" t="e">
        <f ca="1">IF(项目基本情况!B11="自然人","——",ROUND(C5*F32/(1+'数据-取费表'!C42),0))</f>
        <v>#N/A</v>
      </c>
      <c r="D32" s="1793" t="s">
        <v>1434</v>
      </c>
      <c r="E32" s="345" t="s">
        <v>1422</v>
      </c>
      <c r="F32" s="375">
        <f>'数据-取费表'!B41</f>
        <v>5.6000000000000001E-2</v>
      </c>
      <c r="G32" s="1846"/>
      <c r="H32" s="741"/>
      <c r="I32" s="742"/>
      <c r="J32" s="743"/>
      <c r="K32" s="744"/>
      <c r="L32" s="745"/>
      <c r="M32" s="746"/>
    </row>
    <row r="33" spans="1:18" ht="18" customHeight="1">
      <c r="A33" s="1199" t="s">
        <v>1036</v>
      </c>
      <c r="B33" s="345" t="s">
        <v>1437</v>
      </c>
      <c r="C33" s="24" t="e">
        <f ca="1">IF(项目基本情况!B11="自然人","——",IF(D33="按租金收入计税",ROUND(C5*F33,0),IF(D33="按房产原值计税",ROUND(C29*F33*0.7,0),INDIRECT("'数据-取费表'!Aj"&amp;$G$1))))</f>
        <v>#N/A</v>
      </c>
      <c r="D33" s="1823" t="s">
        <v>1438</v>
      </c>
      <c r="E33" s="345" t="s">
        <v>1422</v>
      </c>
      <c r="F33" s="365">
        <f>IF(D33="按票据","——",IF(D33="按租金收入计税",'数据-取费表'!B51,'数据-取费表'!B50))</f>
        <v>1.2E-2</v>
      </c>
      <c r="G33" s="1846"/>
      <c r="H33" s="1854"/>
      <c r="I33" s="1855"/>
      <c r="J33" s="1856"/>
      <c r="K33" s="1857"/>
      <c r="L33" s="1854"/>
      <c r="M33" s="1854"/>
    </row>
    <row r="34" spans="1:18" ht="18" customHeight="1">
      <c r="A34" s="1287" t="s">
        <v>1389</v>
      </c>
      <c r="B34" s="162" t="s">
        <v>1441</v>
      </c>
      <c r="C34" s="25" t="e">
        <f ca="1">IF(项目基本情况!B11="自然人","——",ROUND(F34*F35,))</f>
        <v>#N/A</v>
      </c>
      <c r="D34" s="368" t="s">
        <v>1442</v>
      </c>
      <c r="E34" s="345" t="s">
        <v>1443</v>
      </c>
      <c r="F34" s="369">
        <f>'数据-取费表'!B52</f>
        <v>12</v>
      </c>
      <c r="G34" s="1846"/>
      <c r="H34" s="741"/>
      <c r="I34" s="1855"/>
      <c r="J34" s="1856"/>
      <c r="K34" s="1858"/>
      <c r="L34" s="1859"/>
      <c r="M34" s="1859"/>
    </row>
    <row r="35" spans="1:18" ht="18" customHeight="1">
      <c r="A35" s="1349"/>
      <c r="B35" s="1347"/>
      <c r="C35" s="29"/>
      <c r="D35" s="371"/>
      <c r="E35" s="345" t="s">
        <v>1447</v>
      </c>
      <c r="F35" s="346" t="e">
        <f ca="1">INDIRECT("'数据-取费表'!r"&amp;$G$1)</f>
        <v>#N/A</v>
      </c>
      <c r="G35" s="1846"/>
      <c r="H35" s="741"/>
      <c r="I35" s="1855"/>
      <c r="J35" s="1856"/>
      <c r="K35" s="1857"/>
      <c r="L35" s="1854"/>
      <c r="M35" s="1854"/>
    </row>
    <row r="36" spans="1:18" ht="18" customHeight="1">
      <c r="A36" s="1348" t="s">
        <v>1039</v>
      </c>
      <c r="B36" s="345" t="s">
        <v>1449</v>
      </c>
      <c r="C36" s="24" t="e">
        <f ca="1">ROUND(C29*F36,0)</f>
        <v>#N/A</v>
      </c>
      <c r="D36" s="1793" t="s">
        <v>1482</v>
      </c>
      <c r="E36" s="345" t="s">
        <v>1422</v>
      </c>
      <c r="F36" s="372" t="e">
        <f ca="1">INDIRECT("'数据-取费表'!Ak"&amp;$G$1)</f>
        <v>#N/A</v>
      </c>
      <c r="G36" s="1846"/>
      <c r="H36" s="1854"/>
      <c r="I36" s="1855"/>
      <c r="J36" s="1856"/>
      <c r="K36" s="747"/>
      <c r="L36" s="1854"/>
      <c r="M36" s="1854"/>
    </row>
    <row r="37" spans="1:18" ht="18" customHeight="1">
      <c r="A37" s="1199" t="s">
        <v>1075</v>
      </c>
      <c r="B37" s="345" t="s">
        <v>1453</v>
      </c>
      <c r="C37" s="24" t="e">
        <f ca="1">ROUND(C13*F37,0)</f>
        <v>#N/A</v>
      </c>
      <c r="D37" s="1793" t="s">
        <v>1454</v>
      </c>
      <c r="E37" s="345" t="s">
        <v>1455</v>
      </c>
      <c r="F37" s="374" t="e">
        <f ca="1">INDIRECT("'数据-取费表'!Al"&amp;$G$1)</f>
        <v>#N/A</v>
      </c>
      <c r="G37" s="1846"/>
      <c r="H37" s="1854"/>
      <c r="I37" s="1855"/>
      <c r="J37" s="1856"/>
      <c r="K37" s="747"/>
      <c r="L37" s="1854"/>
      <c r="M37" s="1854"/>
    </row>
    <row r="38" spans="1:18" ht="18" customHeight="1" thickBot="1">
      <c r="A38" s="1335" t="s">
        <v>1393</v>
      </c>
      <c r="B38" s="1336" t="s">
        <v>1439</v>
      </c>
      <c r="C38" s="1337" t="e">
        <f ca="1">ROUND(C5*F38,1)</f>
        <v>#N/A</v>
      </c>
      <c r="D38" s="1338" t="s">
        <v>1459</v>
      </c>
      <c r="E38" s="1336" t="s">
        <v>1455</v>
      </c>
      <c r="F38" s="1332" t="e">
        <f ca="1">INDIRECT("'数据-取费表'!Am"&amp;$G$1)</f>
        <v>#N/A</v>
      </c>
      <c r="G38" s="1846"/>
      <c r="H38" s="1854"/>
      <c r="I38" s="1855"/>
      <c r="J38" s="1856"/>
      <c r="K38" s="1860"/>
      <c r="L38" s="1854"/>
      <c r="M38" s="1854"/>
    </row>
    <row r="39" spans="1:18" ht="24.6" customHeight="1" thickTop="1">
      <c r="A39" s="1325" t="s">
        <v>1031</v>
      </c>
      <c r="B39" s="1340" t="s">
        <v>1483</v>
      </c>
      <c r="C39" s="353" t="e">
        <f ca="1">C5-C30</f>
        <v>#N/A</v>
      </c>
      <c r="D39" s="1341" t="s">
        <v>1484</v>
      </c>
      <c r="E39" s="1342"/>
      <c r="F39" s="1343"/>
      <c r="G39" s="1846"/>
      <c r="H39" s="1854"/>
      <c r="I39" s="1855"/>
      <c r="J39" s="1856"/>
      <c r="K39" s="1860"/>
      <c r="L39" s="1854"/>
      <c r="M39" s="1854"/>
    </row>
    <row r="40" spans="1:18" ht="18" customHeight="1">
      <c r="A40" s="342" t="s">
        <v>1032</v>
      </c>
      <c r="B40" s="343" t="s">
        <v>1485</v>
      </c>
      <c r="C40" s="344" t="e">
        <f ca="1">ROUND(C39*(1-((1+F42)/(1+F40))^F41)/(F40-F42),0)</f>
        <v>#N/A</v>
      </c>
      <c r="D40" s="368" t="s">
        <v>1469</v>
      </c>
      <c r="E40" s="345" t="s">
        <v>1470</v>
      </c>
      <c r="F40" s="355" t="e">
        <f ca="1">INDIRECT("'数据-取费表'!I"&amp;$G$1)</f>
        <v>#N/A</v>
      </c>
      <c r="G40" s="1846"/>
      <c r="H40" s="1834"/>
      <c r="I40" s="1855"/>
      <c r="J40" s="1856"/>
      <c r="K40" s="1860"/>
      <c r="L40" s="1834"/>
      <c r="M40" s="1834"/>
    </row>
    <row r="41" spans="1:18" ht="18" customHeight="1">
      <c r="A41" s="347"/>
      <c r="B41" s="348"/>
      <c r="C41" s="349"/>
      <c r="D41" s="376" t="s">
        <v>1486</v>
      </c>
      <c r="E41" s="345" t="s">
        <v>1474</v>
      </c>
      <c r="F41" s="377" t="e">
        <f ca="1">IF(INDIRECT("'数据-取费表'!af"&amp;$G$1)=0,INDIRECT("'数据-取费表'!ae"&amp;$G$1),INDIRECT("'数据-取费表'!af"&amp;$G$1))</f>
        <v>#N/A</v>
      </c>
      <c r="G41" s="1846"/>
      <c r="H41" s="728"/>
      <c r="I41" s="1855"/>
      <c r="J41" s="1856"/>
      <c r="K41" s="747"/>
      <c r="L41" s="728"/>
      <c r="M41" s="728"/>
    </row>
    <row r="42" spans="1:18" ht="18" customHeight="1">
      <c r="A42" s="351"/>
      <c r="B42" s="352"/>
      <c r="C42" s="353"/>
      <c r="D42" s="371"/>
      <c r="E42" s="345" t="s">
        <v>1477</v>
      </c>
      <c r="F42" s="355" t="e">
        <f ca="1">INDIRECT("'数据-取费表'!v"&amp;$G$1)</f>
        <v>#N/A</v>
      </c>
      <c r="G42" s="1846"/>
      <c r="H42" s="728"/>
      <c r="I42" s="1855"/>
      <c r="J42" s="1856"/>
      <c r="K42" s="747"/>
      <c r="L42" s="728"/>
      <c r="M42" s="728"/>
    </row>
    <row r="43" spans="1:18" ht="18" customHeight="1" thickBot="1">
      <c r="A43" s="378" t="s">
        <v>1033</v>
      </c>
      <c r="B43" s="379" t="s">
        <v>1487</v>
      </c>
      <c r="C43" s="380" t="e">
        <f ca="1">ROUND(C40/F43,0)</f>
        <v>#N/A</v>
      </c>
      <c r="D43" s="381" t="s">
        <v>1488</v>
      </c>
      <c r="E43" s="382" t="s">
        <v>1489</v>
      </c>
      <c r="F43" s="383" t="e">
        <f ca="1">INDIRECT("'数据-取费表'!k"&amp;$G$1)</f>
        <v>#N/A</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1604</v>
      </c>
      <c r="E45" s="1861"/>
      <c r="F45" s="1861"/>
      <c r="O45" s="1864" t="s">
        <v>1519</v>
      </c>
      <c r="P45" s="1834"/>
      <c r="Q45" s="1834"/>
      <c r="R45" s="1834"/>
    </row>
    <row r="46" spans="1:18" s="1837" customFormat="1" ht="13.5" thickBot="1">
      <c r="A46" s="1865" t="s">
        <v>1520</v>
      </c>
      <c r="C46" s="1866" t="e">
        <f ca="1">ROUND(C45/10000,0)</f>
        <v>#N/A</v>
      </c>
      <c r="D46" s="1867" t="str">
        <f>C2</f>
        <v>万元</v>
      </c>
      <c r="I46" s="1868" t="s">
        <v>1521</v>
      </c>
      <c r="J46" s="1869"/>
      <c r="K46" s="1870"/>
      <c r="L46" s="1871" t="e">
        <f ca="1">IF(M47="住宅",0,IF(L48&gt;J51,L60,J60))</f>
        <v>#N/A</v>
      </c>
      <c r="O46" s="1872" t="s">
        <v>1522</v>
      </c>
      <c r="P46" s="1873" t="s">
        <v>1523</v>
      </c>
      <c r="Q46" s="1874" t="s">
        <v>1524</v>
      </c>
      <c r="R46" s="1874" t="s">
        <v>1525</v>
      </c>
    </row>
    <row r="47" spans="1:18" s="1837" customFormat="1" ht="13.5" thickBot="1">
      <c r="A47" s="1163" t="s">
        <v>1396</v>
      </c>
      <c r="B47" s="1195" t="s">
        <v>1397</v>
      </c>
      <c r="C47" s="1195" t="s">
        <v>1398</v>
      </c>
      <c r="D47" s="1195" t="s">
        <v>1399</v>
      </c>
      <c r="E47" s="1275" t="s">
        <v>1400</v>
      </c>
      <c r="F47" s="1276"/>
      <c r="G47" s="788"/>
      <c r="I47" s="1875" t="s">
        <v>1526</v>
      </c>
      <c r="J47" s="1876" t="s">
        <v>3043</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6" t="s">
        <v>1135</v>
      </c>
      <c r="B48" s="343" t="s">
        <v>1401</v>
      </c>
      <c r="C48" s="1812" t="e">
        <f ca="1">C49+C53+C55</f>
        <v>#N/A</v>
      </c>
      <c r="D48" s="1358"/>
      <c r="E48" s="1359"/>
      <c r="F48" s="1179"/>
      <c r="G48" s="788"/>
      <c r="H48" s="789"/>
      <c r="I48" s="1882" t="s">
        <v>1530</v>
      </c>
      <c r="J48" s="1883" t="s">
        <v>3044</v>
      </c>
      <c r="K48" s="1884" t="s">
        <v>1531</v>
      </c>
      <c r="L48" s="1885" t="e">
        <f ca="1">INDIRECT("'数据-取费表'!f"&amp;$G$1)</f>
        <v>#N/A</v>
      </c>
      <c r="O48" s="1879" t="s">
        <v>1041</v>
      </c>
      <c r="P48" s="1880" t="s">
        <v>1532</v>
      </c>
      <c r="Q48" s="1881" t="e">
        <f ca="1">J60</f>
        <v>#N/A</v>
      </c>
      <c r="R48" s="1881" t="s">
        <v>1533</v>
      </c>
    </row>
    <row r="49" spans="1:18" s="1837" customFormat="1" ht="13.5" thickBot="1">
      <c r="A49" s="1192" t="s">
        <v>1136</v>
      </c>
      <c r="B49" s="1824" t="s">
        <v>1490</v>
      </c>
      <c r="C49" s="1360" t="e">
        <f ca="1">ROUND(F49*F51*F50*(1-F52),0)</f>
        <v>#N/A</v>
      </c>
      <c r="D49" s="1272" t="s">
        <v>1404</v>
      </c>
      <c r="E49" s="1825" t="s">
        <v>1491</v>
      </c>
      <c r="F49" s="1277"/>
      <c r="G49" s="1886"/>
      <c r="H49" s="789"/>
      <c r="I49" s="1882" t="s">
        <v>1534</v>
      </c>
      <c r="J49" s="1887">
        <v>2012</v>
      </c>
      <c r="K49" s="1884" t="s">
        <v>1535</v>
      </c>
      <c r="L49" s="1888"/>
      <c r="O49" s="1889" t="s">
        <v>1042</v>
      </c>
      <c r="P49" s="1880" t="s">
        <v>1536</v>
      </c>
      <c r="Q49" s="1881" t="e">
        <f ca="1">C29</f>
        <v>#N/A</v>
      </c>
      <c r="R49" s="1881" t="s">
        <v>1529</v>
      </c>
    </row>
    <row r="50" spans="1:18" s="1837" customFormat="1" ht="13.5" thickBot="1">
      <c r="A50" s="1193"/>
      <c r="B50" s="1196"/>
      <c r="C50" s="1197"/>
      <c r="D50" s="1170"/>
      <c r="E50" s="1273" t="s">
        <v>1406</v>
      </c>
      <c r="F50" s="1274" t="e">
        <f ca="1">F7</f>
        <v>#N/A</v>
      </c>
      <c r="H50" s="789"/>
      <c r="I50" s="1882" t="s">
        <v>1537</v>
      </c>
      <c r="J50" s="1890">
        <f>SUMPRODUCT((I63:I65=J47)*(J62:L62=J48)*(J63:L65))</f>
        <v>60</v>
      </c>
      <c r="K50" s="1884" t="s">
        <v>1538</v>
      </c>
      <c r="L50" s="1888"/>
      <c r="M50" s="1891"/>
      <c r="O50" s="1889" t="s">
        <v>1043</v>
      </c>
      <c r="P50" s="1880" t="s">
        <v>1539</v>
      </c>
      <c r="Q50" s="1892" t="e">
        <f ca="1">J58</f>
        <v>#N/A</v>
      </c>
      <c r="R50" s="1881"/>
    </row>
    <row r="51" spans="1:18" s="1837" customFormat="1" ht="13.5" thickBot="1">
      <c r="A51" s="1194"/>
      <c r="B51" s="1196"/>
      <c r="C51" s="1197"/>
      <c r="D51" s="1170"/>
      <c r="E51" s="1198" t="s">
        <v>1407</v>
      </c>
      <c r="F51" s="346" t="e">
        <f ca="1">F8</f>
        <v>#N/A</v>
      </c>
      <c r="I51" s="1893" t="s">
        <v>1540</v>
      </c>
      <c r="J51" s="1894">
        <f>IF(J49="",J50,J49+J50-YEAR('数据-取费表'!B2))</f>
        <v>54</v>
      </c>
      <c r="K51" s="1895" t="s">
        <v>1541</v>
      </c>
      <c r="L51" s="1896" t="e">
        <f ca="1">ROUND(-PV(INDIRECT("'数据-取费表'!h"&amp;$G$1),L48,(C39-C13*C76),0),0)</f>
        <v>#N/A</v>
      </c>
      <c r="M51" s="1897"/>
      <c r="O51" s="1889" t="s">
        <v>1044</v>
      </c>
      <c r="P51" s="1880" t="s">
        <v>1542</v>
      </c>
      <c r="Q51" s="1892">
        <f>J52</f>
        <v>8.5000000000000006E-2</v>
      </c>
      <c r="R51" s="1881"/>
    </row>
    <row r="52" spans="1:18" s="1837" customFormat="1" ht="13.5" thickBot="1">
      <c r="A52" s="1194"/>
      <c r="B52" s="1196"/>
      <c r="C52" s="1197"/>
      <c r="D52" s="1170"/>
      <c r="E52" s="1198" t="s">
        <v>1408</v>
      </c>
      <c r="F52" s="1271"/>
      <c r="I52" s="1898" t="s">
        <v>1543</v>
      </c>
      <c r="J52" s="1899">
        <v>8.5000000000000006E-2</v>
      </c>
      <c r="K52" s="1898" t="s">
        <v>1544</v>
      </c>
      <c r="L52" s="1899"/>
      <c r="O52" s="1889" t="s">
        <v>1045</v>
      </c>
      <c r="P52" s="1880" t="s">
        <v>1545</v>
      </c>
      <c r="Q52" s="1881" t="e">
        <f ca="1">J53</f>
        <v>#N/A</v>
      </c>
      <c r="R52" s="1881" t="s">
        <v>1546</v>
      </c>
    </row>
    <row r="53" spans="1:18" s="1837" customFormat="1" ht="30.75" customHeight="1" thickBot="1">
      <c r="A53" s="1357" t="s">
        <v>1137</v>
      </c>
      <c r="B53" s="367" t="s">
        <v>1409</v>
      </c>
      <c r="C53" s="359">
        <f ca="1">ROUND(IF(F53="押一",C49/12*F11,IF(F53="押二",C49/12*2*F11,IF(F53="押三",C49/12*3*F11,C54*F11))),0)</f>
        <v>0</v>
      </c>
      <c r="D53" s="1819" t="s">
        <v>3025</v>
      </c>
      <c r="E53" s="356" t="s">
        <v>1410</v>
      </c>
      <c r="F53" s="1362"/>
      <c r="I53" s="1900" t="s">
        <v>1547</v>
      </c>
      <c r="J53" s="1901" t="e">
        <f ca="1">IF(M47="住宅",J51,IF(D1="——",MIN(J51,L48),IF(D1="在建（套用方法）",MIN(J51,L48-'数据-取费表'!B24),IF(D1="土地（套用方法）",MIN(J51,L48-'数据-取费表'!B20)))))</f>
        <v>#N/A</v>
      </c>
      <c r="K53" s="3329" t="s">
        <v>1548</v>
      </c>
      <c r="L53" s="3330"/>
      <c r="O53" s="1879" t="s">
        <v>1046</v>
      </c>
      <c r="P53" s="1880" t="s">
        <v>1549</v>
      </c>
      <c r="Q53" s="1881" t="e">
        <f ca="1">Q47+Q48</f>
        <v>#N/A</v>
      </c>
      <c r="R53" s="1881" t="s">
        <v>1047</v>
      </c>
    </row>
    <row r="54" spans="1:18" s="1837" customFormat="1" ht="13.5" thickBot="1">
      <c r="A54" s="1192"/>
      <c r="B54" s="1936" t="s">
        <v>1603</v>
      </c>
      <c r="C54" s="1176"/>
      <c r="D54" s="1819"/>
      <c r="E54" s="1827"/>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#N/A</v>
      </c>
      <c r="K55" s="1907" t="s">
        <v>1552</v>
      </c>
      <c r="L55" s="1908"/>
      <c r="O55" s="1872" t="s">
        <v>1522</v>
      </c>
      <c r="P55" s="1873" t="s">
        <v>1523</v>
      </c>
      <c r="Q55" s="1874" t="s">
        <v>1524</v>
      </c>
      <c r="R55" s="1874" t="s">
        <v>1525</v>
      </c>
    </row>
    <row r="56" spans="1:18" s="1837" customFormat="1" ht="36" customHeight="1" thickTop="1" thickBot="1">
      <c r="A56" s="1174">
        <v>2</v>
      </c>
      <c r="B56" s="1175" t="s">
        <v>1414</v>
      </c>
      <c r="C56" s="274" t="e">
        <f ca="1">C13</f>
        <v>#N/A</v>
      </c>
      <c r="D56" s="1909"/>
      <c r="E56" s="1910"/>
      <c r="F56" s="1902"/>
      <c r="I56" s="1911" t="s">
        <v>1554</v>
      </c>
      <c r="J56" s="1912" t="s">
        <v>3031</v>
      </c>
      <c r="K56" s="1882" t="s">
        <v>1555</v>
      </c>
      <c r="L56" s="1885" t="e">
        <f ca="1">IF(L48&lt;J51,"——",L48-J51)</f>
        <v>#N/A</v>
      </c>
      <c r="O56" s="1879" t="s">
        <v>1040</v>
      </c>
      <c r="P56" s="1880" t="s">
        <v>1528</v>
      </c>
      <c r="Q56" s="1881" t="e">
        <f ca="1">C40+J29</f>
        <v>#N/A</v>
      </c>
      <c r="R56" s="1881" t="s">
        <v>1529</v>
      </c>
    </row>
    <row r="57" spans="1:18" s="1837" customFormat="1" ht="24.75" thickBot="1">
      <c r="A57" s="1913"/>
      <c r="B57" s="1167" t="s">
        <v>1478</v>
      </c>
      <c r="C57" s="280" t="e">
        <f ca="1">C29</f>
        <v>#N/A</v>
      </c>
      <c r="D57" s="1914"/>
      <c r="E57" s="1915"/>
      <c r="F57" s="1916"/>
      <c r="I57" s="1917" t="s">
        <v>1556</v>
      </c>
      <c r="J57" s="1918" t="e">
        <f ca="1">IF(OR(M47="住宅",J51&lt;L48,J56="是"),"——",J51-L48)</f>
        <v>#N/A</v>
      </c>
      <c r="K57" s="1882" t="s">
        <v>1605</v>
      </c>
      <c r="L57" s="1885" t="e">
        <f ca="1">IF(L48&lt;J51,"——",IF(L55="比较法",L49,IF(L55="基准地价",L50,L51)))</f>
        <v>#N/A</v>
      </c>
      <c r="O57" s="1879" t="s">
        <v>1041</v>
      </c>
      <c r="P57" s="1880" t="s">
        <v>1606</v>
      </c>
      <c r="Q57" s="1881" t="e">
        <f ca="1">L60</f>
        <v>#N/A</v>
      </c>
      <c r="R57" s="1881" t="s">
        <v>1607</v>
      </c>
    </row>
    <row r="58" spans="1:18" s="1837" customFormat="1" ht="24.75" thickBot="1">
      <c r="A58" s="358" t="s">
        <v>1030</v>
      </c>
      <c r="B58" s="1175" t="s">
        <v>1424</v>
      </c>
      <c r="C58" s="359" t="e">
        <f ca="1">ROUND(C59+C64+C65+C66,0)</f>
        <v>#N/A</v>
      </c>
      <c r="D58" s="1177" t="s">
        <v>1425</v>
      </c>
      <c r="E58" s="1178"/>
      <c r="F58" s="1179"/>
      <c r="I58" s="1917" t="s">
        <v>1560</v>
      </c>
      <c r="J58" s="1919" t="e">
        <f ca="1">IF(J55&lt;0.4,0.4,J55)</f>
        <v>#N/A</v>
      </c>
      <c r="K58" s="1895" t="s">
        <v>1608</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9" t="s">
        <v>1035</v>
      </c>
      <c r="B59" s="1167" t="s">
        <v>1429</v>
      </c>
      <c r="C59" s="24" t="e">
        <f ca="1">ROUND(IF(项目基本情况!B11="自然人",C48*F59,C60+C61+C62),0)</f>
        <v>#N/A</v>
      </c>
      <c r="D59" s="1180" t="s">
        <v>1430</v>
      </c>
      <c r="E59" s="1181" t="s">
        <v>1431</v>
      </c>
      <c r="F59" s="366"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1043</v>
      </c>
      <c r="P59" s="1880" t="s">
        <v>1564</v>
      </c>
      <c r="Q59" s="1892">
        <f>L52</f>
        <v>0</v>
      </c>
      <c r="R59" s="1881"/>
    </row>
    <row r="60" spans="1:18" s="1837" customFormat="1" ht="16.5" thickBot="1">
      <c r="A60" s="1199" t="s">
        <v>1034</v>
      </c>
      <c r="B60" s="1167" t="s">
        <v>1433</v>
      </c>
      <c r="C60" s="24" t="e">
        <f ca="1">IF(项目基本情况!B11="自然人","——",ROUND(C48*F60/(1+'数据-取费表'!C42),0))</f>
        <v>#N/A</v>
      </c>
      <c r="D60" s="1181" t="s">
        <v>1434</v>
      </c>
      <c r="E60" s="1167" t="s">
        <v>1422</v>
      </c>
      <c r="F60" s="375">
        <f t="shared" ref="F60:F66" si="0">F32</f>
        <v>5.6000000000000001E-2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9" t="s">
        <v>1492</v>
      </c>
      <c r="B61" s="1167" t="s">
        <v>1493</v>
      </c>
      <c r="C61" s="24" t="e">
        <f ca="1">IF(项目基本情况!B11="自然人","——",IF(D61="按租金收入计税",ROUND(C48*F61,0),IF(D61="按房产原值计税",ROUND(C57*F61*0.7,0),INDIRECT("'数据-取费表'!Aj"&amp;$G$1))))</f>
        <v>#N/A</v>
      </c>
      <c r="D61" s="1823" t="s">
        <v>1438</v>
      </c>
      <c r="E61" s="1167" t="s">
        <v>1494</v>
      </c>
      <c r="F61" s="365">
        <f t="shared" si="0"/>
        <v>1.2E-2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9" t="s">
        <v>1495</v>
      </c>
      <c r="B62" s="1166" t="s">
        <v>1496</v>
      </c>
      <c r="C62" s="25" t="e">
        <f ca="1">IF(项目基本情况!B11="自然人","——",ROUND(F62*F63,0))</f>
        <v>#N/A</v>
      </c>
      <c r="D62" s="1182" t="s">
        <v>1497</v>
      </c>
      <c r="E62" s="1167" t="s">
        <v>1498</v>
      </c>
      <c r="F62" s="369">
        <f t="shared" si="0"/>
        <v>12</v>
      </c>
      <c r="I62" s="1924" t="s">
        <v>1570</v>
      </c>
      <c r="J62" s="1925" t="s">
        <v>1571</v>
      </c>
      <c r="K62" s="1925" t="s">
        <v>1572</v>
      </c>
      <c r="L62" s="1925" t="s">
        <v>1573</v>
      </c>
      <c r="M62" s="1926" t="s">
        <v>1574</v>
      </c>
      <c r="O62" s="1879" t="s">
        <v>1046</v>
      </c>
      <c r="P62" s="1880" t="s">
        <v>1575</v>
      </c>
      <c r="Q62" s="1881" t="e">
        <f ca="1">Q56+Q57</f>
        <v>#N/A</v>
      </c>
      <c r="R62" s="1881" t="s">
        <v>1047</v>
      </c>
    </row>
    <row r="63" spans="1:18" s="1837" customFormat="1" ht="13.5" thickBot="1">
      <c r="A63" s="370"/>
      <c r="B63" s="1173"/>
      <c r="C63" s="29"/>
      <c r="D63" s="1183"/>
      <c r="E63" s="1167" t="s">
        <v>1499</v>
      </c>
      <c r="F63" s="346" t="e">
        <f t="shared" ca="1" si="0"/>
        <v>#N/A</v>
      </c>
      <c r="I63" s="1924" t="s">
        <v>1576</v>
      </c>
      <c r="J63" s="1925">
        <v>70</v>
      </c>
      <c r="K63" s="1925">
        <v>50</v>
      </c>
      <c r="L63" s="1925">
        <v>80</v>
      </c>
      <c r="M63" s="1927">
        <v>0.02</v>
      </c>
      <c r="O63" s="1864" t="s">
        <v>1577</v>
      </c>
      <c r="P63" s="1834"/>
      <c r="Q63" s="1834"/>
      <c r="R63" s="1834"/>
    </row>
    <row r="64" spans="1:18" s="1837" customFormat="1" ht="13.5" thickBot="1">
      <c r="A64" s="1199" t="s">
        <v>1500</v>
      </c>
      <c r="B64" s="1167" t="s">
        <v>1501</v>
      </c>
      <c r="C64" s="24" t="e">
        <f ca="1">ROUND(C57*F64,0)</f>
        <v>#N/A</v>
      </c>
      <c r="D64" s="1181" t="s">
        <v>1502</v>
      </c>
      <c r="E64" s="1167" t="s">
        <v>1494</v>
      </c>
      <c r="F64" s="372"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9" t="s">
        <v>1503</v>
      </c>
      <c r="B65" s="1167" t="s">
        <v>1453</v>
      </c>
      <c r="C65" s="24" t="e">
        <f ca="1">ROUND(C56*F65,0)</f>
        <v>#N/A</v>
      </c>
      <c r="D65" s="1181" t="s">
        <v>1454</v>
      </c>
      <c r="E65" s="1167" t="s">
        <v>1455</v>
      </c>
      <c r="F65" s="374" t="e">
        <f t="shared" ca="1" si="0"/>
        <v>#N/A</v>
      </c>
      <c r="I65" s="1924" t="s">
        <v>1579</v>
      </c>
      <c r="J65" s="1925">
        <v>40</v>
      </c>
      <c r="K65" s="1925">
        <v>30</v>
      </c>
      <c r="L65" s="1925">
        <v>50</v>
      </c>
      <c r="M65" s="1927">
        <v>0.02</v>
      </c>
      <c r="O65" s="1879" t="s">
        <v>1040</v>
      </c>
      <c r="P65" s="1880" t="s">
        <v>1580</v>
      </c>
      <c r="Q65" s="1881" t="e">
        <f ca="1">C40+J29</f>
        <v>#N/A</v>
      </c>
      <c r="R65" s="1881" t="s">
        <v>1529</v>
      </c>
    </row>
    <row r="66" spans="1:18" s="1837" customFormat="1" ht="16.5" thickBot="1">
      <c r="A66" s="1199" t="s">
        <v>1504</v>
      </c>
      <c r="B66" s="1167" t="s">
        <v>1439</v>
      </c>
      <c r="C66" s="24" t="e">
        <f ca="1">ROUND(C48*F66,0)</f>
        <v>#N/A</v>
      </c>
      <c r="D66" s="1181" t="s">
        <v>1505</v>
      </c>
      <c r="E66" s="1167" t="s">
        <v>1422</v>
      </c>
      <c r="F66" s="355" t="e">
        <f t="shared" ca="1" si="0"/>
        <v>#N/A</v>
      </c>
      <c r="O66" s="1879" t="s">
        <v>1041</v>
      </c>
      <c r="P66" s="1880" t="s">
        <v>1558</v>
      </c>
      <c r="Q66" s="1881" t="e">
        <f ca="1">L60</f>
        <v>#N/A</v>
      </c>
      <c r="R66" s="1881" t="s">
        <v>1581</v>
      </c>
    </row>
    <row r="67" spans="1:18" s="1837" customFormat="1" ht="16.5" thickBot="1">
      <c r="A67" s="1174" t="s">
        <v>1031</v>
      </c>
      <c r="B67" s="1184" t="s">
        <v>1463</v>
      </c>
      <c r="C67" s="359" t="e">
        <f ca="1">C48-C58</f>
        <v>#N/A</v>
      </c>
      <c r="D67" s="1180" t="s">
        <v>1464</v>
      </c>
      <c r="E67" s="1185"/>
      <c r="F67" s="1186"/>
      <c r="O67" s="1889" t="s">
        <v>1042</v>
      </c>
      <c r="P67" s="1880" t="s">
        <v>1562</v>
      </c>
      <c r="Q67" s="1928" t="e">
        <f ca="1">L51</f>
        <v>#N/A</v>
      </c>
      <c r="R67" s="1881" t="s">
        <v>1582</v>
      </c>
    </row>
    <row r="68" spans="1:18" s="1837" customFormat="1" ht="16.5" thickBot="1">
      <c r="A68" s="1164" t="s">
        <v>1032</v>
      </c>
      <c r="B68" s="1165" t="s">
        <v>1485</v>
      </c>
      <c r="C68" s="344" t="e">
        <f ca="1">ROUND(C67*(1-((1+F70)/(1+F68))^F69)/(F68-F70),0)</f>
        <v>#N/A</v>
      </c>
      <c r="D68" s="1182" t="s">
        <v>1469</v>
      </c>
      <c r="E68" s="1167" t="s">
        <v>1470</v>
      </c>
      <c r="F68" s="355" t="e">
        <f ca="1">F40</f>
        <v>#N/A</v>
      </c>
      <c r="O68" s="1889" t="s">
        <v>1043</v>
      </c>
      <c r="P68" s="1929" t="s">
        <v>1583</v>
      </c>
      <c r="Q68" s="1881" t="e">
        <f ca="1">ROUND(Q69-Q70*Q71,0)</f>
        <v>#N/A</v>
      </c>
      <c r="R68" s="1881" t="s">
        <v>1051</v>
      </c>
    </row>
    <row r="69" spans="1:18" s="1837" customFormat="1" ht="13.5" thickBot="1">
      <c r="A69" s="1168"/>
      <c r="B69" s="1169"/>
      <c r="C69" s="349"/>
      <c r="D69" s="1187" t="s">
        <v>1473</v>
      </c>
      <c r="E69" s="1167" t="s">
        <v>1474</v>
      </c>
      <c r="F69" s="377" t="e">
        <f ca="1">F41</f>
        <v>#N/A</v>
      </c>
      <c r="O69" s="1889" t="s">
        <v>1048</v>
      </c>
      <c r="P69" s="1929" t="s">
        <v>1584</v>
      </c>
      <c r="Q69" s="1881" t="e">
        <f ca="1">C39</f>
        <v>#N/A</v>
      </c>
      <c r="R69" s="1881" t="s">
        <v>1529</v>
      </c>
    </row>
    <row r="70" spans="1:18" s="1837" customFormat="1" ht="13.5" thickBot="1">
      <c r="A70" s="1171"/>
      <c r="B70" s="1172"/>
      <c r="C70" s="353"/>
      <c r="D70" s="1183"/>
      <c r="E70" s="1167" t="s">
        <v>1477</v>
      </c>
      <c r="F70" s="1271" t="e">
        <f ca="1">F42</f>
        <v>#N/A</v>
      </c>
      <c r="O70" s="1889" t="s">
        <v>1049</v>
      </c>
      <c r="P70" s="1929" t="s">
        <v>1585</v>
      </c>
      <c r="Q70" s="1881" t="e">
        <f ca="1">C13</f>
        <v>#N/A</v>
      </c>
      <c r="R70" s="1881" t="s">
        <v>1529</v>
      </c>
    </row>
    <row r="71" spans="1:18" s="1837" customFormat="1" ht="13.5" thickBot="1">
      <c r="A71" s="1188" t="s">
        <v>1033</v>
      </c>
      <c r="B71" s="1189" t="s">
        <v>1487</v>
      </c>
      <c r="C71" s="380" t="e">
        <f ca="1">ROUND(C68/F71,0)</f>
        <v>#N/A</v>
      </c>
      <c r="D71" s="1190" t="s">
        <v>1488</v>
      </c>
      <c r="E71" s="1191" t="s">
        <v>1489</v>
      </c>
      <c r="F71" s="383" t="e">
        <f ca="1">F43</f>
        <v>#N/A</v>
      </c>
      <c r="O71" s="1889" t="s">
        <v>1050</v>
      </c>
      <c r="P71" s="1929" t="s">
        <v>1586</v>
      </c>
      <c r="Q71" s="1892" t="e">
        <f ca="1">C76</f>
        <v>#N/A</v>
      </c>
      <c r="R71" s="1881"/>
    </row>
    <row r="72" spans="1:18" s="1837" customFormat="1" ht="13.5" thickBot="1">
      <c r="B72" s="792"/>
      <c r="C72" s="792"/>
      <c r="O72" s="1889" t="s">
        <v>1044</v>
      </c>
      <c r="P72" s="1880" t="s">
        <v>1564</v>
      </c>
      <c r="Q72" s="1892">
        <f>L52</f>
        <v>0</v>
      </c>
      <c r="R72" s="1881"/>
    </row>
    <row r="73" spans="1:18" ht="16.5" thickBot="1">
      <c r="A73" s="1837"/>
      <c r="B73" s="792"/>
      <c r="C73" s="792"/>
      <c r="D73" s="1837"/>
      <c r="E73" s="1837"/>
      <c r="F73" s="1837"/>
      <c r="O73" s="1889" t="s">
        <v>1045</v>
      </c>
      <c r="P73" s="1880" t="s">
        <v>1567</v>
      </c>
      <c r="Q73" s="1881" t="e">
        <f ca="1">L58</f>
        <v>#N/A</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4" t="s">
        <v>1506</v>
      </c>
      <c r="C75" s="385" t="e">
        <f ca="1">ROUND(C13*C76,0)</f>
        <v>#N/A</v>
      </c>
      <c r="D75" s="1837"/>
      <c r="E75" s="1837"/>
      <c r="F75" s="1837"/>
      <c r="K75" s="1863"/>
      <c r="L75" s="1837"/>
      <c r="O75" s="1879" t="s">
        <v>1046</v>
      </c>
      <c r="P75" s="1880" t="s">
        <v>1549</v>
      </c>
      <c r="Q75" s="1881" t="e">
        <f ca="1">Q65+Q66</f>
        <v>#N/A</v>
      </c>
      <c r="R75" s="1881" t="s">
        <v>1047</v>
      </c>
    </row>
    <row r="76" spans="1:18">
      <c r="B76" s="386" t="s">
        <v>1507</v>
      </c>
      <c r="C76" s="387" t="e">
        <f ca="1">INDIRECT("'数据-取费表'!j"&amp;$G$1)</f>
        <v>#N/A</v>
      </c>
      <c r="I76" s="1837"/>
      <c r="J76" s="1837"/>
      <c r="K76" s="1863"/>
      <c r="L76" s="1837"/>
    </row>
    <row r="77" spans="1:18">
      <c r="B77" s="388" t="s">
        <v>1508</v>
      </c>
      <c r="C77" s="389"/>
      <c r="I77" s="1837"/>
      <c r="J77" s="1837"/>
      <c r="K77" s="1863"/>
      <c r="L77" s="1837"/>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33" t="s">
        <v>1076</v>
      </c>
      <c r="B1" s="3334"/>
      <c r="C1" s="3335"/>
      <c r="D1" s="3336">
        <f>SUM(I10,I15,I20,I21,I23)</f>
        <v>0</v>
      </c>
      <c r="E1" s="3336"/>
      <c r="F1" s="3336"/>
      <c r="G1" s="3336"/>
      <c r="H1" s="3336"/>
      <c r="I1" s="3337"/>
    </row>
    <row r="2" spans="1:9">
      <c r="A2" s="3338" t="s">
        <v>1077</v>
      </c>
      <c r="B2" s="3339" t="s">
        <v>1078</v>
      </c>
      <c r="C2" s="3339"/>
      <c r="D2" s="1297" t="s">
        <v>1079</v>
      </c>
      <c r="E2" s="1297" t="s">
        <v>1080</v>
      </c>
      <c r="F2" s="1297" t="s">
        <v>1081</v>
      </c>
      <c r="G2" s="1297" t="s">
        <v>1082</v>
      </c>
      <c r="H2" s="1297" t="s">
        <v>1083</v>
      </c>
      <c r="I2" s="1298" t="s">
        <v>1084</v>
      </c>
    </row>
    <row r="3" spans="1:9">
      <c r="A3" s="3338"/>
      <c r="B3" s="3339" t="s">
        <v>1085</v>
      </c>
      <c r="C3" s="3339"/>
      <c r="D3" s="1299"/>
      <c r="E3" s="1297"/>
      <c r="F3" s="1300"/>
      <c r="G3" s="1300"/>
      <c r="H3" s="1301"/>
      <c r="I3" s="1302">
        <f>ROUND(D3*E3*F3*G3*H3/10000,0)</f>
        <v>0</v>
      </c>
    </row>
    <row r="4" spans="1:9">
      <c r="A4" s="3338"/>
      <c r="B4" s="3339" t="s">
        <v>1086</v>
      </c>
      <c r="C4" s="3339"/>
      <c r="D4" s="1299"/>
      <c r="E4" s="1297"/>
      <c r="F4" s="1300"/>
      <c r="G4" s="1300"/>
      <c r="H4" s="1301"/>
      <c r="I4" s="1302">
        <f t="shared" ref="I4:I9" si="0">ROUND(D4*E4*F4*G4*H4/10000,0)</f>
        <v>0</v>
      </c>
    </row>
    <row r="5" spans="1:9">
      <c r="A5" s="3338"/>
      <c r="B5" s="3339" t="s">
        <v>1087</v>
      </c>
      <c r="C5" s="3339"/>
      <c r="D5" s="1299"/>
      <c r="E5" s="1297"/>
      <c r="F5" s="1300"/>
      <c r="G5" s="1300"/>
      <c r="H5" s="1301"/>
      <c r="I5" s="1302">
        <f t="shared" si="0"/>
        <v>0</v>
      </c>
    </row>
    <row r="6" spans="1:9">
      <c r="A6" s="3338"/>
      <c r="B6" s="3339" t="s">
        <v>1088</v>
      </c>
      <c r="C6" s="3339"/>
      <c r="D6" s="1299"/>
      <c r="E6" s="1297"/>
      <c r="F6" s="1300"/>
      <c r="G6" s="1300"/>
      <c r="H6" s="1301"/>
      <c r="I6" s="1302">
        <f t="shared" si="0"/>
        <v>0</v>
      </c>
    </row>
    <row r="7" spans="1:9">
      <c r="A7" s="3338"/>
      <c r="B7" s="3339" t="s">
        <v>1089</v>
      </c>
      <c r="C7" s="3339"/>
      <c r="D7" s="1299"/>
      <c r="E7" s="1297"/>
      <c r="F7" s="1300"/>
      <c r="G7" s="1300"/>
      <c r="H7" s="1301"/>
      <c r="I7" s="1302">
        <f t="shared" si="0"/>
        <v>0</v>
      </c>
    </row>
    <row r="8" spans="1:9">
      <c r="A8" s="3338"/>
      <c r="B8" s="3339" t="s">
        <v>1090</v>
      </c>
      <c r="C8" s="3339"/>
      <c r="D8" s="1299"/>
      <c r="E8" s="1297"/>
      <c r="F8" s="1300"/>
      <c r="G8" s="1300"/>
      <c r="H8" s="1301"/>
      <c r="I8" s="1302">
        <f t="shared" si="0"/>
        <v>0</v>
      </c>
    </row>
    <row r="9" spans="1:9">
      <c r="A9" s="3338"/>
      <c r="B9" s="3339" t="s">
        <v>1091</v>
      </c>
      <c r="C9" s="3339"/>
      <c r="D9" s="1299"/>
      <c r="E9" s="1297"/>
      <c r="F9" s="1300"/>
      <c r="G9" s="1300"/>
      <c r="H9" s="1301"/>
      <c r="I9" s="1302">
        <f t="shared" si="0"/>
        <v>0</v>
      </c>
    </row>
    <row r="10" spans="1:9">
      <c r="A10" s="3338"/>
      <c r="B10" s="3340" t="s">
        <v>1092</v>
      </c>
      <c r="C10" s="3340"/>
      <c r="D10" s="1303"/>
      <c r="E10" s="1303" t="e">
        <f>ROUND(D1*10000/D10/H9,0)</f>
        <v>#DIV/0!</v>
      </c>
      <c r="F10" s="1304"/>
      <c r="G10" s="1304"/>
      <c r="H10" s="1305"/>
      <c r="I10" s="1306">
        <f>SUM(I3:I9)</f>
        <v>0</v>
      </c>
    </row>
    <row r="11" spans="1:9" ht="14.25">
      <c r="A11" s="3338" t="s">
        <v>1093</v>
      </c>
      <c r="B11" s="3339" t="s">
        <v>1094</v>
      </c>
      <c r="C11" s="3339"/>
      <c r="D11" s="1299" t="s">
        <v>1095</v>
      </c>
      <c r="E11" s="1299" t="s">
        <v>1096</v>
      </c>
      <c r="F11" s="1300" t="s">
        <v>1097</v>
      </c>
      <c r="G11" s="1300" t="s">
        <v>1083</v>
      </c>
      <c r="H11" s="1307" t="s">
        <v>1098</v>
      </c>
      <c r="I11" s="1298" t="s">
        <v>1084</v>
      </c>
    </row>
    <row r="12" spans="1:9">
      <c r="A12" s="3338"/>
      <c r="B12" s="3339" t="s">
        <v>1099</v>
      </c>
      <c r="C12" s="3339"/>
      <c r="D12" s="1299"/>
      <c r="E12" s="1299"/>
      <c r="F12" s="1300"/>
      <c r="G12" s="1301"/>
      <c r="H12" s="1308"/>
      <c r="I12" s="1298">
        <f>ROUND(D12*E12*F12*G12/10000,0)</f>
        <v>0</v>
      </c>
    </row>
    <row r="13" spans="1:9">
      <c r="A13" s="3338"/>
      <c r="B13" s="3339" t="s">
        <v>1100</v>
      </c>
      <c r="C13" s="3339"/>
      <c r="D13" s="1299"/>
      <c r="E13" s="1299"/>
      <c r="F13" s="1300"/>
      <c r="G13" s="1301"/>
      <c r="H13" s="1308"/>
      <c r="I13" s="1298">
        <f>ROUND(D13*E13*F13*G13/10000,0)</f>
        <v>0</v>
      </c>
    </row>
    <row r="14" spans="1:9">
      <c r="A14" s="3338"/>
      <c r="B14" s="3339" t="s">
        <v>1101</v>
      </c>
      <c r="C14" s="3339"/>
      <c r="D14" s="1299"/>
      <c r="E14" s="1299"/>
      <c r="F14" s="1300"/>
      <c r="G14" s="1301"/>
      <c r="H14" s="1308"/>
      <c r="I14" s="1298">
        <f>ROUND(D14*E14*F14*G14/10000,0)</f>
        <v>0</v>
      </c>
    </row>
    <row r="15" spans="1:9">
      <c r="A15" s="3338"/>
      <c r="B15" s="3340" t="s">
        <v>1092</v>
      </c>
      <c r="C15" s="3340"/>
      <c r="D15" s="1303"/>
      <c r="E15" s="1303">
        <f>SUM(E12:E14)</f>
        <v>0</v>
      </c>
      <c r="F15" s="1304"/>
      <c r="G15" s="1301"/>
      <c r="H15" s="1308"/>
      <c r="I15" s="1309">
        <f>SUM(I12:I14)</f>
        <v>0</v>
      </c>
    </row>
    <row r="16" spans="1:9" ht="24">
      <c r="A16" s="3338" t="s">
        <v>1102</v>
      </c>
      <c r="B16" s="3339" t="s">
        <v>1103</v>
      </c>
      <c r="C16" s="3339"/>
      <c r="D16" s="1299" t="s">
        <v>1079</v>
      </c>
      <c r="E16" s="1310" t="s">
        <v>1104</v>
      </c>
      <c r="F16" s="1300" t="s">
        <v>1105</v>
      </c>
      <c r="G16" s="1301" t="s">
        <v>1083</v>
      </c>
      <c r="H16" s="1307" t="s">
        <v>1098</v>
      </c>
      <c r="I16" s="1298" t="s">
        <v>1084</v>
      </c>
    </row>
    <row r="17" spans="1:9" ht="14.25">
      <c r="A17" s="3338"/>
      <c r="B17" s="3339" t="s">
        <v>1106</v>
      </c>
      <c r="C17" s="3339"/>
      <c r="D17" s="1299"/>
      <c r="E17" s="1299"/>
      <c r="F17" s="1300"/>
      <c r="G17" s="1301"/>
      <c r="H17" s="1311"/>
      <c r="I17" s="1312">
        <f>ROUND(D17*E17*F17*G17/10000,0)</f>
        <v>0</v>
      </c>
    </row>
    <row r="18" spans="1:9" ht="14.25">
      <c r="A18" s="3338"/>
      <c r="B18" s="3339" t="s">
        <v>1107</v>
      </c>
      <c r="C18" s="3339"/>
      <c r="D18" s="1299"/>
      <c r="E18" s="1299"/>
      <c r="F18" s="1300"/>
      <c r="G18" s="1301"/>
      <c r="H18" s="1311"/>
      <c r="I18" s="1312">
        <f>ROUND(D18*E18*F18*G18/10000,0)</f>
        <v>0</v>
      </c>
    </row>
    <row r="19" spans="1:9" ht="14.25">
      <c r="A19" s="3338"/>
      <c r="B19" s="3339" t="s">
        <v>1108</v>
      </c>
      <c r="C19" s="3339"/>
      <c r="D19" s="1299"/>
      <c r="E19" s="1299"/>
      <c r="F19" s="1300"/>
      <c r="G19" s="1301"/>
      <c r="H19" s="1311"/>
      <c r="I19" s="1312">
        <f>ROUND(D19*E19*F19*G19/10000,0)</f>
        <v>0</v>
      </c>
    </row>
    <row r="20" spans="1:9">
      <c r="A20" s="3338"/>
      <c r="B20" s="3340" t="s">
        <v>1092</v>
      </c>
      <c r="C20" s="3340"/>
      <c r="D20" s="1303">
        <f>SUM(D17:D19)</f>
        <v>0</v>
      </c>
      <c r="E20" s="1303"/>
      <c r="F20" s="1304"/>
      <c r="G20" s="1301"/>
      <c r="H20" s="1308"/>
      <c r="I20" s="1309">
        <f>SUM(I17:I19)</f>
        <v>0</v>
      </c>
    </row>
    <row r="21" spans="1:9">
      <c r="A21" s="3338" t="s">
        <v>1109</v>
      </c>
      <c r="B21" s="3342"/>
      <c r="C21" s="3342"/>
      <c r="D21" s="3342"/>
      <c r="E21" s="3342"/>
      <c r="F21" s="3342"/>
      <c r="G21" s="3342"/>
      <c r="H21" s="1760">
        <v>0.1</v>
      </c>
      <c r="I21" s="1306">
        <f>ROUND(I10*H21,0)</f>
        <v>0</v>
      </c>
    </row>
    <row r="22" spans="1:9" ht="14.25">
      <c r="A22" s="3343" t="s">
        <v>1110</v>
      </c>
      <c r="B22" s="3344"/>
      <c r="C22" s="3345"/>
      <c r="D22" s="1313" t="s">
        <v>1111</v>
      </c>
      <c r="E22" s="1313" t="s">
        <v>1112</v>
      </c>
      <c r="F22" s="1314" t="s">
        <v>1113</v>
      </c>
      <c r="G22" s="1314" t="s">
        <v>1114</v>
      </c>
      <c r="H22" s="1307" t="s">
        <v>1115</v>
      </c>
      <c r="I22" s="1298" t="s">
        <v>1116</v>
      </c>
    </row>
    <row r="23" spans="1:9" ht="14.25" thickBot="1">
      <c r="A23" s="3346"/>
      <c r="B23" s="3347"/>
      <c r="C23" s="3348"/>
      <c r="D23" s="1315"/>
      <c r="E23" s="1315"/>
      <c r="F23" s="1315"/>
      <c r="G23" s="1316"/>
      <c r="H23" s="1317"/>
      <c r="I23" s="1318">
        <f>ROUND(E23*D23*F23*(1-G23)/10000,0)</f>
        <v>0</v>
      </c>
    </row>
    <row r="26" spans="1:9">
      <c r="A26" s="1319" t="s">
        <v>1117</v>
      </c>
      <c r="B26" s="1319"/>
      <c r="C26" s="1319"/>
      <c r="D26" s="1319"/>
      <c r="E26" s="3349">
        <f>C27-C30-C31-C32</f>
        <v>0</v>
      </c>
      <c r="F26" s="3349"/>
      <c r="G26" s="3349"/>
      <c r="H26" s="1732" t="s">
        <v>1340</v>
      </c>
    </row>
    <row r="27" spans="1:9">
      <c r="A27" s="1320">
        <v>1</v>
      </c>
      <c r="B27" s="1321" t="s">
        <v>1118</v>
      </c>
      <c r="C27" s="1321">
        <f>C28+C29</f>
        <v>0</v>
      </c>
      <c r="D27" s="1321"/>
      <c r="E27" s="3350"/>
      <c r="F27" s="3350"/>
      <c r="G27" s="3350"/>
    </row>
    <row r="28" spans="1:9">
      <c r="A28" s="1322" t="s">
        <v>1119</v>
      </c>
      <c r="B28" s="1321" t="s">
        <v>1120</v>
      </c>
      <c r="C28" s="1321"/>
      <c r="D28" s="1321"/>
      <c r="E28" s="3350"/>
      <c r="F28" s="3350"/>
      <c r="G28" s="3350"/>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41"/>
      <c r="F32" s="3341"/>
      <c r="G32" s="3341"/>
    </row>
    <row r="33" spans="1:7" hidden="1">
      <c r="A33" s="3351" t="s">
        <v>1129</v>
      </c>
      <c r="B33" s="3352"/>
      <c r="C33" s="3352"/>
      <c r="D33" s="3353"/>
      <c r="E33" s="3349"/>
      <c r="F33" s="3349"/>
      <c r="G33" s="3349"/>
    </row>
    <row r="34" spans="1:7" hidden="1">
      <c r="A34" s="1324">
        <v>1</v>
      </c>
      <c r="B34" s="1321" t="s">
        <v>1130</v>
      </c>
      <c r="C34" s="1321"/>
      <c r="D34" s="1321"/>
      <c r="E34" s="3350"/>
      <c r="F34" s="3350"/>
      <c r="G34" s="3350"/>
    </row>
    <row r="35" spans="1:7" hidden="1">
      <c r="A35" s="1324">
        <v>2</v>
      </c>
      <c r="B35" s="1321" t="s">
        <v>1131</v>
      </c>
      <c r="C35" s="1321"/>
      <c r="D35" s="1321"/>
      <c r="E35" s="3350"/>
      <c r="F35" s="3350"/>
      <c r="G35" s="3350"/>
    </row>
    <row r="36" spans="1:7" hidden="1">
      <c r="A36" s="1324">
        <v>3</v>
      </c>
      <c r="B36" s="1321" t="s">
        <v>1132</v>
      </c>
      <c r="C36" s="1321"/>
      <c r="D36" s="1321"/>
      <c r="E36" s="3350"/>
      <c r="F36" s="3350"/>
      <c r="G36" s="3350"/>
    </row>
    <row r="37" spans="1:7" hidden="1">
      <c r="A37" s="1324">
        <v>4</v>
      </c>
      <c r="B37" s="1321" t="s">
        <v>1133</v>
      </c>
      <c r="C37" s="1321"/>
      <c r="D37" s="1321"/>
      <c r="E37" s="3350"/>
      <c r="F37" s="3350"/>
      <c r="G37" s="3350"/>
    </row>
    <row r="38" spans="1:7" hidden="1">
      <c r="A38" s="3351" t="s">
        <v>1134</v>
      </c>
      <c r="B38" s="3352"/>
      <c r="C38" s="3352"/>
      <c r="D38" s="3353"/>
      <c r="E38" s="3349"/>
      <c r="F38" s="3349"/>
      <c r="G38" s="33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92" sqref="C92:G9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2512</v>
      </c>
      <c r="B1" s="2569" t="s">
        <v>2626</v>
      </c>
      <c r="C1" s="1629" t="s">
        <v>2514</v>
      </c>
      <c r="D1" s="1616" t="s">
        <v>3469</v>
      </c>
      <c r="E1" s="2644"/>
      <c r="F1" s="2571" t="s">
        <v>3045</v>
      </c>
      <c r="G1" s="1626" t="s">
        <v>2627</v>
      </c>
      <c r="H1" s="1625"/>
      <c r="I1" s="1625"/>
      <c r="J1" s="1625"/>
      <c r="K1" s="1627"/>
      <c r="L1" s="1628"/>
      <c r="M1" s="1629"/>
      <c r="N1" s="1629"/>
      <c r="O1" s="1629"/>
      <c r="P1" s="2645"/>
      <c r="Q1" s="2646"/>
      <c r="R1" s="2646"/>
      <c r="S1" s="2646"/>
      <c r="T1" s="2646"/>
      <c r="U1" s="2646"/>
      <c r="V1" s="2646"/>
      <c r="W1" s="2646"/>
      <c r="X1" s="2646"/>
      <c r="Y1" s="2646"/>
      <c r="Z1" s="2646"/>
      <c r="AA1" s="2646"/>
      <c r="AB1" s="2646"/>
      <c r="AC1" s="2647"/>
    </row>
    <row r="2" spans="1:29" s="396" customFormat="1" ht="28.5" customHeight="1" thickTop="1">
      <c r="A2" s="1612" t="s">
        <v>2314</v>
      </c>
      <c r="B2" s="1414" t="e">
        <f>IF(C2="——",ROUND(C49*D3/10000,0),ROUND(C49*D3/10000,0)-D2)</f>
        <v>#N/A</v>
      </c>
      <c r="C2" s="2573" t="s">
        <v>70</v>
      </c>
      <c r="D2" s="1361" t="e">
        <f ca="1">SUMIF(INDIRECT("'"&amp;F2&amp;"'"&amp;"!A:A"),"承租人权益价值",INDIRECT("'"&amp;F2&amp;"'"&amp;"!c:c"))</f>
        <v>#REF!</v>
      </c>
      <c r="E2" s="2574" t="s">
        <v>2315</v>
      </c>
      <c r="F2" s="2575"/>
      <c r="G2" s="1123"/>
      <c r="H2" s="1123"/>
      <c r="I2" s="1123"/>
      <c r="J2" s="1123"/>
      <c r="K2" s="1123"/>
      <c r="L2" s="1126"/>
      <c r="M2" s="1127"/>
      <c r="N2" s="1127"/>
      <c r="O2" s="1127"/>
      <c r="P2" s="2648"/>
      <c r="Q2" s="1127"/>
      <c r="R2" s="1127"/>
      <c r="S2" s="1127"/>
      <c r="T2" s="1127"/>
      <c r="U2" s="1127"/>
      <c r="V2" s="1127"/>
      <c r="W2" s="1127"/>
      <c r="X2" s="1127"/>
      <c r="Y2" s="1127"/>
      <c r="Z2" s="1127"/>
      <c r="AA2" s="1127"/>
      <c r="AB2" s="1127"/>
      <c r="AC2" s="2649"/>
    </row>
    <row r="3" spans="1:29" s="396" customFormat="1" ht="28.5" customHeight="1" thickBot="1">
      <c r="A3" s="245" t="s">
        <v>2316</v>
      </c>
      <c r="B3" s="607" t="e">
        <f>IF(C2="——",C49,ROUND(B2*10000/D3,0))</f>
        <v>#N/A</v>
      </c>
      <c r="C3" s="398" t="s">
        <v>2628</v>
      </c>
      <c r="D3" s="397">
        <f>IF(D1="",'数据-汇总表'!E3,SUMIF('数据-汇总表'!$C19:$C33,D1,'数据-汇总表'!$E19:$E33))</f>
        <v>0</v>
      </c>
      <c r="E3" s="2650"/>
      <c r="F3" s="1124"/>
      <c r="G3" s="1123"/>
      <c r="H3" s="1123"/>
      <c r="I3" s="1123"/>
      <c r="J3" s="1123"/>
      <c r="K3" s="1125"/>
      <c r="L3" s="1126"/>
      <c r="M3" s="1127"/>
      <c r="N3" s="1127"/>
      <c r="O3" s="1127"/>
      <c r="P3" s="2648"/>
      <c r="Q3" s="1127"/>
      <c r="R3" s="1127"/>
      <c r="S3" s="1127"/>
      <c r="T3" s="1127"/>
      <c r="U3" s="1127"/>
      <c r="V3" s="1127"/>
      <c r="W3" s="1127"/>
      <c r="X3" s="1127"/>
      <c r="Y3" s="1127"/>
      <c r="Z3" s="1127"/>
      <c r="AA3" s="1127"/>
      <c r="AB3" s="1127"/>
      <c r="AC3" s="2650"/>
    </row>
    <row r="4" spans="1:29" ht="15">
      <c r="A4" s="399" t="s">
        <v>2629</v>
      </c>
      <c r="B4" s="400"/>
      <c r="C4" s="3275" t="s">
        <v>2630</v>
      </c>
      <c r="D4" s="3276"/>
      <c r="E4" s="3277" t="s">
        <v>2631</v>
      </c>
      <c r="F4" s="3278"/>
      <c r="G4" s="3275" t="s">
        <v>2632</v>
      </c>
      <c r="H4" s="3276"/>
      <c r="I4" s="3275" t="s">
        <v>2633</v>
      </c>
      <c r="J4" s="3276"/>
      <c r="K4" s="608" t="s">
        <v>2634</v>
      </c>
      <c r="L4" s="1128"/>
      <c r="M4" s="1129"/>
      <c r="N4" s="1129"/>
      <c r="O4" s="1129"/>
      <c r="P4" s="3279" t="s">
        <v>2635</v>
      </c>
      <c r="Q4" s="3280"/>
      <c r="R4" s="3262" t="s">
        <v>2631</v>
      </c>
      <c r="S4" s="3263"/>
      <c r="T4" s="3262" t="s">
        <v>2632</v>
      </c>
      <c r="U4" s="3263"/>
      <c r="V4" s="3287" t="s">
        <v>2633</v>
      </c>
      <c r="W4" s="3287"/>
      <c r="X4" s="1808"/>
      <c r="Y4" s="3262" t="s">
        <v>2635</v>
      </c>
      <c r="Z4" s="3263"/>
      <c r="AA4" s="3257" t="s">
        <v>2631</v>
      </c>
      <c r="AB4" s="3287" t="s">
        <v>2632</v>
      </c>
      <c r="AC4" s="3257" t="s">
        <v>2633</v>
      </c>
    </row>
    <row r="5" spans="1:29" ht="15">
      <c r="A5" s="402"/>
      <c r="B5" s="403"/>
      <c r="C5" s="3268" t="s">
        <v>2526</v>
      </c>
      <c r="D5" s="3269"/>
      <c r="E5" s="3303" t="s">
        <v>3515</v>
      </c>
      <c r="F5" s="3267"/>
      <c r="G5" s="3304" t="s">
        <v>3516</v>
      </c>
      <c r="H5" s="3269"/>
      <c r="I5" s="3304" t="s">
        <v>3517</v>
      </c>
      <c r="J5" s="3269"/>
      <c r="K5" s="608"/>
      <c r="L5" s="1128"/>
      <c r="M5" s="1129"/>
      <c r="N5" s="1129"/>
      <c r="O5" s="1129"/>
      <c r="P5" s="3281"/>
      <c r="Q5" s="3282"/>
      <c r="R5" s="3264"/>
      <c r="S5" s="3265"/>
      <c r="T5" s="3264"/>
      <c r="U5" s="3265"/>
      <c r="V5" s="3287"/>
      <c r="W5" s="3287"/>
      <c r="X5" s="1808"/>
      <c r="Y5" s="3264"/>
      <c r="Z5" s="3265"/>
      <c r="AA5" s="3258"/>
      <c r="AB5" s="3287"/>
      <c r="AC5" s="3258"/>
    </row>
    <row r="6" spans="1:29" ht="15.75" thickBot="1">
      <c r="A6" s="404"/>
      <c r="B6" s="405"/>
      <c r="C6" s="3270" t="s">
        <v>2530</v>
      </c>
      <c r="D6" s="3271"/>
      <c r="E6" s="3272" t="s">
        <v>2530</v>
      </c>
      <c r="F6" s="3273"/>
      <c r="G6" s="3270" t="s">
        <v>2530</v>
      </c>
      <c r="H6" s="3271"/>
      <c r="I6" s="3270" t="s">
        <v>2530</v>
      </c>
      <c r="J6" s="3271"/>
      <c r="K6" s="608" t="s">
        <v>2531</v>
      </c>
      <c r="L6" s="1128"/>
      <c r="M6" s="1129"/>
      <c r="N6" s="1129"/>
      <c r="O6" s="1129"/>
      <c r="P6" s="3283"/>
      <c r="Q6" s="3284"/>
      <c r="R6" s="3264"/>
      <c r="S6" s="3265"/>
      <c r="T6" s="3285"/>
      <c r="U6" s="3286"/>
      <c r="V6" s="3287"/>
      <c r="W6" s="3287"/>
      <c r="X6" s="1808"/>
      <c r="Y6" s="3285"/>
      <c r="Z6" s="3286"/>
      <c r="AA6" s="3259"/>
      <c r="AB6" s="3287"/>
      <c r="AC6" s="3259"/>
    </row>
    <row r="7" spans="1:29" s="116" customFormat="1" ht="15.75" thickBot="1">
      <c r="A7" s="406" t="s">
        <v>2532</v>
      </c>
      <c r="B7" s="407"/>
      <c r="C7" s="408">
        <f>'数据-取费表'!B2</f>
        <v>43207</v>
      </c>
      <c r="D7" s="409">
        <v>100</v>
      </c>
      <c r="E7" s="410">
        <f>C7</f>
        <v>43207</v>
      </c>
      <c r="F7" s="411">
        <f>SUMIF(58:58,YEAR(E7)&amp;"-"&amp;MONTH(E7),59:59)</f>
        <v>100</v>
      </c>
      <c r="G7" s="410">
        <f>C7</f>
        <v>43207</v>
      </c>
      <c r="H7" s="409">
        <f>SUMIF(58:58,YEAR(G7)&amp;"-"&amp;MONTH(G7),59:59)</f>
        <v>100</v>
      </c>
      <c r="I7" s="410">
        <f>C7</f>
        <v>43207</v>
      </c>
      <c r="J7" s="409">
        <f>SUMIF(58:58,YEAR(I7)&amp;"-"&amp;MONTH(I7),59:59)</f>
        <v>100</v>
      </c>
      <c r="K7" s="609"/>
      <c r="L7" s="1130"/>
      <c r="M7" s="1131"/>
      <c r="N7" s="1131"/>
      <c r="O7" s="1131"/>
      <c r="P7" s="3260" t="s">
        <v>2533</v>
      </c>
      <c r="Q7" s="3288"/>
      <c r="R7" s="766" t="s">
        <v>17</v>
      </c>
      <c r="S7" s="767">
        <f t="shared" ref="S7:S15" si="0">F7</f>
        <v>100</v>
      </c>
      <c r="T7" s="766" t="s">
        <v>17</v>
      </c>
      <c r="U7" s="767">
        <f t="shared" ref="U7:U15" si="1">H7</f>
        <v>100</v>
      </c>
      <c r="V7" s="766" t="s">
        <v>17</v>
      </c>
      <c r="W7" s="767">
        <f t="shared" ref="W7:W15" si="2">J7</f>
        <v>100</v>
      </c>
      <c r="X7" s="768"/>
      <c r="Y7" s="3260" t="s">
        <v>2533</v>
      </c>
      <c r="Z7" s="3261"/>
      <c r="AA7" s="769">
        <f>D7/F7</f>
        <v>1</v>
      </c>
      <c r="AB7" s="769">
        <f>D7/H7</f>
        <v>1</v>
      </c>
      <c r="AC7" s="769">
        <f>D7/J7</f>
        <v>1</v>
      </c>
    </row>
    <row r="8" spans="1:29" s="116" customFormat="1" ht="15.75" thickBot="1">
      <c r="A8" s="406" t="s">
        <v>2534</v>
      </c>
      <c r="B8" s="407"/>
      <c r="C8" s="412" t="s">
        <v>2636</v>
      </c>
      <c r="D8" s="409">
        <v>100</v>
      </c>
      <c r="E8" s="412" t="s">
        <v>3048</v>
      </c>
      <c r="F8" s="411">
        <f>SUMIF(61:61,E8,62:62)-SUMIF(61:61,C8,62:62)+100</f>
        <v>100</v>
      </c>
      <c r="G8" s="412" t="s">
        <v>3048</v>
      </c>
      <c r="H8" s="409">
        <f>SUMIF(61:61,G8,62:62)-SUMIF(61:61,C8,62:62)+100</f>
        <v>100</v>
      </c>
      <c r="I8" s="412" t="s">
        <v>3048</v>
      </c>
      <c r="J8" s="409">
        <f>SUMIF(61:61,I8,62:62)-SUMIF(61:61,C8,62:62)+100</f>
        <v>100</v>
      </c>
      <c r="K8" s="609"/>
      <c r="L8" s="1130"/>
      <c r="M8" s="1131"/>
      <c r="N8" s="1131"/>
      <c r="O8" s="1131"/>
      <c r="P8" s="3260" t="s">
        <v>2536</v>
      </c>
      <c r="Q8" s="3261"/>
      <c r="R8" s="766" t="s">
        <v>17</v>
      </c>
      <c r="S8" s="767">
        <f t="shared" si="0"/>
        <v>100</v>
      </c>
      <c r="T8" s="766" t="s">
        <v>17</v>
      </c>
      <c r="U8" s="767">
        <f t="shared" si="1"/>
        <v>100</v>
      </c>
      <c r="V8" s="766" t="s">
        <v>17</v>
      </c>
      <c r="W8" s="767">
        <f t="shared" si="2"/>
        <v>100</v>
      </c>
      <c r="X8" s="768"/>
      <c r="Y8" s="3260" t="s">
        <v>2536</v>
      </c>
      <c r="Z8" s="3261"/>
      <c r="AA8" s="769">
        <f t="shared" ref="AA8:AA46" si="3">D8/F8</f>
        <v>1</v>
      </c>
      <c r="AB8" s="769">
        <f t="shared" ref="AB8:AB46" si="4">D8/H8</f>
        <v>1</v>
      </c>
      <c r="AC8" s="769">
        <f t="shared" ref="AC8:AC46" si="5">D8/J8</f>
        <v>1</v>
      </c>
    </row>
    <row r="9" spans="1:29" s="116" customFormat="1">
      <c r="A9" s="413" t="s">
        <v>2537</v>
      </c>
      <c r="B9" s="71" t="s">
        <v>2538</v>
      </c>
      <c r="C9" s="2936" t="s">
        <v>3513</v>
      </c>
      <c r="D9" s="133">
        <v>100</v>
      </c>
      <c r="E9" s="415" t="s">
        <v>1377</v>
      </c>
      <c r="F9" s="416">
        <f>SUMIF(63:63,E9,64:64)-SUMIF(63:63,C9,64:64)+100</f>
        <v>100</v>
      </c>
      <c r="G9" s="415" t="s">
        <v>1377</v>
      </c>
      <c r="H9" s="133">
        <f>SUMIF(63:63,G9,64:64)-SUMIF(63:63,C9,64:64)+100</f>
        <v>100</v>
      </c>
      <c r="I9" s="415" t="s">
        <v>1377</v>
      </c>
      <c r="J9" s="133">
        <f>SUMIF(63:63,I9,64:64)-SUMIF(63:63,C9,64:64)+100</f>
        <v>100</v>
      </c>
      <c r="K9" s="609"/>
      <c r="L9" s="1130"/>
      <c r="M9" s="1131"/>
      <c r="N9" s="1131"/>
      <c r="O9" s="1131"/>
      <c r="P9" s="3298" t="s">
        <v>2539</v>
      </c>
      <c r="Q9" s="1790" t="str">
        <f t="shared" ref="Q9:Q15" si="6">B9</f>
        <v>用途</v>
      </c>
      <c r="R9" s="766" t="s">
        <v>17</v>
      </c>
      <c r="S9" s="767">
        <f t="shared" si="0"/>
        <v>100</v>
      </c>
      <c r="T9" s="766" t="s">
        <v>17</v>
      </c>
      <c r="U9" s="767">
        <f t="shared" si="1"/>
        <v>100</v>
      </c>
      <c r="V9" s="766" t="s">
        <v>17</v>
      </c>
      <c r="W9" s="767">
        <f t="shared" si="2"/>
        <v>100</v>
      </c>
      <c r="X9" s="768"/>
      <c r="Y9" s="3134" t="s">
        <v>2540</v>
      </c>
      <c r="Z9" s="55" t="str">
        <f t="shared" ref="Z9:Z15" si="7">Q9</f>
        <v>用途</v>
      </c>
      <c r="AA9" s="769">
        <f t="shared" si="3"/>
        <v>1</v>
      </c>
      <c r="AB9" s="769">
        <f t="shared" si="4"/>
        <v>1</v>
      </c>
      <c r="AC9" s="769">
        <f t="shared" si="5"/>
        <v>1</v>
      </c>
    </row>
    <row r="10" spans="1:29" s="425" customFormat="1" ht="27">
      <c r="A10" s="419"/>
      <c r="B10" s="420" t="s">
        <v>2541</v>
      </c>
      <c r="C10" s="421" t="s">
        <v>3271</v>
      </c>
      <c r="D10" s="134">
        <v>100</v>
      </c>
      <c r="E10" s="422" t="s">
        <v>3272</v>
      </c>
      <c r="F10" s="423">
        <f>SUMIF(65:65,E10,66:66)-SUMIF(65:65,C10,66:66)+100</f>
        <v>100</v>
      </c>
      <c r="G10" s="421" t="s">
        <v>3272</v>
      </c>
      <c r="H10" s="134">
        <f>SUMIF(65:65,G10,66:66)-SUMIF(65:65,C10,66:66)+100</f>
        <v>100</v>
      </c>
      <c r="I10" s="421" t="s">
        <v>3272</v>
      </c>
      <c r="J10" s="134">
        <f>SUMIF(65:65,I10,66:66)-SUMIF(65:65,C10,66:66)+100</f>
        <v>100</v>
      </c>
      <c r="K10" s="610">
        <v>2</v>
      </c>
      <c r="L10" s="1133"/>
      <c r="M10" s="1134"/>
      <c r="N10" s="1134"/>
      <c r="O10" s="1134"/>
      <c r="P10" s="3298"/>
      <c r="Q10" s="1790" t="str">
        <f t="shared" si="6"/>
        <v>土地使用年限（年）</v>
      </c>
      <c r="R10" s="766" t="s">
        <v>17</v>
      </c>
      <c r="S10" s="767">
        <f t="shared" si="0"/>
        <v>100</v>
      </c>
      <c r="T10" s="766" t="s">
        <v>17</v>
      </c>
      <c r="U10" s="767">
        <f t="shared" si="1"/>
        <v>100</v>
      </c>
      <c r="V10" s="766" t="s">
        <v>17</v>
      </c>
      <c r="W10" s="767">
        <f t="shared" si="2"/>
        <v>100</v>
      </c>
      <c r="X10" s="768"/>
      <c r="Y10" s="3134"/>
      <c r="Z10" s="55" t="str">
        <f t="shared" si="7"/>
        <v>土地使用年限（年）</v>
      </c>
      <c r="AA10" s="769">
        <f t="shared" si="3"/>
        <v>1</v>
      </c>
      <c r="AB10" s="769">
        <f t="shared" si="4"/>
        <v>1</v>
      </c>
      <c r="AC10" s="769">
        <f t="shared" si="5"/>
        <v>1</v>
      </c>
    </row>
    <row r="11" spans="1:29" ht="15">
      <c r="A11" s="426"/>
      <c r="B11" s="420" t="s">
        <v>2542</v>
      </c>
      <c r="C11" s="427"/>
      <c r="D11" s="134">
        <v>100</v>
      </c>
      <c r="E11" s="428"/>
      <c r="F11" s="423">
        <f>LOOKUP(E11,68:68,69:69)-LOOKUP(C11,68:68,69:69)+100</f>
        <v>100</v>
      </c>
      <c r="G11" s="427"/>
      <c r="H11" s="134">
        <f>LOOKUP(G11,68:68,69:69)-LOOKUP(C11,68:68,69:69)+100</f>
        <v>100</v>
      </c>
      <c r="I11" s="427"/>
      <c r="J11" s="134">
        <f>LOOKUP(I11,68:68,69:69)-LOOKUP(C11,68:68,69:69)+100</f>
        <v>100</v>
      </c>
      <c r="K11" s="610"/>
      <c r="L11" s="1136"/>
      <c r="M11" s="1129"/>
      <c r="N11" s="1129"/>
      <c r="O11" s="1129"/>
      <c r="P11" s="3298"/>
      <c r="Q11" s="1790" t="str">
        <f t="shared" si="6"/>
        <v>容积率</v>
      </c>
      <c r="R11" s="766" t="s">
        <v>17</v>
      </c>
      <c r="S11" s="767">
        <f t="shared" si="0"/>
        <v>100</v>
      </c>
      <c r="T11" s="766" t="s">
        <v>17</v>
      </c>
      <c r="U11" s="767">
        <f t="shared" si="1"/>
        <v>100</v>
      </c>
      <c r="V11" s="766" t="s">
        <v>17</v>
      </c>
      <c r="W11" s="767">
        <f t="shared" si="2"/>
        <v>100</v>
      </c>
      <c r="X11" s="768"/>
      <c r="Y11" s="3134"/>
      <c r="Z11" s="55" t="str">
        <f t="shared" si="7"/>
        <v>容积率</v>
      </c>
      <c r="AA11" s="769">
        <f t="shared" si="3"/>
        <v>1</v>
      </c>
      <c r="AB11" s="769">
        <f t="shared" si="4"/>
        <v>1</v>
      </c>
      <c r="AC11" s="769">
        <f t="shared" si="5"/>
        <v>1</v>
      </c>
    </row>
    <row r="12" spans="1:29" s="116" customFormat="1" ht="15">
      <c r="A12" s="429"/>
      <c r="B12" s="2587">
        <v>111</v>
      </c>
      <c r="C12" s="430"/>
      <c r="D12" s="431">
        <v>100</v>
      </c>
      <c r="E12" s="432"/>
      <c r="F12" s="423">
        <f>SUMIF(70:70,E12,71:71)-SUMIF(70:70,C12,71:71)+100</f>
        <v>100</v>
      </c>
      <c r="G12" s="432"/>
      <c r="H12" s="134">
        <f>SUMIF(70:70,G12,71:71)-SUMIF(70:70,C12,71:71)+100</f>
        <v>100</v>
      </c>
      <c r="I12" s="432"/>
      <c r="J12" s="134">
        <f>SUMIF(70:70,I12,71:71)-SUMIF(70:70,C12,71:71)+100</f>
        <v>100</v>
      </c>
      <c r="K12" s="611"/>
      <c r="L12" s="1130"/>
      <c r="M12" s="1131"/>
      <c r="N12" s="1131"/>
      <c r="O12" s="1131"/>
      <c r="P12" s="3298"/>
      <c r="Q12" s="1790">
        <f t="shared" si="6"/>
        <v>111</v>
      </c>
      <c r="R12" s="766" t="s">
        <v>17</v>
      </c>
      <c r="S12" s="767">
        <f t="shared" si="0"/>
        <v>100</v>
      </c>
      <c r="T12" s="766" t="s">
        <v>17</v>
      </c>
      <c r="U12" s="767">
        <f t="shared" si="1"/>
        <v>100</v>
      </c>
      <c r="V12" s="766" t="s">
        <v>17</v>
      </c>
      <c r="W12" s="767">
        <f t="shared" si="2"/>
        <v>100</v>
      </c>
      <c r="X12" s="768"/>
      <c r="Y12" s="3134"/>
      <c r="Z12" s="55">
        <f t="shared" si="7"/>
        <v>111</v>
      </c>
      <c r="AA12" s="769">
        <f>D12/F12</f>
        <v>1</v>
      </c>
      <c r="AB12" s="769">
        <f>D12/H12</f>
        <v>1</v>
      </c>
      <c r="AC12" s="769">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298"/>
      <c r="Q13" s="1790">
        <f t="shared" si="6"/>
        <v>111</v>
      </c>
      <c r="R13" s="766" t="s">
        <v>17</v>
      </c>
      <c r="S13" s="767">
        <f t="shared" si="0"/>
        <v>100</v>
      </c>
      <c r="T13" s="766" t="s">
        <v>17</v>
      </c>
      <c r="U13" s="767">
        <f t="shared" si="1"/>
        <v>100</v>
      </c>
      <c r="V13" s="766" t="s">
        <v>17</v>
      </c>
      <c r="W13" s="767">
        <f t="shared" si="2"/>
        <v>100</v>
      </c>
      <c r="X13" s="768"/>
      <c r="Y13" s="3134"/>
      <c r="Z13" s="55">
        <f t="shared" si="7"/>
        <v>111</v>
      </c>
      <c r="AA13" s="769">
        <f t="shared" si="3"/>
        <v>1</v>
      </c>
      <c r="AB13" s="769">
        <f t="shared" si="4"/>
        <v>1</v>
      </c>
      <c r="AC13" s="769">
        <f t="shared" si="5"/>
        <v>1</v>
      </c>
    </row>
    <row r="14" spans="1:29" ht="15.75" thickBot="1">
      <c r="A14" s="434"/>
      <c r="B14" s="2589">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298"/>
      <c r="Q14" s="1790">
        <f t="shared" si="6"/>
        <v>111</v>
      </c>
      <c r="R14" s="766" t="s">
        <v>17</v>
      </c>
      <c r="S14" s="767">
        <f t="shared" si="0"/>
        <v>100</v>
      </c>
      <c r="T14" s="766" t="s">
        <v>17</v>
      </c>
      <c r="U14" s="767">
        <f t="shared" si="1"/>
        <v>100</v>
      </c>
      <c r="V14" s="766" t="s">
        <v>17</v>
      </c>
      <c r="W14" s="767">
        <f t="shared" si="2"/>
        <v>100</v>
      </c>
      <c r="X14" s="768"/>
      <c r="Y14" s="3134"/>
      <c r="Z14" s="55">
        <f t="shared" si="7"/>
        <v>111</v>
      </c>
      <c r="AA14" s="769">
        <f t="shared" si="3"/>
        <v>1</v>
      </c>
      <c r="AB14" s="769">
        <f t="shared" si="4"/>
        <v>1</v>
      </c>
      <c r="AC14" s="769">
        <f t="shared" si="5"/>
        <v>1</v>
      </c>
    </row>
    <row r="15" spans="1:29" ht="15">
      <c r="A15" s="438" t="s">
        <v>2543</v>
      </c>
      <c r="B15" s="69" t="s">
        <v>2637</v>
      </c>
      <c r="C15" s="2590">
        <f>估价对象房地状况!C4</f>
        <v>0</v>
      </c>
      <c r="D15" s="439">
        <v>100</v>
      </c>
      <c r="E15" s="440"/>
      <c r="F15" s="441">
        <f>SUMIF(76:76,E16,77:77)-SUMIF(76:76,C16,77:77)+100</f>
        <v>104</v>
      </c>
      <c r="G15" s="442"/>
      <c r="H15" s="439">
        <f>SUMIF(76:76,G16,77:77)-SUMIF(76:76,C16,77:77)+100</f>
        <v>104</v>
      </c>
      <c r="I15" s="440"/>
      <c r="J15" s="439">
        <f>SUMIF(76:76,I16,77:77)-SUMIF(76:76,C16,77:77)+100</f>
        <v>104</v>
      </c>
      <c r="K15" s="612">
        <v>2</v>
      </c>
      <c r="L15" s="1138"/>
      <c r="M15" s="1129"/>
      <c r="N15" s="1129"/>
      <c r="O15" s="1129"/>
      <c r="P15" s="3317" t="s">
        <v>2544</v>
      </c>
      <c r="Q15" s="1805" t="str">
        <f t="shared" si="6"/>
        <v>商业繁华度</v>
      </c>
      <c r="R15" s="770" t="s">
        <v>17</v>
      </c>
      <c r="S15" s="771">
        <f t="shared" si="0"/>
        <v>104</v>
      </c>
      <c r="T15" s="770" t="s">
        <v>17</v>
      </c>
      <c r="U15" s="771">
        <f t="shared" si="1"/>
        <v>104</v>
      </c>
      <c r="V15" s="770" t="s">
        <v>17</v>
      </c>
      <c r="W15" s="771">
        <f t="shared" si="2"/>
        <v>104</v>
      </c>
      <c r="X15" s="1808"/>
      <c r="Y15" s="3289" t="s">
        <v>2544</v>
      </c>
      <c r="Z15" s="1809" t="str">
        <f t="shared" si="7"/>
        <v>商业繁华度</v>
      </c>
      <c r="AA15" s="1806">
        <f t="shared" si="3"/>
        <v>0.96153846153846156</v>
      </c>
      <c r="AB15" s="1806">
        <f t="shared" si="4"/>
        <v>0.96153846153846156</v>
      </c>
      <c r="AC15" s="1806">
        <f t="shared" si="5"/>
        <v>0.96153846153846156</v>
      </c>
    </row>
    <row r="16" spans="1:29" ht="15">
      <c r="A16" s="426"/>
      <c r="B16" s="444"/>
      <c r="C16" s="445" t="s">
        <v>3273</v>
      </c>
      <c r="D16" s="446"/>
      <c r="E16" s="445" t="s">
        <v>3055</v>
      </c>
      <c r="F16" s="447"/>
      <c r="G16" s="445" t="s">
        <v>3055</v>
      </c>
      <c r="H16" s="448"/>
      <c r="I16" s="445" t="s">
        <v>3055</v>
      </c>
      <c r="J16" s="446"/>
      <c r="K16" s="613"/>
      <c r="L16" s="1138"/>
      <c r="M16" s="1129"/>
      <c r="N16" s="1129"/>
      <c r="O16" s="1129"/>
      <c r="P16" s="3318"/>
      <c r="Q16" s="1805"/>
      <c r="R16" s="770"/>
      <c r="S16" s="771"/>
      <c r="T16" s="770"/>
      <c r="U16" s="771"/>
      <c r="V16" s="770"/>
      <c r="W16" s="771"/>
      <c r="X16" s="1808"/>
      <c r="Y16" s="3290"/>
      <c r="Z16" s="1809"/>
      <c r="AA16" s="1806">
        <v>1</v>
      </c>
      <c r="AB16" s="1806">
        <v>1</v>
      </c>
      <c r="AC16" s="1806">
        <v>1</v>
      </c>
    </row>
    <row r="17" spans="1:29" ht="15">
      <c r="A17" s="426"/>
      <c r="B17" s="449" t="s">
        <v>2089</v>
      </c>
      <c r="C17" s="2594">
        <f>估价对象房地状况!C6</f>
        <v>0</v>
      </c>
      <c r="D17" s="448">
        <v>100</v>
      </c>
      <c r="E17" s="450"/>
      <c r="F17" s="451">
        <f>SUMIF(78:78,E18,79:79)-SUMIF(78:78,C18,79:79)+100</f>
        <v>104</v>
      </c>
      <c r="G17" s="452"/>
      <c r="H17" s="453">
        <f>SUMIF(78:78,G18,79:79)-SUMIF(78:78,C18,79:79)+100</f>
        <v>104</v>
      </c>
      <c r="I17" s="450"/>
      <c r="J17" s="453">
        <f>SUMIF(78:78,I18,79:79)-SUMIF(78:78,C18,79:79)+100</f>
        <v>104</v>
      </c>
      <c r="K17" s="612">
        <v>2</v>
      </c>
      <c r="L17" s="1138"/>
      <c r="M17" s="1129"/>
      <c r="N17" s="1129"/>
      <c r="O17" s="1129"/>
      <c r="P17" s="3318"/>
      <c r="Q17" s="1805" t="str">
        <f>B17</f>
        <v>交通便捷度</v>
      </c>
      <c r="R17" s="770" t="s">
        <v>17</v>
      </c>
      <c r="S17" s="771">
        <f>F17</f>
        <v>104</v>
      </c>
      <c r="T17" s="770" t="s">
        <v>17</v>
      </c>
      <c r="U17" s="771">
        <f>H17</f>
        <v>104</v>
      </c>
      <c r="V17" s="770" t="s">
        <v>17</v>
      </c>
      <c r="W17" s="771">
        <f>J17</f>
        <v>104</v>
      </c>
      <c r="X17" s="1808"/>
      <c r="Y17" s="3290"/>
      <c r="Z17" s="1809" t="str">
        <f>Q17</f>
        <v>交通便捷度</v>
      </c>
      <c r="AA17" s="1806">
        <f t="shared" si="3"/>
        <v>0.96153846153846156</v>
      </c>
      <c r="AB17" s="1806">
        <f t="shared" si="4"/>
        <v>0.96153846153846156</v>
      </c>
      <c r="AC17" s="1806">
        <f t="shared" si="5"/>
        <v>0.96153846153846156</v>
      </c>
    </row>
    <row r="18" spans="1:29" ht="15">
      <c r="A18" s="426"/>
      <c r="B18" s="454"/>
      <c r="C18" s="2595" t="s">
        <v>3273</v>
      </c>
      <c r="D18" s="448"/>
      <c r="E18" s="2597" t="s">
        <v>3055</v>
      </c>
      <c r="F18" s="451"/>
      <c r="G18" s="2596" t="s">
        <v>3055</v>
      </c>
      <c r="H18" s="446"/>
      <c r="I18" s="2597" t="s">
        <v>3055</v>
      </c>
      <c r="J18" s="446"/>
      <c r="K18" s="613"/>
      <c r="L18" s="1138"/>
      <c r="M18" s="1129"/>
      <c r="N18" s="1129"/>
      <c r="O18" s="1129"/>
      <c r="P18" s="3318"/>
      <c r="Q18" s="1805"/>
      <c r="R18" s="770"/>
      <c r="S18" s="771"/>
      <c r="T18" s="770"/>
      <c r="U18" s="771"/>
      <c r="V18" s="770"/>
      <c r="W18" s="771"/>
      <c r="X18" s="1808"/>
      <c r="Y18" s="3290"/>
      <c r="Z18" s="1809"/>
      <c r="AA18" s="1806">
        <v>1</v>
      </c>
      <c r="AB18" s="1806">
        <v>1</v>
      </c>
      <c r="AC18" s="1806">
        <v>1</v>
      </c>
    </row>
    <row r="19" spans="1:29" ht="15">
      <c r="A19" s="426"/>
      <c r="B19" s="449" t="s">
        <v>2638</v>
      </c>
      <c r="C19" s="2594">
        <f>估价对象房地状况!C7</f>
        <v>0</v>
      </c>
      <c r="D19" s="453">
        <v>100</v>
      </c>
      <c r="E19" s="455"/>
      <c r="F19" s="456">
        <f>SUMIF(80:80,E20,81:81)-SUMIF(80:80,C20,81:81)+100</f>
        <v>102</v>
      </c>
      <c r="G19" s="457"/>
      <c r="H19" s="448">
        <f>SUMIF(80:80,G20,81:81)-SUMIF(80:80,C20,81:81)+100</f>
        <v>102</v>
      </c>
      <c r="I19" s="455"/>
      <c r="J19" s="448">
        <f>SUMIF(80:80,I20,81:81)-SUMIF(80:80,C20,81:81)+100</f>
        <v>102</v>
      </c>
      <c r="K19" s="612">
        <v>2</v>
      </c>
      <c r="L19" s="1138"/>
      <c r="M19" s="1129"/>
      <c r="N19" s="1129"/>
      <c r="O19" s="1129"/>
      <c r="P19" s="3318"/>
      <c r="Q19" s="1805" t="str">
        <f>B19</f>
        <v>公共配套设施</v>
      </c>
      <c r="R19" s="770" t="s">
        <v>17</v>
      </c>
      <c r="S19" s="771">
        <f>F19</f>
        <v>102</v>
      </c>
      <c r="T19" s="770" t="s">
        <v>17</v>
      </c>
      <c r="U19" s="771">
        <f>H19</f>
        <v>102</v>
      </c>
      <c r="V19" s="770" t="s">
        <v>17</v>
      </c>
      <c r="W19" s="771">
        <f>J19</f>
        <v>102</v>
      </c>
      <c r="X19" s="1808"/>
      <c r="Y19" s="3290"/>
      <c r="Z19" s="1809" t="str">
        <f>Q19</f>
        <v>公共配套设施</v>
      </c>
      <c r="AA19" s="1806">
        <f t="shared" si="3"/>
        <v>0.98039215686274506</v>
      </c>
      <c r="AB19" s="1806">
        <f t="shared" si="4"/>
        <v>0.98039215686274506</v>
      </c>
      <c r="AC19" s="1806">
        <f t="shared" si="5"/>
        <v>0.98039215686274506</v>
      </c>
    </row>
    <row r="20" spans="1:29" ht="15">
      <c r="A20" s="426"/>
      <c r="B20" s="454"/>
      <c r="C20" s="445" t="s">
        <v>3274</v>
      </c>
      <c r="D20" s="446"/>
      <c r="E20" s="2592" t="s">
        <v>3055</v>
      </c>
      <c r="F20" s="447"/>
      <c r="G20" s="2591" t="s">
        <v>3055</v>
      </c>
      <c r="H20" s="446"/>
      <c r="I20" s="2592" t="s">
        <v>3055</v>
      </c>
      <c r="J20" s="446"/>
      <c r="K20" s="613"/>
      <c r="L20" s="1138"/>
      <c r="M20" s="1129"/>
      <c r="N20" s="1129"/>
      <c r="O20" s="1129"/>
      <c r="P20" s="3318"/>
      <c r="Q20" s="1805"/>
      <c r="R20" s="770"/>
      <c r="S20" s="771"/>
      <c r="T20" s="770"/>
      <c r="U20" s="771"/>
      <c r="V20" s="770"/>
      <c r="W20" s="771"/>
      <c r="X20" s="1808"/>
      <c r="Y20" s="3290"/>
      <c r="Z20" s="1809"/>
      <c r="AA20" s="1806">
        <v>1</v>
      </c>
      <c r="AB20" s="1806">
        <v>1</v>
      </c>
      <c r="AC20" s="1806">
        <v>1</v>
      </c>
    </row>
    <row r="21" spans="1:29" ht="15">
      <c r="A21" s="426"/>
      <c r="B21" s="1380" t="s">
        <v>2639</v>
      </c>
      <c r="C21" s="2594">
        <f>估价对象房地状况!C8</f>
        <v>0</v>
      </c>
      <c r="D21" s="453">
        <v>100</v>
      </c>
      <c r="E21" s="455"/>
      <c r="F21" s="456">
        <f>SUMIF(82:82,E22,83:83)-SUMIF(82:82,C22,83:83)+100</f>
        <v>100</v>
      </c>
      <c r="G21" s="457"/>
      <c r="H21" s="448">
        <f>SUMIF(82:82,G22,83:83)-SUMIF(82:82,C22,83:83)+100</f>
        <v>100</v>
      </c>
      <c r="I21" s="455"/>
      <c r="J21" s="448">
        <f>SUMIF(82:82,I22,83:83)-SUMIF(82:82,C22,83:83)+100</f>
        <v>100</v>
      </c>
      <c r="K21" s="612">
        <v>2</v>
      </c>
      <c r="L21" s="1138"/>
      <c r="M21" s="1129"/>
      <c r="N21" s="1129"/>
      <c r="O21" s="1129"/>
      <c r="P21" s="3318"/>
      <c r="Q21" s="1805" t="str">
        <f>B21</f>
        <v>基础设施水平</v>
      </c>
      <c r="R21" s="770" t="s">
        <v>17</v>
      </c>
      <c r="S21" s="771">
        <f>F21</f>
        <v>100</v>
      </c>
      <c r="T21" s="770" t="s">
        <v>17</v>
      </c>
      <c r="U21" s="771">
        <f>H21</f>
        <v>100</v>
      </c>
      <c r="V21" s="770" t="s">
        <v>17</v>
      </c>
      <c r="W21" s="771">
        <f>J21</f>
        <v>100</v>
      </c>
      <c r="X21" s="1808"/>
      <c r="Y21" s="3290"/>
      <c r="Z21" s="1809" t="str">
        <f>Q21</f>
        <v>基础设施水平</v>
      </c>
      <c r="AA21" s="1806">
        <f t="shared" ref="AA21" si="8">D21/F21</f>
        <v>1</v>
      </c>
      <c r="AB21" s="1806">
        <f t="shared" ref="AB21" si="9">D21/H21</f>
        <v>1</v>
      </c>
      <c r="AC21" s="1806">
        <f t="shared" ref="AC21" si="10">D21/J21</f>
        <v>1</v>
      </c>
    </row>
    <row r="22" spans="1:29" ht="15">
      <c r="A22" s="426"/>
      <c r="B22" s="1380"/>
      <c r="C22" s="2595" t="s">
        <v>3052</v>
      </c>
      <c r="D22" s="446"/>
      <c r="E22" s="445" t="s">
        <v>3052</v>
      </c>
      <c r="F22" s="447"/>
      <c r="G22" s="445" t="s">
        <v>3052</v>
      </c>
      <c r="H22" s="446"/>
      <c r="I22" s="445" t="s">
        <v>3052</v>
      </c>
      <c r="J22" s="446"/>
      <c r="K22" s="1379"/>
      <c r="L22" s="1138"/>
      <c r="M22" s="1129"/>
      <c r="N22" s="1129"/>
      <c r="O22" s="1129"/>
      <c r="P22" s="3318"/>
      <c r="Q22" s="1805"/>
      <c r="R22" s="770"/>
      <c r="S22" s="771"/>
      <c r="T22" s="770"/>
      <c r="U22" s="771"/>
      <c r="V22" s="770"/>
      <c r="W22" s="771"/>
      <c r="X22" s="1808"/>
      <c r="Y22" s="3290"/>
      <c r="Z22" s="1809"/>
      <c r="AA22" s="1806">
        <v>1</v>
      </c>
      <c r="AB22" s="1806">
        <v>1</v>
      </c>
      <c r="AC22" s="1806">
        <v>1</v>
      </c>
    </row>
    <row r="23" spans="1:29" ht="15">
      <c r="A23" s="426"/>
      <c r="B23" s="449" t="s">
        <v>2092</v>
      </c>
      <c r="C23" s="2651">
        <f>估价对象房地状况!C9</f>
        <v>0</v>
      </c>
      <c r="D23" s="448">
        <v>100</v>
      </c>
      <c r="E23" s="450"/>
      <c r="F23" s="451">
        <f>SUMIF(84:84,E24,85:85)-SUMIF(84:84,C24,85:85)+100</f>
        <v>100</v>
      </c>
      <c r="G23" s="452"/>
      <c r="H23" s="448">
        <f>SUMIF(84:84,G24,85:85)-SUMIF(84:84,C24,85:85)+100</f>
        <v>100</v>
      </c>
      <c r="I23" s="450"/>
      <c r="J23" s="448">
        <f>SUMIF(84:84,I24,85:85)-SUMIF(84:84,C24,85:85)+100</f>
        <v>100</v>
      </c>
      <c r="K23" s="612">
        <v>2</v>
      </c>
      <c r="L23" s="1138"/>
      <c r="M23" s="1129"/>
      <c r="N23" s="1129"/>
      <c r="O23" s="1129"/>
      <c r="P23" s="3318"/>
      <c r="Q23" s="1805" t="str">
        <f>B23</f>
        <v>自然及人文环境</v>
      </c>
      <c r="R23" s="770" t="s">
        <v>17</v>
      </c>
      <c r="S23" s="771">
        <f>F23</f>
        <v>100</v>
      </c>
      <c r="T23" s="770" t="s">
        <v>17</v>
      </c>
      <c r="U23" s="771">
        <f>H23</f>
        <v>100</v>
      </c>
      <c r="V23" s="770" t="s">
        <v>17</v>
      </c>
      <c r="W23" s="771">
        <f>J23</f>
        <v>100</v>
      </c>
      <c r="X23" s="1808"/>
      <c r="Y23" s="3290"/>
      <c r="Z23" s="1809" t="str">
        <f>Q23</f>
        <v>自然及人文环境</v>
      </c>
      <c r="AA23" s="1806">
        <f t="shared" si="3"/>
        <v>1</v>
      </c>
      <c r="AB23" s="1806">
        <f t="shared" si="4"/>
        <v>1</v>
      </c>
      <c r="AC23" s="1806">
        <f t="shared" si="5"/>
        <v>1</v>
      </c>
    </row>
    <row r="24" spans="1:29" ht="15">
      <c r="A24" s="426"/>
      <c r="B24" s="454"/>
      <c r="C24" s="445" t="s">
        <v>3055</v>
      </c>
      <c r="D24" s="446"/>
      <c r="E24" s="2592" t="s">
        <v>3055</v>
      </c>
      <c r="F24" s="447"/>
      <c r="G24" s="2591" t="s">
        <v>3055</v>
      </c>
      <c r="H24" s="446"/>
      <c r="I24" s="2592" t="s">
        <v>3055</v>
      </c>
      <c r="J24" s="446"/>
      <c r="K24" s="613"/>
      <c r="L24" s="1138"/>
      <c r="M24" s="1129"/>
      <c r="N24" s="1129"/>
      <c r="O24" s="1129"/>
      <c r="P24" s="3318"/>
      <c r="Q24" s="1805"/>
      <c r="R24" s="770"/>
      <c r="S24" s="771"/>
      <c r="T24" s="770"/>
      <c r="U24" s="771"/>
      <c r="V24" s="770"/>
      <c r="W24" s="771"/>
      <c r="X24" s="1808"/>
      <c r="Y24" s="3290"/>
      <c r="Z24" s="1809"/>
      <c r="AA24" s="1806">
        <v>1</v>
      </c>
      <c r="AB24" s="1806">
        <v>1</v>
      </c>
      <c r="AC24" s="1806">
        <v>1</v>
      </c>
    </row>
    <row r="25" spans="1:29" ht="15">
      <c r="A25" s="426"/>
      <c r="B25" s="420" t="s">
        <v>2640</v>
      </c>
      <c r="C25" s="614" t="s">
        <v>3434</v>
      </c>
      <c r="D25" s="433">
        <v>100</v>
      </c>
      <c r="E25" s="614" t="s">
        <v>3434</v>
      </c>
      <c r="F25" s="459">
        <f>SUMIF(86:86,E25,87:87)-SUMIF(86:86,C25,87:87)+100</f>
        <v>100</v>
      </c>
      <c r="G25" s="614" t="s">
        <v>3434</v>
      </c>
      <c r="H25" s="433">
        <f>SUMIF(86:86,G25,87:87)-SUMIF(86:86,C25,87:87)+100</f>
        <v>100</v>
      </c>
      <c r="I25" s="614" t="s">
        <v>3434</v>
      </c>
      <c r="J25" s="433">
        <f>SUMIF(86:86,I25,87:87)-SUMIF(86:86,C25,87:87)+100</f>
        <v>100</v>
      </c>
      <c r="K25" s="610">
        <v>2</v>
      </c>
      <c r="L25" s="1138"/>
      <c r="M25" s="1129"/>
      <c r="N25" s="1129"/>
      <c r="O25" s="1129"/>
      <c r="P25" s="3318"/>
      <c r="Q25" s="1805" t="str">
        <f t="shared" ref="Q25:Q46" si="11">B25</f>
        <v>临街状况</v>
      </c>
      <c r="R25" s="770" t="s">
        <v>17</v>
      </c>
      <c r="S25" s="771">
        <f>F25</f>
        <v>100</v>
      </c>
      <c r="T25" s="770" t="s">
        <v>17</v>
      </c>
      <c r="U25" s="771">
        <f>H25</f>
        <v>100</v>
      </c>
      <c r="V25" s="770" t="s">
        <v>17</v>
      </c>
      <c r="W25" s="771">
        <f>J25</f>
        <v>100</v>
      </c>
      <c r="X25" s="1808"/>
      <c r="Y25" s="3290"/>
      <c r="Z25" s="1809" t="str">
        <f>Q25</f>
        <v>临街状况</v>
      </c>
      <c r="AA25" s="1806">
        <f t="shared" si="3"/>
        <v>1</v>
      </c>
      <c r="AB25" s="1806">
        <f t="shared" si="4"/>
        <v>1</v>
      </c>
      <c r="AC25" s="1806">
        <f t="shared" si="5"/>
        <v>1</v>
      </c>
    </row>
    <row r="26" spans="1:29" ht="15">
      <c r="A26" s="426"/>
      <c r="B26" s="1382" t="s">
        <v>2641</v>
      </c>
      <c r="C26" s="2946" t="s">
        <v>3475</v>
      </c>
      <c r="D26" s="433">
        <v>100</v>
      </c>
      <c r="E26" s="2946" t="s">
        <v>3475</v>
      </c>
      <c r="F26" s="459">
        <f>SUMIF(88:88,E26,89:89)-SUMIF(88:88,C26,89:89)+100</f>
        <v>100</v>
      </c>
      <c r="G26" s="2946" t="s">
        <v>3475</v>
      </c>
      <c r="H26" s="433">
        <f>SUMIF(88:88,G26,89:89)-SUMIF(88:88,C26,89:89)+100</f>
        <v>100</v>
      </c>
      <c r="I26" s="2946" t="s">
        <v>3475</v>
      </c>
      <c r="J26" s="433">
        <f>SUMIF(88:88,I26,89:89)-SUMIF(88:88,C26,89:89)+100</f>
        <v>100</v>
      </c>
      <c r="K26" s="611"/>
      <c r="L26" s="1138"/>
      <c r="M26" s="1129"/>
      <c r="N26" s="1129"/>
      <c r="O26" s="1129"/>
      <c r="P26" s="3318"/>
      <c r="Q26" s="1805" t="str">
        <f t="shared" si="11"/>
        <v>平面位置/可视性</v>
      </c>
      <c r="R26" s="770" t="s">
        <v>17</v>
      </c>
      <c r="S26" s="771">
        <f>F26</f>
        <v>100</v>
      </c>
      <c r="T26" s="770" t="s">
        <v>17</v>
      </c>
      <c r="U26" s="771">
        <f>H26</f>
        <v>100</v>
      </c>
      <c r="V26" s="770" t="s">
        <v>17</v>
      </c>
      <c r="W26" s="771">
        <f>J26</f>
        <v>100</v>
      </c>
      <c r="X26" s="1808"/>
      <c r="Y26" s="3290"/>
      <c r="Z26" s="1809" t="str">
        <f>Q26</f>
        <v>平面位置/可视性</v>
      </c>
      <c r="AA26" s="1806">
        <f t="shared" si="3"/>
        <v>1</v>
      </c>
      <c r="AB26" s="1806">
        <f t="shared" si="4"/>
        <v>1</v>
      </c>
      <c r="AC26" s="1806">
        <f t="shared" si="5"/>
        <v>1</v>
      </c>
    </row>
    <row r="27" spans="1:29" s="116" customFormat="1" ht="15">
      <c r="A27" s="429"/>
      <c r="B27" s="449" t="s">
        <v>2642</v>
      </c>
      <c r="C27" s="2652" t="s">
        <v>3274</v>
      </c>
      <c r="D27" s="460">
        <v>100</v>
      </c>
      <c r="E27" s="2652" t="s">
        <v>3274</v>
      </c>
      <c r="F27" s="462">
        <f>SUMIF(90:90,E27,91:91)-SUMIF(90:90,C27,91:91)+100</f>
        <v>100</v>
      </c>
      <c r="G27" s="2652" t="s">
        <v>3274</v>
      </c>
      <c r="H27" s="460">
        <f>SUMIF(90:90,G27,91:91)-SUMIF(90:90,C27,91:91)+100</f>
        <v>100</v>
      </c>
      <c r="I27" s="2652" t="s">
        <v>3274</v>
      </c>
      <c r="J27" s="460">
        <f>SUMIF(90:90,I27,91:91)-SUMIF(90:90,C27,91:91)+100</f>
        <v>100</v>
      </c>
      <c r="K27" s="610">
        <v>2</v>
      </c>
      <c r="L27" s="1130"/>
      <c r="M27" s="1131"/>
      <c r="N27" s="1131"/>
      <c r="O27" s="1131"/>
      <c r="P27" s="3318"/>
      <c r="Q27" s="1790" t="str">
        <f t="shared" si="11"/>
        <v>人流量</v>
      </c>
      <c r="R27" s="766" t="s">
        <v>17</v>
      </c>
      <c r="S27" s="767">
        <f>F27</f>
        <v>100</v>
      </c>
      <c r="T27" s="766" t="s">
        <v>17</v>
      </c>
      <c r="U27" s="767">
        <f>H27</f>
        <v>100</v>
      </c>
      <c r="V27" s="766" t="s">
        <v>17</v>
      </c>
      <c r="W27" s="767">
        <f>J27</f>
        <v>100</v>
      </c>
      <c r="X27" s="768"/>
      <c r="Y27" s="3290"/>
      <c r="Z27" s="55" t="str">
        <f>Q27</f>
        <v>人流量</v>
      </c>
      <c r="AA27" s="1806">
        <f>D27/F27</f>
        <v>1</v>
      </c>
      <c r="AB27" s="1806">
        <f>D27/H27</f>
        <v>1</v>
      </c>
      <c r="AC27" s="1806">
        <f>D27/J27</f>
        <v>1</v>
      </c>
    </row>
    <row r="28" spans="1:29" ht="15">
      <c r="A28" s="426"/>
      <c r="B28" s="420" t="s">
        <v>2643</v>
      </c>
      <c r="C28" s="614" t="s">
        <v>3518</v>
      </c>
      <c r="D28" s="433">
        <v>100</v>
      </c>
      <c r="E28" s="614" t="s">
        <v>3518</v>
      </c>
      <c r="F28" s="459">
        <f>SUMIF(92:92,E28,93:93)-SUMIF(92:92,C28,93:93)+100</f>
        <v>100</v>
      </c>
      <c r="G28" s="614" t="s">
        <v>3519</v>
      </c>
      <c r="H28" s="433">
        <f>SUMIF(92:92,G28,93:93)-SUMIF(92:92,C28,93:93)+100</f>
        <v>90</v>
      </c>
      <c r="I28" s="614" t="s">
        <v>3519</v>
      </c>
      <c r="J28" s="433">
        <f>SUMIF(92:92,I28,93:93)-SUMIF(92:92,C28,93:93)+100</f>
        <v>90</v>
      </c>
      <c r="K28" s="611"/>
      <c r="L28" s="1138"/>
      <c r="M28" s="1129"/>
      <c r="N28" s="1129"/>
      <c r="O28" s="1129"/>
      <c r="P28" s="3318"/>
      <c r="Q28" s="1805" t="str">
        <f t="shared" si="11"/>
        <v>楼层</v>
      </c>
      <c r="R28" s="770" t="s">
        <v>17</v>
      </c>
      <c r="S28" s="771">
        <f t="shared" ref="S28:S46" si="12">F28</f>
        <v>100</v>
      </c>
      <c r="T28" s="770" t="s">
        <v>17</v>
      </c>
      <c r="U28" s="771">
        <f t="shared" ref="U28:U46" si="13">H28</f>
        <v>90</v>
      </c>
      <c r="V28" s="770" t="s">
        <v>17</v>
      </c>
      <c r="W28" s="771">
        <f t="shared" ref="W28:W46" si="14">J28</f>
        <v>90</v>
      </c>
      <c r="X28" s="1808"/>
      <c r="Y28" s="3290"/>
      <c r="Z28" s="1809" t="str">
        <f t="shared" ref="Z28:Z46" si="15">Q28</f>
        <v>楼层</v>
      </c>
      <c r="AA28" s="1806">
        <f t="shared" si="3"/>
        <v>1</v>
      </c>
      <c r="AB28" s="1806">
        <f t="shared" si="4"/>
        <v>1.1111111111111112</v>
      </c>
      <c r="AC28" s="1806">
        <f t="shared" si="5"/>
        <v>1.1111111111111112</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318"/>
      <c r="Q29" s="1805">
        <f t="shared" si="11"/>
        <v>111</v>
      </c>
      <c r="R29" s="770" t="s">
        <v>17</v>
      </c>
      <c r="S29" s="771">
        <f t="shared" si="12"/>
        <v>100</v>
      </c>
      <c r="T29" s="770" t="s">
        <v>17</v>
      </c>
      <c r="U29" s="771">
        <f t="shared" si="13"/>
        <v>100</v>
      </c>
      <c r="V29" s="770" t="s">
        <v>17</v>
      </c>
      <c r="W29" s="771">
        <f t="shared" si="14"/>
        <v>100</v>
      </c>
      <c r="X29" s="1808"/>
      <c r="Y29" s="3290"/>
      <c r="Z29" s="1809">
        <f t="shared" si="15"/>
        <v>111</v>
      </c>
      <c r="AA29" s="1806">
        <f t="shared" si="3"/>
        <v>1</v>
      </c>
      <c r="AB29" s="1806">
        <f t="shared" si="4"/>
        <v>1</v>
      </c>
      <c r="AC29" s="1806">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318"/>
      <c r="Q30" s="1805">
        <f t="shared" si="11"/>
        <v>111</v>
      </c>
      <c r="R30" s="770" t="s">
        <v>17</v>
      </c>
      <c r="S30" s="771">
        <f t="shared" si="12"/>
        <v>100</v>
      </c>
      <c r="T30" s="770" t="s">
        <v>17</v>
      </c>
      <c r="U30" s="771">
        <f t="shared" si="13"/>
        <v>100</v>
      </c>
      <c r="V30" s="770" t="s">
        <v>17</v>
      </c>
      <c r="W30" s="771">
        <f t="shared" si="14"/>
        <v>100</v>
      </c>
      <c r="X30" s="1808"/>
      <c r="Y30" s="3290"/>
      <c r="Z30" s="1809">
        <f t="shared" si="15"/>
        <v>111</v>
      </c>
      <c r="AA30" s="1806">
        <f t="shared" si="3"/>
        <v>1</v>
      </c>
      <c r="AB30" s="1806">
        <f t="shared" si="4"/>
        <v>1</v>
      </c>
      <c r="AC30" s="1806">
        <f t="shared" si="5"/>
        <v>1</v>
      </c>
    </row>
    <row r="31" spans="1:29" ht="15.75"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318"/>
      <c r="Q31" s="1805">
        <f t="shared" si="11"/>
        <v>111</v>
      </c>
      <c r="R31" s="770" t="s">
        <v>17</v>
      </c>
      <c r="S31" s="771">
        <f t="shared" si="12"/>
        <v>100</v>
      </c>
      <c r="T31" s="770" t="s">
        <v>17</v>
      </c>
      <c r="U31" s="771">
        <f t="shared" si="13"/>
        <v>100</v>
      </c>
      <c r="V31" s="770" t="s">
        <v>17</v>
      </c>
      <c r="W31" s="771">
        <f t="shared" si="14"/>
        <v>100</v>
      </c>
      <c r="X31" s="1808"/>
      <c r="Y31" s="3290"/>
      <c r="Z31" s="1809">
        <f t="shared" si="15"/>
        <v>111</v>
      </c>
      <c r="AA31" s="1806">
        <f t="shared" si="3"/>
        <v>1</v>
      </c>
      <c r="AB31" s="1806">
        <f t="shared" si="4"/>
        <v>1</v>
      </c>
      <c r="AC31" s="1806">
        <f t="shared" si="5"/>
        <v>1</v>
      </c>
    </row>
    <row r="32" spans="1:29" ht="15">
      <c r="A32" s="438" t="s">
        <v>2547</v>
      </c>
      <c r="B32" s="71" t="s">
        <v>2644</v>
      </c>
      <c r="C32" s="2604" t="s">
        <v>3486</v>
      </c>
      <c r="D32" s="465">
        <v>100</v>
      </c>
      <c r="E32" s="2604" t="s">
        <v>3483</v>
      </c>
      <c r="F32" s="459">
        <f>SUMIF(100:100,E32,101:101)-SUMIF(100:100,C32,101:101)+100</f>
        <v>104</v>
      </c>
      <c r="G32" s="2604" t="s">
        <v>3483</v>
      </c>
      <c r="H32" s="433">
        <f>SUMIF(100:100,G32,101:101)-SUMIF(100:100,C32,101:101)+100</f>
        <v>104</v>
      </c>
      <c r="I32" s="2604" t="s">
        <v>3486</v>
      </c>
      <c r="J32" s="465">
        <f>SUMIF(100:100,I32,101:101)-SUMIF(100:100,C32,101:101)+100</f>
        <v>100</v>
      </c>
      <c r="K32" s="610">
        <v>2</v>
      </c>
      <c r="L32" s="1138"/>
      <c r="M32" s="1129"/>
      <c r="N32" s="1129"/>
      <c r="O32" s="1129"/>
      <c r="P32" s="3319" t="s">
        <v>2549</v>
      </c>
      <c r="Q32" s="1805" t="str">
        <f t="shared" si="11"/>
        <v>商业类型</v>
      </c>
      <c r="R32" s="770" t="s">
        <v>17</v>
      </c>
      <c r="S32" s="771">
        <f t="shared" si="12"/>
        <v>104</v>
      </c>
      <c r="T32" s="770" t="s">
        <v>17</v>
      </c>
      <c r="U32" s="771">
        <f t="shared" si="13"/>
        <v>104</v>
      </c>
      <c r="V32" s="770" t="s">
        <v>17</v>
      </c>
      <c r="W32" s="771">
        <f t="shared" si="14"/>
        <v>100</v>
      </c>
      <c r="X32" s="1808"/>
      <c r="Y32" s="3292" t="s">
        <v>2549</v>
      </c>
      <c r="Z32" s="1809" t="str">
        <f t="shared" si="15"/>
        <v>商业类型</v>
      </c>
      <c r="AA32" s="1806">
        <f t="shared" si="3"/>
        <v>0.96153846153846156</v>
      </c>
      <c r="AB32" s="1806">
        <f t="shared" si="4"/>
        <v>0.96153846153846156</v>
      </c>
      <c r="AC32" s="1806">
        <f t="shared" si="5"/>
        <v>1</v>
      </c>
    </row>
    <row r="33" spans="1:29" s="469" customFormat="1" ht="15">
      <c r="A33" s="466"/>
      <c r="B33" s="420" t="s">
        <v>2550</v>
      </c>
      <c r="C33" s="467">
        <f>'数据-汇总表'!E3</f>
        <v>72085.949999999983</v>
      </c>
      <c r="D33" s="134">
        <v>100</v>
      </c>
      <c r="E33" s="428">
        <v>246</v>
      </c>
      <c r="F33" s="423">
        <f>LOOKUP(E33,103:103,104:104)-LOOKUP(C33,103:103,104:104)+100</f>
        <v>102</v>
      </c>
      <c r="G33" s="427">
        <v>97</v>
      </c>
      <c r="H33" s="134">
        <f>LOOKUP(G33,103:103,104:104)-LOOKUP(C33,103:103,104:104)+100</f>
        <v>104</v>
      </c>
      <c r="I33" s="427">
        <v>120</v>
      </c>
      <c r="J33" s="134">
        <f>LOOKUP(I33,103:103,104:104)-LOOKUP(C33,103:103,104:104)+100</f>
        <v>103</v>
      </c>
      <c r="K33" s="611"/>
      <c r="L33" s="1136"/>
      <c r="M33" s="1139"/>
      <c r="N33" s="1139"/>
      <c r="O33" s="1139"/>
      <c r="P33" s="3320"/>
      <c r="Q33" s="772" t="str">
        <f t="shared" si="11"/>
        <v>项目建筑规模</v>
      </c>
      <c r="R33" s="773" t="s">
        <v>17</v>
      </c>
      <c r="S33" s="774">
        <f t="shared" si="12"/>
        <v>102</v>
      </c>
      <c r="T33" s="773" t="s">
        <v>17</v>
      </c>
      <c r="U33" s="774">
        <f t="shared" si="13"/>
        <v>104</v>
      </c>
      <c r="V33" s="773" t="s">
        <v>17</v>
      </c>
      <c r="W33" s="774">
        <f t="shared" si="14"/>
        <v>103</v>
      </c>
      <c r="X33" s="775"/>
      <c r="Y33" s="3292"/>
      <c r="Z33" s="776" t="str">
        <f t="shared" si="15"/>
        <v>项目建筑规模</v>
      </c>
      <c r="AA33" s="1806">
        <f t="shared" si="3"/>
        <v>0.98039215686274506</v>
      </c>
      <c r="AB33" s="1806">
        <f t="shared" si="4"/>
        <v>0.96153846153846156</v>
      </c>
      <c r="AC33" s="1806">
        <f t="shared" si="5"/>
        <v>0.970873786407767</v>
      </c>
    </row>
    <row r="34" spans="1:29" ht="15">
      <c r="A34" s="470"/>
      <c r="B34" s="420" t="s">
        <v>2551</v>
      </c>
      <c r="C34" s="2606" t="s">
        <v>3043</v>
      </c>
      <c r="D34" s="433">
        <v>100</v>
      </c>
      <c r="E34" s="2606" t="s">
        <v>3043</v>
      </c>
      <c r="F34" s="459">
        <f>SUMIF(105:105,E34,106:106)-SUMIF(105:105,C34,106:106)+100</f>
        <v>100</v>
      </c>
      <c r="G34" s="2606" t="s">
        <v>3043</v>
      </c>
      <c r="H34" s="433">
        <f>SUMIF(105:105,G34,106:106)-SUMIF(105:105,C34,106:106)+100</f>
        <v>100</v>
      </c>
      <c r="I34" s="2606" t="s">
        <v>3043</v>
      </c>
      <c r="J34" s="433">
        <f>SUMIF(105:105,I34,106:106)-SUMIF(105:105,C34,106:106)+100</f>
        <v>100</v>
      </c>
      <c r="K34" s="610">
        <v>2</v>
      </c>
      <c r="L34" s="1138"/>
      <c r="M34" s="1129"/>
      <c r="N34" s="1129"/>
      <c r="O34" s="1129"/>
      <c r="P34" s="3320"/>
      <c r="Q34" s="1805" t="str">
        <f t="shared" si="11"/>
        <v>建筑结构</v>
      </c>
      <c r="R34" s="770" t="s">
        <v>17</v>
      </c>
      <c r="S34" s="771">
        <f t="shared" si="12"/>
        <v>100</v>
      </c>
      <c r="T34" s="770" t="s">
        <v>17</v>
      </c>
      <c r="U34" s="771">
        <f t="shared" si="13"/>
        <v>100</v>
      </c>
      <c r="V34" s="770" t="s">
        <v>17</v>
      </c>
      <c r="W34" s="771">
        <f t="shared" si="14"/>
        <v>100</v>
      </c>
      <c r="X34" s="1808"/>
      <c r="Y34" s="3292"/>
      <c r="Z34" s="1809" t="str">
        <f t="shared" si="15"/>
        <v>建筑结构</v>
      </c>
      <c r="AA34" s="1806">
        <f t="shared" si="3"/>
        <v>1</v>
      </c>
      <c r="AB34" s="1806">
        <f t="shared" si="4"/>
        <v>1</v>
      </c>
      <c r="AC34" s="1806">
        <f t="shared" si="5"/>
        <v>1</v>
      </c>
    </row>
    <row r="35" spans="1:29" ht="15">
      <c r="A35" s="470"/>
      <c r="B35" s="420" t="s">
        <v>2645</v>
      </c>
      <c r="C35" s="2600" t="s">
        <v>3066</v>
      </c>
      <c r="D35" s="433">
        <v>100</v>
      </c>
      <c r="E35" s="2600" t="s">
        <v>3066</v>
      </c>
      <c r="F35" s="459">
        <f>SUMIF(107:107,E35,108:108)-SUMIF(107:107,C35,108:108)+100</f>
        <v>100</v>
      </c>
      <c r="G35" s="2600" t="s">
        <v>3066</v>
      </c>
      <c r="H35" s="433">
        <f>SUMIF(107:107,G35,108:108)-SUMIF(107:107,C35,108:108)+100</f>
        <v>100</v>
      </c>
      <c r="I35" s="2600" t="s">
        <v>3066</v>
      </c>
      <c r="J35" s="433">
        <f>SUMIF(107:107,I35,108:108)-SUMIF(107:107,C35,108:108)+100</f>
        <v>100</v>
      </c>
      <c r="K35" s="610">
        <v>2</v>
      </c>
      <c r="L35" s="1138"/>
      <c r="M35" s="1129"/>
      <c r="N35" s="1129"/>
      <c r="O35" s="1129"/>
      <c r="P35" s="3320"/>
      <c r="Q35" s="1805" t="str">
        <f t="shared" si="11"/>
        <v>公共部分装修</v>
      </c>
      <c r="R35" s="770" t="s">
        <v>17</v>
      </c>
      <c r="S35" s="771">
        <f t="shared" si="12"/>
        <v>100</v>
      </c>
      <c r="T35" s="770" t="s">
        <v>17</v>
      </c>
      <c r="U35" s="771">
        <f t="shared" si="13"/>
        <v>100</v>
      </c>
      <c r="V35" s="770" t="s">
        <v>17</v>
      </c>
      <c r="W35" s="771">
        <f t="shared" si="14"/>
        <v>100</v>
      </c>
      <c r="X35" s="1808"/>
      <c r="Y35" s="3292"/>
      <c r="Z35" s="1809" t="str">
        <f t="shared" si="15"/>
        <v>公共部分装修</v>
      </c>
      <c r="AA35" s="1806">
        <f t="shared" si="3"/>
        <v>1</v>
      </c>
      <c r="AB35" s="1806">
        <f t="shared" si="4"/>
        <v>1</v>
      </c>
      <c r="AC35" s="1806">
        <f t="shared" si="5"/>
        <v>1</v>
      </c>
    </row>
    <row r="36" spans="1:29" ht="15">
      <c r="A36" s="470"/>
      <c r="B36" s="420" t="s">
        <v>2646</v>
      </c>
      <c r="C36" s="472">
        <f>'数据-取费表'!N6</f>
        <v>0.05</v>
      </c>
      <c r="D36" s="433">
        <v>100</v>
      </c>
      <c r="E36" s="472">
        <v>0.8</v>
      </c>
      <c r="F36" s="459" t="e">
        <f>LOOKUP(E36,110:110,111:111)-LOOKUP(C36,110:110,111:111)+100</f>
        <v>#N/A</v>
      </c>
      <c r="G36" s="472">
        <v>0.8</v>
      </c>
      <c r="H36" s="459" t="e">
        <f>LOOKUP(G36,110:110,111:111)-LOOKUP(C36,110:110,111:111)+100</f>
        <v>#N/A</v>
      </c>
      <c r="I36" s="472">
        <v>0.8</v>
      </c>
      <c r="J36" s="433" t="e">
        <f>LOOKUP(I36,110:110,111:111)-LOOKUP(C36,110:110,111:111)+100</f>
        <v>#N/A</v>
      </c>
      <c r="K36" s="610">
        <v>2</v>
      </c>
      <c r="L36" s="1138"/>
      <c r="M36" s="1129"/>
      <c r="N36" s="1129"/>
      <c r="O36" s="1129"/>
      <c r="P36" s="3320"/>
      <c r="Q36" s="1805" t="str">
        <f t="shared" si="11"/>
        <v>成新度</v>
      </c>
      <c r="R36" s="770" t="s">
        <v>17</v>
      </c>
      <c r="S36" s="771" t="e">
        <f t="shared" si="12"/>
        <v>#N/A</v>
      </c>
      <c r="T36" s="770" t="s">
        <v>17</v>
      </c>
      <c r="U36" s="771" t="e">
        <f t="shared" si="13"/>
        <v>#N/A</v>
      </c>
      <c r="V36" s="770" t="s">
        <v>17</v>
      </c>
      <c r="W36" s="771" t="e">
        <f t="shared" si="14"/>
        <v>#N/A</v>
      </c>
      <c r="X36" s="1808"/>
      <c r="Y36" s="3292"/>
      <c r="Z36" s="1809" t="str">
        <f t="shared" si="15"/>
        <v>成新度</v>
      </c>
      <c r="AA36" s="1806" t="e">
        <f t="shared" si="3"/>
        <v>#N/A</v>
      </c>
      <c r="AB36" s="1806" t="e">
        <f t="shared" si="4"/>
        <v>#N/A</v>
      </c>
      <c r="AC36" s="1806" t="e">
        <f t="shared" si="5"/>
        <v>#N/A</v>
      </c>
    </row>
    <row r="37" spans="1:29" s="116" customFormat="1" ht="15">
      <c r="A37" s="471"/>
      <c r="B37" s="420" t="s">
        <v>2647</v>
      </c>
      <c r="C37" s="2600" t="s">
        <v>3497</v>
      </c>
      <c r="D37" s="134">
        <v>100</v>
      </c>
      <c r="E37" s="2600" t="s">
        <v>3497</v>
      </c>
      <c r="F37" s="459">
        <f>SUMIF(112:112,E37,113:113)-SUMIF(112:112,C37,113:113)+100</f>
        <v>100</v>
      </c>
      <c r="G37" s="2600" t="s">
        <v>3497</v>
      </c>
      <c r="H37" s="433">
        <f>SUMIF(112:112,G37,113:113)-SUMIF(112:112,C37,113:113)+100</f>
        <v>100</v>
      </c>
      <c r="I37" s="2600" t="s">
        <v>3497</v>
      </c>
      <c r="J37" s="433">
        <f>SUMIF(112:112,I37,113:113)-SUMIF(112:112,C37,113:113)+100</f>
        <v>100</v>
      </c>
      <c r="K37" s="610">
        <v>2</v>
      </c>
      <c r="L37" s="1130"/>
      <c r="M37" s="1131"/>
      <c r="N37" s="1131"/>
      <c r="O37" s="1131"/>
      <c r="P37" s="3320"/>
      <c r="Q37" s="1790" t="str">
        <f t="shared" si="11"/>
        <v>市政基础设施</v>
      </c>
      <c r="R37" s="766" t="s">
        <v>17</v>
      </c>
      <c r="S37" s="767">
        <f t="shared" si="12"/>
        <v>100</v>
      </c>
      <c r="T37" s="766" t="s">
        <v>17</v>
      </c>
      <c r="U37" s="767">
        <f t="shared" si="13"/>
        <v>100</v>
      </c>
      <c r="V37" s="766" t="s">
        <v>17</v>
      </c>
      <c r="W37" s="767">
        <f t="shared" si="14"/>
        <v>100</v>
      </c>
      <c r="X37" s="768"/>
      <c r="Y37" s="3292"/>
      <c r="Z37" s="55" t="str">
        <f t="shared" si="15"/>
        <v>市政基础设施</v>
      </c>
      <c r="AA37" s="769">
        <f t="shared" si="3"/>
        <v>1</v>
      </c>
      <c r="AB37" s="769">
        <f t="shared" si="4"/>
        <v>1</v>
      </c>
      <c r="AC37" s="769">
        <f t="shared" si="5"/>
        <v>1</v>
      </c>
    </row>
    <row r="38" spans="1:29" ht="15">
      <c r="A38" s="470"/>
      <c r="B38" s="420" t="s">
        <v>2648</v>
      </c>
      <c r="C38" s="2600" t="s">
        <v>3502</v>
      </c>
      <c r="D38" s="433">
        <v>100</v>
      </c>
      <c r="E38" s="2600" t="s">
        <v>3502</v>
      </c>
      <c r="F38" s="459">
        <f>SUMIF(114:114,E38,115:115)-SUMIF(114:114,C38,115:115)+100</f>
        <v>100</v>
      </c>
      <c r="G38" s="2600" t="s">
        <v>3502</v>
      </c>
      <c r="H38" s="433">
        <f>SUMIF(114:114,G38,115:115)-SUMIF(114:114,C38,115:115)+100</f>
        <v>100</v>
      </c>
      <c r="I38" s="2600" t="s">
        <v>3502</v>
      </c>
      <c r="J38" s="433">
        <f>SUMIF(114:114,I38,115:115)-SUMIF(114:114,C38,115:115)+100</f>
        <v>100</v>
      </c>
      <c r="K38" s="610">
        <v>2</v>
      </c>
      <c r="L38" s="1138"/>
      <c r="M38" s="1129"/>
      <c r="N38" s="1129"/>
      <c r="O38" s="1129"/>
      <c r="P38" s="3320" t="s">
        <v>2549</v>
      </c>
      <c r="Q38" s="1805" t="str">
        <f t="shared" si="11"/>
        <v>业态</v>
      </c>
      <c r="R38" s="770" t="s">
        <v>17</v>
      </c>
      <c r="S38" s="771">
        <f t="shared" si="12"/>
        <v>100</v>
      </c>
      <c r="T38" s="770" t="s">
        <v>17</v>
      </c>
      <c r="U38" s="771">
        <f t="shared" si="13"/>
        <v>100</v>
      </c>
      <c r="V38" s="770" t="s">
        <v>17</v>
      </c>
      <c r="W38" s="771">
        <f t="shared" si="14"/>
        <v>100</v>
      </c>
      <c r="X38" s="1808"/>
      <c r="Y38" s="3292" t="s">
        <v>2549</v>
      </c>
      <c r="Z38" s="1809" t="str">
        <f t="shared" si="15"/>
        <v>业态</v>
      </c>
      <c r="AA38" s="1806">
        <f t="shared" si="3"/>
        <v>1</v>
      </c>
      <c r="AB38" s="1806">
        <f t="shared" si="4"/>
        <v>1</v>
      </c>
      <c r="AC38" s="1806">
        <f t="shared" si="5"/>
        <v>1</v>
      </c>
    </row>
    <row r="39" spans="1:29" ht="15">
      <c r="A39" s="470"/>
      <c r="B39" s="420" t="s">
        <v>2649</v>
      </c>
      <c r="C39" s="2600" t="s">
        <v>3506</v>
      </c>
      <c r="D39" s="433">
        <v>100</v>
      </c>
      <c r="E39" s="2600" t="s">
        <v>3506</v>
      </c>
      <c r="F39" s="459">
        <f>SUMIF(116:116,E39,117:117)-SUMIF(116:116,C39,117:117)+100</f>
        <v>100</v>
      </c>
      <c r="G39" s="2600" t="s">
        <v>3506</v>
      </c>
      <c r="H39" s="433">
        <f>SUMIF(116:116,G39,117:117)-SUMIF(116:116,C39,117:117)+100</f>
        <v>100</v>
      </c>
      <c r="I39" s="2600" t="s">
        <v>3506</v>
      </c>
      <c r="J39" s="433">
        <f>SUMIF(116:116,I39,117:117)-SUMIF(116:116,C39,117:117)+100</f>
        <v>100</v>
      </c>
      <c r="K39" s="610">
        <v>2</v>
      </c>
      <c r="L39" s="1138"/>
      <c r="M39" s="1129"/>
      <c r="N39" s="1129"/>
      <c r="O39" s="1129"/>
      <c r="P39" s="3320"/>
      <c r="Q39" s="1805" t="str">
        <f t="shared" si="11"/>
        <v>层高</v>
      </c>
      <c r="R39" s="770" t="s">
        <v>17</v>
      </c>
      <c r="S39" s="771">
        <f t="shared" si="12"/>
        <v>100</v>
      </c>
      <c r="T39" s="770" t="s">
        <v>17</v>
      </c>
      <c r="U39" s="771">
        <f t="shared" si="13"/>
        <v>100</v>
      </c>
      <c r="V39" s="770" t="s">
        <v>17</v>
      </c>
      <c r="W39" s="771">
        <f t="shared" si="14"/>
        <v>100</v>
      </c>
      <c r="X39" s="1808"/>
      <c r="Y39" s="3292"/>
      <c r="Z39" s="1809" t="str">
        <f t="shared" si="15"/>
        <v>层高</v>
      </c>
      <c r="AA39" s="1806">
        <f t="shared" si="3"/>
        <v>1</v>
      </c>
      <c r="AB39" s="1806">
        <f t="shared" si="4"/>
        <v>1</v>
      </c>
      <c r="AC39" s="1806">
        <f t="shared" si="5"/>
        <v>1</v>
      </c>
    </row>
    <row r="40" spans="1:29" ht="15">
      <c r="A40" s="470"/>
      <c r="B40" s="420" t="s">
        <v>2650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320"/>
      <c r="Q40" s="1805" t="str">
        <f t="shared" si="11"/>
        <v>单套建筑面积</v>
      </c>
      <c r="R40" s="770" t="s">
        <v>17</v>
      </c>
      <c r="S40" s="771">
        <f t="shared" si="12"/>
        <v>100</v>
      </c>
      <c r="T40" s="770" t="s">
        <v>17</v>
      </c>
      <c r="U40" s="771">
        <f t="shared" si="13"/>
        <v>100</v>
      </c>
      <c r="V40" s="770" t="s">
        <v>17</v>
      </c>
      <c r="W40" s="771">
        <f t="shared" si="14"/>
        <v>100</v>
      </c>
      <c r="X40" s="1808"/>
      <c r="Y40" s="3292"/>
      <c r="Z40" s="1809" t="str">
        <f t="shared" si="15"/>
        <v>单套建筑面积</v>
      </c>
      <c r="AA40" s="1806">
        <f t="shared" si="3"/>
        <v>1</v>
      </c>
      <c r="AB40" s="1806">
        <f t="shared" si="4"/>
        <v>1</v>
      </c>
      <c r="AC40" s="1806">
        <f t="shared" si="5"/>
        <v>1</v>
      </c>
    </row>
    <row r="41" spans="1:29" s="469" customFormat="1" ht="15">
      <c r="A41" s="466"/>
      <c r="B41" s="1807" t="s">
        <v>2651</v>
      </c>
      <c r="C41" s="614" t="s">
        <v>3509</v>
      </c>
      <c r="D41" s="433">
        <v>100</v>
      </c>
      <c r="E41" s="614" t="s">
        <v>3509</v>
      </c>
      <c r="F41" s="459">
        <f>SUMIF(120:120,E41,121:121)-SUMIF(120:120,C41,121:121)+100</f>
        <v>100</v>
      </c>
      <c r="G41" s="614" t="s">
        <v>3509</v>
      </c>
      <c r="H41" s="433">
        <f>SUMIF(120:120,G41,121:121)-SUMIF(120:120,C41,121:121)+100</f>
        <v>100</v>
      </c>
      <c r="I41" s="614" t="s">
        <v>3509</v>
      </c>
      <c r="J41" s="433">
        <f>SUMIF(120:120,I41,121:121)-SUMIF(120:120,C41,121:121)+100</f>
        <v>100</v>
      </c>
      <c r="K41" s="610">
        <v>2</v>
      </c>
      <c r="L41" s="1136"/>
      <c r="M41" s="1139"/>
      <c r="N41" s="1139"/>
      <c r="O41" s="1139"/>
      <c r="P41" s="3320"/>
      <c r="Q41" s="772" t="str">
        <f t="shared" si="11"/>
        <v>进深比</v>
      </c>
      <c r="R41" s="773" t="s">
        <v>17</v>
      </c>
      <c r="S41" s="774">
        <f t="shared" si="12"/>
        <v>100</v>
      </c>
      <c r="T41" s="773" t="s">
        <v>17</v>
      </c>
      <c r="U41" s="774">
        <f t="shared" si="13"/>
        <v>100</v>
      </c>
      <c r="V41" s="773" t="s">
        <v>17</v>
      </c>
      <c r="W41" s="774">
        <f t="shared" si="14"/>
        <v>100</v>
      </c>
      <c r="X41" s="775"/>
      <c r="Y41" s="3292"/>
      <c r="Z41" s="776" t="str">
        <f t="shared" si="15"/>
        <v>进深比</v>
      </c>
      <c r="AA41" s="1806">
        <f t="shared" si="3"/>
        <v>1</v>
      </c>
      <c r="AB41" s="1806">
        <f t="shared" si="4"/>
        <v>1</v>
      </c>
      <c r="AC41" s="1806">
        <f t="shared" si="5"/>
        <v>1</v>
      </c>
    </row>
    <row r="42" spans="1:29" ht="15">
      <c r="A42" s="470"/>
      <c r="B42" s="420" t="s">
        <v>2652</v>
      </c>
      <c r="C42" s="2600" t="s">
        <v>3115</v>
      </c>
      <c r="D42" s="433">
        <v>100</v>
      </c>
      <c r="E42" s="2600" t="s">
        <v>3493</v>
      </c>
      <c r="F42" s="459">
        <f>SUMIF(122:122,E42,123:123)-SUMIF(122:122,C42,123:123)+100</f>
        <v>102</v>
      </c>
      <c r="G42" s="2600" t="s">
        <v>3115</v>
      </c>
      <c r="H42" s="433">
        <f>SUMIF(122:122,G42,123:123)-SUMIF(122:122,C42,123:123)+100</f>
        <v>100</v>
      </c>
      <c r="I42" s="2600" t="s">
        <v>3493</v>
      </c>
      <c r="J42" s="433">
        <f>SUMIF(122:122,I42,123:123)-SUMIF(122:122,C42,123:123)+100</f>
        <v>102</v>
      </c>
      <c r="K42" s="610">
        <v>2</v>
      </c>
      <c r="L42" s="1138"/>
      <c r="M42" s="1129"/>
      <c r="N42" s="1129"/>
      <c r="O42" s="1129"/>
      <c r="P42" s="3320"/>
      <c r="Q42" s="1805" t="str">
        <f t="shared" si="11"/>
        <v>内部装修</v>
      </c>
      <c r="R42" s="770" t="s">
        <v>17</v>
      </c>
      <c r="S42" s="771">
        <f t="shared" si="12"/>
        <v>102</v>
      </c>
      <c r="T42" s="770" t="s">
        <v>17</v>
      </c>
      <c r="U42" s="771">
        <f t="shared" si="13"/>
        <v>100</v>
      </c>
      <c r="V42" s="770" t="s">
        <v>17</v>
      </c>
      <c r="W42" s="771">
        <f t="shared" si="14"/>
        <v>102</v>
      </c>
      <c r="X42" s="1808"/>
      <c r="Y42" s="3292"/>
      <c r="Z42" s="1809" t="str">
        <f t="shared" si="15"/>
        <v>内部装修</v>
      </c>
      <c r="AA42" s="1806">
        <f t="shared" si="3"/>
        <v>0.98039215686274506</v>
      </c>
      <c r="AB42" s="1806">
        <f t="shared" si="4"/>
        <v>1</v>
      </c>
      <c r="AC42" s="1806">
        <f t="shared" si="5"/>
        <v>0.98039215686274506</v>
      </c>
    </row>
    <row r="43" spans="1:29" ht="15">
      <c r="A43" s="470"/>
      <c r="B43" s="420" t="s">
        <v>2560</v>
      </c>
      <c r="C43" s="2600" t="s">
        <v>3055</v>
      </c>
      <c r="D43" s="433">
        <v>100</v>
      </c>
      <c r="E43" s="2600" t="s">
        <v>3055</v>
      </c>
      <c r="F43" s="459">
        <f>SUMIF(124:124,E43,125:125)-SUMIF(124:124,C43,125:125)+100</f>
        <v>100</v>
      </c>
      <c r="G43" s="2600" t="s">
        <v>3055</v>
      </c>
      <c r="H43" s="433">
        <f>SUMIF(124:124,G43,125:125)-SUMIF(124:124,C43,125:125)+100</f>
        <v>100</v>
      </c>
      <c r="I43" s="2600" t="s">
        <v>3055</v>
      </c>
      <c r="J43" s="433">
        <f>SUMIF(124:124,I43,125:125)-SUMIF(124:124,C43,125:125)+100</f>
        <v>100</v>
      </c>
      <c r="K43" s="610">
        <v>2</v>
      </c>
      <c r="L43" s="1138"/>
      <c r="M43" s="1129"/>
      <c r="N43" s="1129"/>
      <c r="O43" s="1129"/>
      <c r="P43" s="3320"/>
      <c r="Q43" s="1805" t="str">
        <f t="shared" si="11"/>
        <v>内部装修维护情况</v>
      </c>
      <c r="R43" s="770" t="s">
        <v>17</v>
      </c>
      <c r="S43" s="771">
        <f t="shared" si="12"/>
        <v>100</v>
      </c>
      <c r="T43" s="770" t="s">
        <v>17</v>
      </c>
      <c r="U43" s="771">
        <f t="shared" si="13"/>
        <v>100</v>
      </c>
      <c r="V43" s="770" t="s">
        <v>17</v>
      </c>
      <c r="W43" s="771">
        <f t="shared" si="14"/>
        <v>100</v>
      </c>
      <c r="X43" s="1808"/>
      <c r="Y43" s="3292"/>
      <c r="Z43" s="1809" t="str">
        <f t="shared" si="15"/>
        <v>内部装修维护情况</v>
      </c>
      <c r="AA43" s="1806">
        <f t="shared" si="3"/>
        <v>1</v>
      </c>
      <c r="AB43" s="1806">
        <f t="shared" si="4"/>
        <v>1</v>
      </c>
      <c r="AC43" s="1806">
        <f t="shared" si="5"/>
        <v>1</v>
      </c>
    </row>
    <row r="44" spans="1:29" s="116"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0"/>
      <c r="M44" s="1131"/>
      <c r="N44" s="1131"/>
      <c r="O44" s="1131"/>
      <c r="P44" s="3320"/>
      <c r="Q44" s="1790">
        <f t="shared" si="11"/>
        <v>111</v>
      </c>
      <c r="R44" s="766" t="s">
        <v>17</v>
      </c>
      <c r="S44" s="767">
        <f t="shared" si="12"/>
        <v>100</v>
      </c>
      <c r="T44" s="766" t="s">
        <v>17</v>
      </c>
      <c r="U44" s="767">
        <f t="shared" si="13"/>
        <v>100</v>
      </c>
      <c r="V44" s="766" t="s">
        <v>17</v>
      </c>
      <c r="W44" s="767">
        <f t="shared" si="14"/>
        <v>100</v>
      </c>
      <c r="X44" s="768"/>
      <c r="Y44" s="3292"/>
      <c r="Z44" s="55">
        <f t="shared" si="15"/>
        <v>111</v>
      </c>
      <c r="AA44" s="769">
        <f t="shared" si="3"/>
        <v>1</v>
      </c>
      <c r="AB44" s="769">
        <f t="shared" si="4"/>
        <v>1</v>
      </c>
      <c r="AC44" s="769">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320"/>
      <c r="Q45" s="1805">
        <f t="shared" si="11"/>
        <v>111</v>
      </c>
      <c r="R45" s="770" t="s">
        <v>17</v>
      </c>
      <c r="S45" s="771">
        <f t="shared" si="12"/>
        <v>100</v>
      </c>
      <c r="T45" s="770" t="s">
        <v>17</v>
      </c>
      <c r="U45" s="771">
        <f t="shared" si="13"/>
        <v>100</v>
      </c>
      <c r="V45" s="770" t="s">
        <v>17</v>
      </c>
      <c r="W45" s="771">
        <f t="shared" si="14"/>
        <v>100</v>
      </c>
      <c r="X45" s="1808"/>
      <c r="Y45" s="3292"/>
      <c r="Z45" s="1809">
        <f t="shared" si="15"/>
        <v>111</v>
      </c>
      <c r="AA45" s="1806">
        <f t="shared" si="3"/>
        <v>1</v>
      </c>
      <c r="AB45" s="1806">
        <f t="shared" si="4"/>
        <v>1</v>
      </c>
      <c r="AC45" s="1806">
        <f t="shared" si="5"/>
        <v>1</v>
      </c>
    </row>
    <row r="46" spans="1:29" ht="15.75" thickBot="1">
      <c r="A46" s="476"/>
      <c r="B46" s="258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321"/>
      <c r="Q46" s="1805">
        <f t="shared" si="11"/>
        <v>111</v>
      </c>
      <c r="R46" s="770" t="s">
        <v>17</v>
      </c>
      <c r="S46" s="771">
        <f t="shared" si="12"/>
        <v>100</v>
      </c>
      <c r="T46" s="770" t="s">
        <v>17</v>
      </c>
      <c r="U46" s="771">
        <f t="shared" si="13"/>
        <v>100</v>
      </c>
      <c r="V46" s="770" t="s">
        <v>17</v>
      </c>
      <c r="W46" s="771">
        <f t="shared" si="14"/>
        <v>100</v>
      </c>
      <c r="X46" s="1808"/>
      <c r="Y46" s="3300"/>
      <c r="Z46" s="1809">
        <f t="shared" si="15"/>
        <v>111</v>
      </c>
      <c r="AA46" s="1806">
        <f t="shared" si="3"/>
        <v>1</v>
      </c>
      <c r="AB46" s="1806">
        <f t="shared" si="4"/>
        <v>1</v>
      </c>
      <c r="AC46" s="1806">
        <f t="shared" si="5"/>
        <v>1</v>
      </c>
    </row>
    <row r="47" spans="1:29" ht="15">
      <c r="A47" s="477" t="s">
        <v>2561</v>
      </c>
      <c r="B47" s="478"/>
      <c r="C47" s="1403" t="s">
        <v>1</v>
      </c>
      <c r="D47" s="1404"/>
      <c r="E47" s="1405">
        <v>9500</v>
      </c>
      <c r="F47" s="1406"/>
      <c r="G47" s="1407">
        <v>9700</v>
      </c>
      <c r="H47" s="1408"/>
      <c r="I47" s="1405">
        <v>9800</v>
      </c>
      <c r="J47" s="1408"/>
      <c r="K47" s="779"/>
      <c r="L47" s="1141"/>
      <c r="M47" s="1142"/>
      <c r="N47" s="1129"/>
      <c r="O47" s="1142"/>
      <c r="P47" s="3274" t="str">
        <f>A47</f>
        <v>成交单价（元/平方米）</v>
      </c>
      <c r="Q47" s="3274"/>
      <c r="R47" s="3287">
        <f>E47</f>
        <v>9500</v>
      </c>
      <c r="S47" s="3287"/>
      <c r="T47" s="3287">
        <f>G47</f>
        <v>9700</v>
      </c>
      <c r="U47" s="3287"/>
      <c r="V47" s="3287">
        <f>I47</f>
        <v>9800</v>
      </c>
      <c r="W47" s="3287"/>
      <c r="X47" s="755"/>
      <c r="Y47" s="777"/>
      <c r="Z47" s="755"/>
      <c r="AA47" s="755"/>
      <c r="AB47" s="755"/>
      <c r="AC47" s="755"/>
    </row>
    <row r="48" spans="1:29" ht="15.75" thickBot="1">
      <c r="A48" s="484" t="s">
        <v>2653</v>
      </c>
      <c r="B48" s="485"/>
      <c r="C48" s="1409" t="e">
        <f>R49</f>
        <v>#N/A</v>
      </c>
      <c r="D48" s="1410"/>
      <c r="E48" s="1411" t="e">
        <f>R48</f>
        <v>#N/A</v>
      </c>
      <c r="F48" s="1411"/>
      <c r="G48" s="1409" t="e">
        <f>T48</f>
        <v>#N/A</v>
      </c>
      <c r="H48" s="1410"/>
      <c r="I48" s="1411" t="e">
        <f>V48</f>
        <v>#N/A</v>
      </c>
      <c r="J48" s="1410"/>
      <c r="K48" s="780"/>
      <c r="L48" s="1141"/>
      <c r="M48" s="1142"/>
      <c r="N48" s="1129"/>
      <c r="O48" s="1142"/>
      <c r="P48" s="3274" t="str">
        <f>A48</f>
        <v>比较价值（元/平方米）</v>
      </c>
      <c r="Q48" s="3274"/>
      <c r="R48" s="3301" t="e">
        <f>IF(F1="售价",ROUND(PRODUCT(R47,AA7:AA46),0),ROUND(PRODUCT(R47,AA7:AA46),1))</f>
        <v>#N/A</v>
      </c>
      <c r="S48" s="3301"/>
      <c r="T48" s="3301" t="e">
        <f>IF(F1="售价",ROUND(PRODUCT(T47,AB7:AB46),0),ROUND(PRODUCT(T47,AB7:AB46),1))</f>
        <v>#N/A</v>
      </c>
      <c r="U48" s="3301"/>
      <c r="V48" s="3301" t="e">
        <f>IF(F1="售价",ROUND(PRODUCT(V47,AC7:AC46),0),ROUND(PRODUCT(V47,AC7:AC46),1))</f>
        <v>#N/A</v>
      </c>
      <c r="W48" s="3301"/>
      <c r="X48" s="755"/>
      <c r="Y48" s="755"/>
      <c r="Z48" s="755"/>
      <c r="AA48" s="755"/>
      <c r="AB48" s="755"/>
      <c r="AC48" s="755"/>
    </row>
    <row r="49" spans="1:29" ht="15.75" thickBot="1">
      <c r="A49" s="490" t="s">
        <v>2654</v>
      </c>
      <c r="B49" s="491"/>
      <c r="C49" s="1413" t="e">
        <f>R49</f>
        <v>#N/A</v>
      </c>
      <c r="D49" s="1413"/>
      <c r="E49" s="1413"/>
      <c r="F49" s="1413"/>
      <c r="G49" s="1413"/>
      <c r="H49" s="1413"/>
      <c r="I49" s="1413"/>
      <c r="J49" s="1413"/>
      <c r="K49" s="781"/>
      <c r="L49" s="1141"/>
      <c r="M49" s="1142"/>
      <c r="N49" s="1129"/>
      <c r="O49" s="1142"/>
      <c r="P49" s="3294" t="str">
        <f>A49</f>
        <v>估价对象XX用房的比较价值（楼面单价，元/平方米）</v>
      </c>
      <c r="Q49" s="3295"/>
      <c r="R49" s="3302" t="e">
        <f>IF(F1="售价",ROUND(AVERAGE(R48:V48),0),ROUND(AVERAGE(R48:V48),1))</f>
        <v>#N/A</v>
      </c>
      <c r="S49" s="3302"/>
      <c r="T49" s="3302"/>
      <c r="U49" s="3302"/>
      <c r="V49" s="3302"/>
      <c r="W49" s="3302"/>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c r="P50" s="673"/>
      <c r="Q50" s="755"/>
      <c r="R50" s="755"/>
      <c r="S50" s="755"/>
      <c r="T50" s="755"/>
      <c r="U50" s="755"/>
      <c r="V50" s="755"/>
      <c r="W50" s="755"/>
      <c r="X50" s="755"/>
      <c r="Y50" s="755"/>
      <c r="Z50" s="755"/>
      <c r="AA50" s="755"/>
      <c r="AB50" s="755"/>
      <c r="AC50" s="755"/>
    </row>
    <row r="51" spans="1:29">
      <c r="A51" s="1142"/>
      <c r="B51" s="1142"/>
      <c r="C51" s="1142"/>
      <c r="D51" s="1142"/>
      <c r="E51" s="1142"/>
      <c r="F51" s="1142"/>
      <c r="G51" s="1142"/>
      <c r="H51" s="1142"/>
      <c r="I51" s="1142"/>
      <c r="J51" s="1142"/>
      <c r="K51" s="1103"/>
      <c r="L51" s="1104"/>
      <c r="M51" s="1142"/>
      <c r="N51" s="1142"/>
      <c r="O51" s="1142"/>
      <c r="P51" s="673"/>
      <c r="Q51" s="755"/>
      <c r="R51" s="755"/>
      <c r="S51" s="755"/>
      <c r="T51" s="755"/>
      <c r="U51" s="755"/>
      <c r="V51" s="755"/>
      <c r="W51" s="755"/>
      <c r="X51" s="755"/>
      <c r="Y51" s="755"/>
      <c r="Z51" s="755"/>
      <c r="AA51" s="755"/>
      <c r="AB51" s="755"/>
      <c r="AC51" s="755"/>
    </row>
    <row r="52" spans="1:29" ht="13.5" customHeight="1">
      <c r="A52" s="1142"/>
      <c r="B52" s="1142"/>
      <c r="C52" s="495" t="s">
        <v>2655</v>
      </c>
      <c r="D52" s="496"/>
      <c r="E52" s="497" t="e">
        <f>IF(E47&lt;E48,E48/E47-1,E47/E48-1)</f>
        <v>#N/A</v>
      </c>
      <c r="F52" s="498" t="e">
        <f>IF(OR(E52&gt;=0.3,E52&lt;=-0.3),"超过30%","")</f>
        <v>#N/A</v>
      </c>
      <c r="G52" s="497" t="e">
        <f>IF(G47&lt;G48,G48/G47-1,G47/G48-1)</f>
        <v>#N/A</v>
      </c>
      <c r="H52" s="498" t="e">
        <f>IF(OR(G52&gt;=0.3,G52&lt;=-0.3),"超过30%","")</f>
        <v>#N/A</v>
      </c>
      <c r="I52" s="497" t="e">
        <f>IF(I47&lt;I48,I48/I47-1,I47/I48-1)</f>
        <v>#N/A</v>
      </c>
      <c r="J52" s="498" t="e">
        <f>IF(OR(I52&gt;=0.3,I52&lt;=-0.3),"超过30%","")</f>
        <v>#N/A</v>
      </c>
      <c r="K52" s="1103"/>
      <c r="L52" s="1104"/>
      <c r="M52" s="1142"/>
      <c r="N52" s="1142"/>
      <c r="O52" s="1142"/>
      <c r="P52" s="673"/>
      <c r="Q52" s="755"/>
      <c r="R52" s="755"/>
      <c r="S52" s="755"/>
      <c r="T52" s="755"/>
      <c r="U52" s="755"/>
      <c r="V52" s="755"/>
      <c r="W52" s="755"/>
      <c r="X52" s="755"/>
      <c r="Y52" s="755"/>
      <c r="Z52" s="755"/>
      <c r="AA52" s="755"/>
      <c r="AB52" s="755"/>
      <c r="AC52" s="755"/>
    </row>
    <row r="53" spans="1:29" ht="13.5" customHeight="1">
      <c r="A53" s="1142"/>
      <c r="B53" s="1142"/>
      <c r="C53" s="495" t="s">
        <v>2656</v>
      </c>
      <c r="D53" s="499"/>
      <c r="E53" s="497" t="e">
        <f>IF(E48&lt;G48,G48/E48-1,E48/G48-1)</f>
        <v>#N/A</v>
      </c>
      <c r="F53" s="498" t="e">
        <f>IF(OR(E53&gt;=0.2,E53&lt;=-0.2),"超过20%","")</f>
        <v>#N/A</v>
      </c>
      <c r="G53" s="497" t="e">
        <f>IF(G48&lt;I48,I48/G48-1,G48/I48-1)</f>
        <v>#N/A</v>
      </c>
      <c r="H53" s="498" t="e">
        <f>IF(OR(G53&gt;=0.2,G53&lt;=-0.2),"超过20%","")</f>
        <v>#N/A</v>
      </c>
      <c r="I53" s="497" t="e">
        <f>IF(I48&lt;E48,E48/I48-1,I48/E48-1)</f>
        <v>#N/A</v>
      </c>
      <c r="J53" s="498" t="e">
        <f>IF(OR(I53&gt;=0.2,I53&lt;=-0.2),"超过20%","")</f>
        <v>#N/A</v>
      </c>
      <c r="K53" s="1103"/>
      <c r="L53" s="1104"/>
      <c r="M53" s="1142"/>
      <c r="N53" s="1142"/>
      <c r="O53" s="1142"/>
      <c r="P53" s="673"/>
      <c r="Q53" s="755"/>
      <c r="R53" s="755"/>
      <c r="S53" s="755"/>
      <c r="T53" s="755"/>
      <c r="U53" s="755"/>
      <c r="V53" s="755"/>
      <c r="W53" s="755"/>
      <c r="X53" s="755"/>
      <c r="Y53" s="755"/>
      <c r="Z53" s="755"/>
      <c r="AA53" s="755"/>
      <c r="AB53" s="755"/>
      <c r="AC53" s="755"/>
    </row>
    <row r="54" spans="1:29" s="500" customFormat="1" ht="13.5" customHeight="1">
      <c r="A54" s="1143"/>
      <c r="B54" s="1143"/>
      <c r="C54" s="495" t="s">
        <v>2657</v>
      </c>
      <c r="D54" s="499"/>
      <c r="E54" s="497">
        <f>IF(E47&lt;G47,G47/E47-1,E47/G47-1)</f>
        <v>2.1052631578947434E-2</v>
      </c>
      <c r="F54" s="498" t="str">
        <f>IF(OR(E54&gt;=0.3,E54&lt;=-0.3),"超过30%","")</f>
        <v/>
      </c>
      <c r="G54" s="497">
        <f>IF(G47&lt;I47,I47/G47-1,G47/I47-1)</f>
        <v>1.0309278350515427E-2</v>
      </c>
      <c r="H54" s="498" t="str">
        <f>IF(OR(G54&gt;=0.3,G54&lt;=-0.3),"超过30%","")</f>
        <v/>
      </c>
      <c r="I54" s="497">
        <f>IF(I47&lt;E47,E47/I47-1,I47/E47-1)</f>
        <v>3.1578947368421151E-2</v>
      </c>
      <c r="J54" s="498" t="str">
        <f>IF(OR(I54&gt;=0.3,I54&lt;=-0.3),"超过30%","")</f>
        <v/>
      </c>
      <c r="K54" s="1146"/>
      <c r="L54" s="1147"/>
      <c r="M54" s="1143"/>
      <c r="N54" s="1143"/>
      <c r="O54" s="1143"/>
      <c r="P54" s="2653"/>
      <c r="Q54" s="756"/>
      <c r="R54" s="756"/>
      <c r="S54" s="756"/>
      <c r="T54" s="756"/>
      <c r="U54" s="756"/>
      <c r="V54" s="756"/>
      <c r="W54" s="756"/>
      <c r="X54" s="756"/>
      <c r="Y54" s="756"/>
      <c r="Z54" s="756"/>
      <c r="AA54" s="756"/>
      <c r="AB54" s="756"/>
      <c r="AC54" s="756"/>
    </row>
    <row r="55" spans="1:29" s="500" customFormat="1">
      <c r="A55" s="1143"/>
      <c r="B55" s="1144"/>
      <c r="C55" s="1148"/>
      <c r="D55" s="1143"/>
      <c r="E55" s="1143"/>
      <c r="F55" s="1143"/>
      <c r="G55" s="1143"/>
      <c r="H55" s="1143"/>
      <c r="I55" s="1143"/>
      <c r="J55" s="1143"/>
      <c r="K55" s="1146"/>
      <c r="L55" s="1147"/>
      <c r="M55" s="1143"/>
      <c r="N55" s="1143"/>
      <c r="O55" s="1143"/>
      <c r="P55" s="2653"/>
      <c r="Q55" s="756"/>
      <c r="R55" s="756"/>
      <c r="S55" s="756"/>
      <c r="T55" s="756"/>
      <c r="U55" s="756"/>
      <c r="V55" s="756"/>
      <c r="W55" s="756"/>
      <c r="X55" s="756"/>
      <c r="Y55" s="756"/>
      <c r="Z55" s="756"/>
      <c r="AA55" s="756"/>
      <c r="AB55" s="756"/>
      <c r="AC55" s="756"/>
    </row>
    <row r="56" spans="1:29">
      <c r="A56" s="1142"/>
      <c r="B56" s="1144"/>
      <c r="C56" s="1148"/>
      <c r="D56" s="1142"/>
      <c r="E56" s="1142"/>
      <c r="F56" s="1142"/>
      <c r="G56" s="1142"/>
      <c r="H56" s="1142"/>
      <c r="I56" s="1142"/>
      <c r="J56" s="1142"/>
      <c r="K56" s="1103"/>
      <c r="L56" s="1104"/>
      <c r="M56" s="1142"/>
      <c r="N56" s="1142"/>
      <c r="O56" s="1142"/>
      <c r="P56" s="673"/>
      <c r="Q56" s="755"/>
      <c r="R56" s="755"/>
      <c r="S56" s="755"/>
      <c r="T56" s="755"/>
      <c r="U56" s="755"/>
      <c r="V56" s="755"/>
      <c r="W56" s="755"/>
      <c r="X56" s="755"/>
      <c r="Y56" s="755"/>
      <c r="Z56" s="755"/>
      <c r="AA56" s="755"/>
      <c r="AB56" s="755"/>
      <c r="AC56" s="755"/>
    </row>
    <row r="57" spans="1:29" ht="21.75" thickBot="1">
      <c r="A57" s="759" t="s">
        <v>2658</v>
      </c>
      <c r="B57" s="755"/>
      <c r="C57" s="760"/>
      <c r="D57" s="760"/>
      <c r="E57" s="760"/>
      <c r="F57" s="761"/>
      <c r="G57" s="761"/>
      <c r="H57" s="760"/>
      <c r="I57" s="760"/>
      <c r="J57" s="760"/>
      <c r="K57" s="762"/>
      <c r="L57" s="1159"/>
      <c r="M57" s="1157"/>
      <c r="N57" s="1157"/>
      <c r="O57" s="1157"/>
      <c r="P57" s="2654"/>
      <c r="Q57" s="2655"/>
      <c r="R57" s="755"/>
      <c r="S57" s="755"/>
      <c r="T57" s="755"/>
      <c r="U57" s="755"/>
      <c r="V57" s="755"/>
      <c r="W57" s="755"/>
      <c r="X57" s="755"/>
      <c r="Y57" s="755"/>
      <c r="Z57" s="755"/>
      <c r="AA57" s="755"/>
      <c r="AB57" s="755"/>
      <c r="AC57" s="755"/>
    </row>
    <row r="58" spans="1:29" s="506" customFormat="1" ht="15">
      <c r="A58" s="503" t="s">
        <v>2532</v>
      </c>
      <c r="B58" s="504"/>
      <c r="C58" s="1569" t="str">
        <f>YEAR(C7)&amp;"-"&amp;MONTH(C7)</f>
        <v>2018-4</v>
      </c>
      <c r="D58" s="1570">
        <f>EDATE(C58,-1)</f>
        <v>43160</v>
      </c>
      <c r="E58" s="1570">
        <f t="shared" ref="E58:N58" si="16">EDATE(D58,-1)</f>
        <v>43132</v>
      </c>
      <c r="F58" s="1570">
        <f t="shared" si="16"/>
        <v>43101</v>
      </c>
      <c r="G58" s="1570">
        <f t="shared" si="16"/>
        <v>43070</v>
      </c>
      <c r="H58" s="1570">
        <f t="shared" si="16"/>
        <v>43040</v>
      </c>
      <c r="I58" s="1570">
        <f t="shared" si="16"/>
        <v>43009</v>
      </c>
      <c r="J58" s="1570">
        <f t="shared" si="16"/>
        <v>42979</v>
      </c>
      <c r="K58" s="1570">
        <f t="shared" si="16"/>
        <v>42948</v>
      </c>
      <c r="L58" s="1570">
        <f t="shared" si="16"/>
        <v>42917</v>
      </c>
      <c r="M58" s="1570">
        <f t="shared" si="16"/>
        <v>42887</v>
      </c>
      <c r="N58" s="1570">
        <f t="shared" si="16"/>
        <v>42856</v>
      </c>
      <c r="O58" s="1570">
        <f>EDATE(N58,-1)</f>
        <v>42826</v>
      </c>
      <c r="P58" s="1565"/>
    </row>
    <row r="59" spans="1:29" s="116" customFormat="1" ht="15">
      <c r="A59" s="507"/>
      <c r="B59" s="508"/>
      <c r="C59" s="1568">
        <v>100</v>
      </c>
      <c r="D59" s="510">
        <v>99</v>
      </c>
      <c r="E59" s="510">
        <v>98</v>
      </c>
      <c r="F59" s="510">
        <v>97</v>
      </c>
      <c r="G59" s="510">
        <v>96</v>
      </c>
      <c r="H59" s="510">
        <v>95</v>
      </c>
      <c r="I59" s="510">
        <v>94</v>
      </c>
      <c r="J59" s="510">
        <v>93</v>
      </c>
      <c r="K59" s="510">
        <v>92</v>
      </c>
      <c r="L59" s="510">
        <v>91</v>
      </c>
      <c r="M59" s="510">
        <v>90</v>
      </c>
      <c r="N59" s="510">
        <v>89</v>
      </c>
      <c r="O59" s="510">
        <v>88</v>
      </c>
      <c r="P59" s="2615"/>
    </row>
    <row r="60" spans="1:29" s="116" customFormat="1" ht="15.75" thickBot="1">
      <c r="A60" s="513" t="s">
        <v>2569</v>
      </c>
      <c r="B60" s="514"/>
      <c r="C60" s="515"/>
      <c r="D60" s="516"/>
      <c r="E60" s="516"/>
      <c r="F60" s="516"/>
      <c r="G60" s="516"/>
      <c r="H60" s="516"/>
      <c r="I60" s="516"/>
      <c r="J60" s="516"/>
      <c r="K60" s="516"/>
      <c r="L60" s="516"/>
      <c r="M60" s="517"/>
      <c r="N60" s="516"/>
      <c r="O60" s="517"/>
      <c r="P60" s="2615"/>
      <c r="Q60" s="502"/>
    </row>
    <row r="61" spans="1:29" s="116" customFormat="1" ht="15">
      <c r="A61" s="519" t="s">
        <v>2534</v>
      </c>
      <c r="B61" s="508"/>
      <c r="C61" s="520" t="s">
        <v>2636</v>
      </c>
      <c r="D61" s="521"/>
      <c r="E61" s="521"/>
      <c r="F61" s="521"/>
      <c r="G61" s="521"/>
      <c r="H61" s="521"/>
      <c r="I61" s="521"/>
      <c r="J61" s="521"/>
      <c r="K61" s="521"/>
      <c r="L61" s="522"/>
      <c r="M61" s="523"/>
      <c r="N61" s="1149"/>
      <c r="O61" s="1149"/>
      <c r="P61" s="2616"/>
      <c r="Q61" s="502"/>
    </row>
    <row r="62" spans="1:29" s="116" customFormat="1" ht="15.75" thickBot="1">
      <c r="A62" s="519"/>
      <c r="B62" s="508"/>
      <c r="C62" s="509">
        <v>100</v>
      </c>
      <c r="D62" s="510"/>
      <c r="E62" s="510"/>
      <c r="F62" s="510"/>
      <c r="G62" s="510"/>
      <c r="H62" s="510"/>
      <c r="I62" s="510"/>
      <c r="J62" s="510"/>
      <c r="K62" s="510"/>
      <c r="L62" s="510"/>
      <c r="M62" s="512"/>
      <c r="N62" s="1149"/>
      <c r="O62" s="1149"/>
      <c r="P62" s="2615"/>
      <c r="Q62" s="502"/>
    </row>
    <row r="63" spans="1:29">
      <c r="A63" s="525" t="s">
        <v>2572</v>
      </c>
      <c r="B63" s="526" t="s">
        <v>2538</v>
      </c>
      <c r="C63" s="527" t="str">
        <f>C9</f>
        <v>商业</v>
      </c>
      <c r="D63" s="528"/>
      <c r="E63" s="528"/>
      <c r="F63" s="528"/>
      <c r="G63" s="528"/>
      <c r="H63" s="528"/>
      <c r="I63" s="528"/>
      <c r="J63" s="528"/>
      <c r="K63" s="529"/>
      <c r="L63" s="530"/>
      <c r="M63" s="531"/>
      <c r="N63" s="1150"/>
      <c r="O63" s="1150"/>
      <c r="P63" s="2617"/>
      <c r="Q63" s="502"/>
    </row>
    <row r="64" spans="1:29" ht="15.75" thickBot="1">
      <c r="A64" s="532"/>
      <c r="B64" s="533"/>
      <c r="C64" s="534">
        <v>100</v>
      </c>
      <c r="D64" s="534"/>
      <c r="E64" s="534"/>
      <c r="F64" s="534"/>
      <c r="G64" s="534"/>
      <c r="H64" s="534"/>
      <c r="I64" s="534"/>
      <c r="J64" s="534"/>
      <c r="K64" s="534"/>
      <c r="L64" s="534"/>
      <c r="M64" s="535"/>
      <c r="N64" s="1151"/>
      <c r="O64" s="1151"/>
      <c r="P64" s="2617"/>
      <c r="Q64" s="502"/>
    </row>
    <row r="65" spans="1:17" ht="27.75" thickTop="1">
      <c r="A65" s="532"/>
      <c r="B65" s="536" t="s">
        <v>2541</v>
      </c>
      <c r="C65" s="537" t="s">
        <v>2573</v>
      </c>
      <c r="D65" s="537" t="s">
        <v>2574</v>
      </c>
      <c r="E65" s="537" t="s">
        <v>2575</v>
      </c>
      <c r="F65" s="537" t="s">
        <v>2576</v>
      </c>
      <c r="G65" s="537" t="s">
        <v>2577</v>
      </c>
      <c r="H65" s="537" t="s">
        <v>2578</v>
      </c>
      <c r="I65" s="537" t="s">
        <v>2579</v>
      </c>
      <c r="J65" s="537"/>
      <c r="K65" s="538"/>
      <c r="L65" s="539"/>
      <c r="M65" s="540"/>
      <c r="N65" s="1150"/>
      <c r="O65" s="1150"/>
      <c r="P65" s="2617"/>
      <c r="Q65" s="502"/>
    </row>
    <row r="66" spans="1:17" ht="15.75" thickBot="1">
      <c r="A66" s="532"/>
      <c r="B66" s="541"/>
      <c r="C66" s="542" t="s">
        <v>24</v>
      </c>
      <c r="D66" s="542" t="s">
        <v>25</v>
      </c>
      <c r="E66" s="542" t="s">
        <v>26</v>
      </c>
      <c r="F66" s="542">
        <v>100</v>
      </c>
      <c r="G66" s="542">
        <f>F66-$K10</f>
        <v>98</v>
      </c>
      <c r="H66" s="542">
        <f>G66-$K10</f>
        <v>96</v>
      </c>
      <c r="I66" s="542">
        <f>H66-$K10</f>
        <v>94</v>
      </c>
      <c r="J66" s="542"/>
      <c r="K66" s="542"/>
      <c r="L66" s="542"/>
      <c r="M66" s="543"/>
      <c r="N66" s="1151"/>
      <c r="O66" s="1151"/>
      <c r="P66" s="2617"/>
      <c r="Q66" s="502"/>
    </row>
    <row r="67" spans="1:17" ht="15.75" thickTop="1">
      <c r="A67" s="532"/>
      <c r="B67" s="544" t="s">
        <v>2542</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617"/>
      <c r="Q67" s="502"/>
    </row>
    <row r="68" spans="1:17" ht="15">
      <c r="A68" s="532"/>
      <c r="B68" s="546"/>
      <c r="C68" s="547">
        <v>0</v>
      </c>
      <c r="D68" s="547">
        <v>1</v>
      </c>
      <c r="E68" s="547">
        <v>2</v>
      </c>
      <c r="F68" s="547">
        <v>3</v>
      </c>
      <c r="G68" s="547">
        <v>4</v>
      </c>
      <c r="H68" s="547"/>
      <c r="I68" s="547"/>
      <c r="J68" s="547"/>
      <c r="K68" s="548"/>
      <c r="L68" s="549"/>
      <c r="M68" s="550"/>
      <c r="N68" s="1150"/>
      <c r="O68" s="1150"/>
      <c r="P68" s="2617"/>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1"/>
      <c r="O69" s="1151"/>
      <c r="P69" s="2617"/>
      <c r="Q69" s="502"/>
    </row>
    <row r="70" spans="1:17" s="469" customFormat="1" ht="15.75" thickTop="1">
      <c r="A70" s="551"/>
      <c r="B70" s="536">
        <f>B12</f>
        <v>111</v>
      </c>
      <c r="C70" s="552"/>
      <c r="D70" s="552"/>
      <c r="E70" s="552"/>
      <c r="F70" s="552"/>
      <c r="G70" s="552"/>
      <c r="H70" s="553"/>
      <c r="I70" s="553"/>
      <c r="J70" s="553"/>
      <c r="K70" s="553"/>
      <c r="L70" s="554"/>
      <c r="M70" s="555"/>
      <c r="N70" s="1152"/>
      <c r="O70" s="1152"/>
      <c r="P70" s="2618"/>
      <c r="Q70" s="557"/>
    </row>
    <row r="71" spans="1:17" s="469" customFormat="1" ht="15.75" thickBot="1">
      <c r="A71" s="551"/>
      <c r="B71" s="541"/>
      <c r="C71" s="558"/>
      <c r="D71" s="534"/>
      <c r="E71" s="534"/>
      <c r="F71" s="534"/>
      <c r="G71" s="534"/>
      <c r="H71" s="534"/>
      <c r="I71" s="534"/>
      <c r="J71" s="534"/>
      <c r="K71" s="534"/>
      <c r="L71" s="534"/>
      <c r="M71" s="535"/>
      <c r="N71" s="1151"/>
      <c r="O71" s="1151"/>
      <c r="P71" s="2618"/>
      <c r="Q71" s="557"/>
    </row>
    <row r="72" spans="1:17" s="469" customFormat="1" ht="15.75" thickTop="1">
      <c r="A72" s="551"/>
      <c r="B72" s="536">
        <f>B13</f>
        <v>111</v>
      </c>
      <c r="C72" s="552"/>
      <c r="D72" s="552"/>
      <c r="E72" s="552"/>
      <c r="F72" s="552"/>
      <c r="G72" s="552"/>
      <c r="H72" s="553"/>
      <c r="I72" s="553"/>
      <c r="J72" s="553"/>
      <c r="K72" s="553"/>
      <c r="L72" s="554"/>
      <c r="M72" s="555"/>
      <c r="N72" s="1152"/>
      <c r="O72" s="1152"/>
      <c r="P72" s="2619"/>
      <c r="Q72" s="559"/>
    </row>
    <row r="73" spans="1:17" s="469" customFormat="1" ht="15.75" thickBot="1">
      <c r="A73" s="551"/>
      <c r="B73" s="541"/>
      <c r="C73" s="558"/>
      <c r="D73" s="534"/>
      <c r="E73" s="534"/>
      <c r="F73" s="534"/>
      <c r="G73" s="558"/>
      <c r="H73" s="560"/>
      <c r="I73" s="560"/>
      <c r="J73" s="560"/>
      <c r="K73" s="560"/>
      <c r="L73" s="560"/>
      <c r="M73" s="561"/>
      <c r="N73" s="1152"/>
      <c r="O73" s="1152"/>
      <c r="P73" s="2618"/>
      <c r="Q73" s="557"/>
    </row>
    <row r="74" spans="1:17" s="469" customFormat="1" ht="15.75" thickTop="1">
      <c r="A74" s="551"/>
      <c r="B74" s="544">
        <f>B14</f>
        <v>111</v>
      </c>
      <c r="C74" s="552"/>
      <c r="D74" s="552"/>
      <c r="E74" s="552"/>
      <c r="F74" s="552"/>
      <c r="G74" s="521"/>
      <c r="H74" s="562"/>
      <c r="I74" s="562"/>
      <c r="J74" s="562"/>
      <c r="K74" s="562"/>
      <c r="L74" s="563"/>
      <c r="M74" s="564"/>
      <c r="N74" s="1152"/>
      <c r="O74" s="1152"/>
      <c r="P74" s="2620"/>
      <c r="Q74" s="557"/>
    </row>
    <row r="75" spans="1:17" s="469" customFormat="1" ht="15.75" thickBot="1">
      <c r="A75" s="566"/>
      <c r="B75" s="567"/>
      <c r="C75" s="568"/>
      <c r="D75" s="568"/>
      <c r="E75" s="568"/>
      <c r="F75" s="568"/>
      <c r="G75" s="568"/>
      <c r="H75" s="569"/>
      <c r="I75" s="569"/>
      <c r="J75" s="569"/>
      <c r="K75" s="569"/>
      <c r="L75" s="569"/>
      <c r="M75" s="570"/>
      <c r="N75" s="1152"/>
      <c r="O75" s="1152"/>
      <c r="P75" s="2618"/>
      <c r="Q75" s="557"/>
    </row>
    <row r="76" spans="1:17">
      <c r="A76" s="525" t="s">
        <v>2543</v>
      </c>
      <c r="B76" s="526" t="s">
        <v>2580</v>
      </c>
      <c r="C76" s="571" t="s">
        <v>2581</v>
      </c>
      <c r="D76" s="571" t="s">
        <v>2582</v>
      </c>
      <c r="E76" s="571" t="s">
        <v>2583</v>
      </c>
      <c r="F76" s="571" t="s">
        <v>2584</v>
      </c>
      <c r="G76" s="571" t="s">
        <v>2585</v>
      </c>
      <c r="H76" s="527"/>
      <c r="I76" s="527"/>
      <c r="J76" s="527"/>
      <c r="K76" s="572"/>
      <c r="L76" s="573"/>
      <c r="M76" s="574"/>
      <c r="N76" s="1150"/>
      <c r="O76" s="1150"/>
      <c r="P76" s="2621"/>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1"/>
      <c r="O77" s="1151"/>
      <c r="P77" s="2617"/>
      <c r="Q77" s="502"/>
    </row>
    <row r="78" spans="1:17" ht="15.75" thickTop="1">
      <c r="A78" s="532"/>
      <c r="B78" s="536" t="s">
        <v>2586</v>
      </c>
      <c r="C78" s="576" t="s">
        <v>2581</v>
      </c>
      <c r="D78" s="576" t="s">
        <v>2582</v>
      </c>
      <c r="E78" s="576" t="s">
        <v>2583</v>
      </c>
      <c r="F78" s="576" t="s">
        <v>2584</v>
      </c>
      <c r="G78" s="576" t="s">
        <v>2585</v>
      </c>
      <c r="H78" s="537"/>
      <c r="I78" s="537"/>
      <c r="J78" s="537"/>
      <c r="K78" s="538"/>
      <c r="L78" s="539"/>
      <c r="M78" s="540"/>
      <c r="N78" s="1150"/>
      <c r="O78" s="1150"/>
      <c r="P78" s="2617"/>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1"/>
      <c r="O79" s="1151"/>
      <c r="P79" s="2617"/>
      <c r="Q79" s="502"/>
    </row>
    <row r="80" spans="1:17" ht="15.75" thickTop="1">
      <c r="A80" s="532"/>
      <c r="B80" s="536" t="s">
        <v>2587</v>
      </c>
      <c r="C80" s="576" t="s">
        <v>2581</v>
      </c>
      <c r="D80" s="576" t="s">
        <v>2582</v>
      </c>
      <c r="E80" s="576" t="s">
        <v>2583</v>
      </c>
      <c r="F80" s="576" t="s">
        <v>2584</v>
      </c>
      <c r="G80" s="576" t="s">
        <v>2585</v>
      </c>
      <c r="H80" s="537"/>
      <c r="I80" s="537"/>
      <c r="J80" s="537"/>
      <c r="K80" s="538"/>
      <c r="L80" s="539"/>
      <c r="M80" s="540"/>
      <c r="N80" s="1150"/>
      <c r="O80" s="1150"/>
      <c r="P80" s="2617"/>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1"/>
      <c r="O81" s="1151"/>
      <c r="P81" s="2617"/>
      <c r="Q81" s="502"/>
    </row>
    <row r="82" spans="1:17" ht="15.75" thickTop="1">
      <c r="A82" s="532"/>
      <c r="B82" s="544" t="s">
        <v>2639</v>
      </c>
      <c r="C82" s="658" t="s">
        <v>2659</v>
      </c>
      <c r="D82" s="658" t="s">
        <v>2660</v>
      </c>
      <c r="E82" s="658" t="s">
        <v>2661</v>
      </c>
      <c r="F82" s="658" t="s">
        <v>2662</v>
      </c>
      <c r="G82" s="658" t="s">
        <v>2663</v>
      </c>
      <c r="H82" s="537"/>
      <c r="I82" s="537"/>
      <c r="J82" s="537"/>
      <c r="K82" s="537"/>
      <c r="L82" s="537"/>
      <c r="M82" s="1378"/>
      <c r="N82" s="1151"/>
      <c r="O82" s="1151"/>
      <c r="P82" s="2617"/>
      <c r="Q82" s="502"/>
    </row>
    <row r="83" spans="1:17" ht="15.75" thickBot="1">
      <c r="A83" s="532"/>
      <c r="B83" s="544"/>
      <c r="C83" s="542">
        <v>100</v>
      </c>
      <c r="D83" s="542">
        <f>C83-$K21</f>
        <v>98</v>
      </c>
      <c r="E83" s="542">
        <f t="shared" ref="E83:G83" si="19">D83-$K21</f>
        <v>96</v>
      </c>
      <c r="F83" s="542">
        <f t="shared" si="19"/>
        <v>94</v>
      </c>
      <c r="G83" s="542">
        <f t="shared" si="19"/>
        <v>92</v>
      </c>
      <c r="H83" s="658"/>
      <c r="I83" s="658"/>
      <c r="J83" s="658"/>
      <c r="K83" s="658"/>
      <c r="L83" s="658"/>
      <c r="M83" s="448"/>
      <c r="N83" s="1151"/>
      <c r="O83" s="1151"/>
      <c r="P83" s="2617"/>
      <c r="Q83" s="502"/>
    </row>
    <row r="84" spans="1:17" ht="15.75" thickTop="1">
      <c r="A84" s="532"/>
      <c r="B84" s="536" t="s">
        <v>2593</v>
      </c>
      <c r="C84" s="576" t="s">
        <v>2581</v>
      </c>
      <c r="D84" s="576" t="s">
        <v>2582</v>
      </c>
      <c r="E84" s="576" t="s">
        <v>2583</v>
      </c>
      <c r="F84" s="576" t="s">
        <v>2584</v>
      </c>
      <c r="G84" s="576" t="s">
        <v>2585</v>
      </c>
      <c r="H84" s="537"/>
      <c r="I84" s="537"/>
      <c r="J84" s="537"/>
      <c r="K84" s="538"/>
      <c r="L84" s="539"/>
      <c r="M84" s="540"/>
      <c r="N84" s="1150"/>
      <c r="O84" s="1150"/>
      <c r="P84" s="2617"/>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1"/>
      <c r="O85" s="1151"/>
      <c r="P85" s="2617"/>
      <c r="Q85" s="502"/>
    </row>
    <row r="86" spans="1:17" s="116" customFormat="1" ht="15.75" thickTop="1">
      <c r="A86" s="577"/>
      <c r="B86" s="536" t="s">
        <v>2664</v>
      </c>
      <c r="C86" s="2942" t="s">
        <v>3470</v>
      </c>
      <c r="D86" s="2942" t="s">
        <v>3471</v>
      </c>
      <c r="E86" s="2942" t="s">
        <v>3472</v>
      </c>
      <c r="F86" s="2942" t="s">
        <v>3473</v>
      </c>
      <c r="G86" s="552"/>
      <c r="H86" s="552"/>
      <c r="I86" s="552"/>
      <c r="J86" s="552"/>
      <c r="K86" s="552"/>
      <c r="L86" s="578"/>
      <c r="M86" s="579"/>
      <c r="N86" s="1149"/>
      <c r="O86" s="1149"/>
      <c r="P86" s="2617"/>
      <c r="Q86" s="502"/>
    </row>
    <row r="87" spans="1:17" s="116" customFormat="1" ht="15.75" thickBot="1">
      <c r="A87" s="577"/>
      <c r="B87" s="541"/>
      <c r="C87" s="580">
        <v>100</v>
      </c>
      <c r="D87" s="542">
        <f t="shared" ref="D87:M87" si="20">C87-$K25</f>
        <v>98</v>
      </c>
      <c r="E87" s="542">
        <f t="shared" si="20"/>
        <v>96</v>
      </c>
      <c r="F87" s="542">
        <f t="shared" si="20"/>
        <v>94</v>
      </c>
      <c r="G87" s="542">
        <f t="shared" si="20"/>
        <v>92</v>
      </c>
      <c r="H87" s="542">
        <f t="shared" si="20"/>
        <v>90</v>
      </c>
      <c r="I87" s="542">
        <f t="shared" si="20"/>
        <v>88</v>
      </c>
      <c r="J87" s="542">
        <f t="shared" si="20"/>
        <v>86</v>
      </c>
      <c r="K87" s="542">
        <f t="shared" si="20"/>
        <v>84</v>
      </c>
      <c r="L87" s="542">
        <f t="shared" si="20"/>
        <v>82</v>
      </c>
      <c r="M87" s="542">
        <f t="shared" si="20"/>
        <v>80</v>
      </c>
      <c r="N87" s="1151"/>
      <c r="O87" s="1151"/>
      <c r="P87" s="2617"/>
      <c r="Q87" s="502"/>
    </row>
    <row r="88" spans="1:17" s="116" customFormat="1" ht="15.75" thickTop="1">
      <c r="A88" s="577"/>
      <c r="B88" s="536" t="str">
        <f>B26</f>
        <v>平面位置/可视性</v>
      </c>
      <c r="C88" s="2942" t="s">
        <v>3474</v>
      </c>
      <c r="D88" s="2942" t="s">
        <v>3475</v>
      </c>
      <c r="E88" s="2942" t="s">
        <v>3476</v>
      </c>
      <c r="F88" s="3049" t="s">
        <v>3477</v>
      </c>
      <c r="G88" s="2942" t="s">
        <v>3478</v>
      </c>
      <c r="H88" s="552"/>
      <c r="I88" s="552"/>
      <c r="J88" s="552"/>
      <c r="K88" s="552"/>
      <c r="L88" s="552"/>
      <c r="M88" s="579"/>
      <c r="N88" s="1149"/>
      <c r="O88" s="1149"/>
      <c r="P88" s="2617"/>
      <c r="Q88" s="502"/>
    </row>
    <row r="89" spans="1:17" s="116" customFormat="1" ht="15.75" thickBot="1">
      <c r="A89" s="577"/>
      <c r="B89" s="541"/>
      <c r="C89" s="558">
        <v>100</v>
      </c>
      <c r="D89" s="534">
        <v>99</v>
      </c>
      <c r="E89" s="558">
        <v>98</v>
      </c>
      <c r="F89" s="534">
        <v>97</v>
      </c>
      <c r="G89" s="558">
        <v>96</v>
      </c>
      <c r="H89" s="534"/>
      <c r="I89" s="534"/>
      <c r="J89" s="534"/>
      <c r="K89" s="534"/>
      <c r="L89" s="534"/>
      <c r="M89" s="534"/>
      <c r="N89" s="1151"/>
      <c r="O89" s="1151"/>
      <c r="P89" s="2617"/>
      <c r="Q89" s="502"/>
    </row>
    <row r="90" spans="1:17" s="469" customFormat="1" ht="15.75" thickTop="1">
      <c r="A90" s="551"/>
      <c r="B90" s="536" t="str">
        <f>B27</f>
        <v>人流量</v>
      </c>
      <c r="C90" s="2942" t="s">
        <v>3474</v>
      </c>
      <c r="D90" s="2942" t="s">
        <v>3475</v>
      </c>
      <c r="E90" s="2942" t="s">
        <v>3476</v>
      </c>
      <c r="F90" s="3049" t="s">
        <v>3477</v>
      </c>
      <c r="G90" s="2942" t="s">
        <v>3478</v>
      </c>
      <c r="H90" s="553"/>
      <c r="I90" s="553"/>
      <c r="J90" s="553"/>
      <c r="K90" s="553"/>
      <c r="L90" s="554"/>
      <c r="M90" s="555"/>
      <c r="N90" s="1152"/>
      <c r="O90" s="1152"/>
      <c r="P90" s="2618"/>
      <c r="Q90" s="557"/>
    </row>
    <row r="91" spans="1:17" s="469" customFormat="1" ht="15.75" thickBot="1">
      <c r="A91" s="551"/>
      <c r="B91" s="541"/>
      <c r="C91" s="580">
        <v>100</v>
      </c>
      <c r="D91" s="542">
        <f>C91-$K27</f>
        <v>98</v>
      </c>
      <c r="E91" s="542">
        <f t="shared" ref="E91:M91" si="21">D91-$K27</f>
        <v>96</v>
      </c>
      <c r="F91" s="542">
        <f t="shared" si="21"/>
        <v>94</v>
      </c>
      <c r="G91" s="542">
        <f t="shared" si="21"/>
        <v>92</v>
      </c>
      <c r="H91" s="542">
        <f t="shared" si="21"/>
        <v>90</v>
      </c>
      <c r="I91" s="542">
        <f t="shared" si="21"/>
        <v>88</v>
      </c>
      <c r="J91" s="542">
        <f t="shared" si="21"/>
        <v>86</v>
      </c>
      <c r="K91" s="542">
        <f t="shared" si="21"/>
        <v>84</v>
      </c>
      <c r="L91" s="542">
        <f t="shared" si="21"/>
        <v>82</v>
      </c>
      <c r="M91" s="542">
        <f t="shared" si="21"/>
        <v>80</v>
      </c>
      <c r="N91" s="1152"/>
      <c r="O91" s="1152"/>
      <c r="P91" s="2618"/>
      <c r="Q91" s="557"/>
    </row>
    <row r="92" spans="1:17" ht="15.75" thickTop="1">
      <c r="A92" s="532"/>
      <c r="B92" s="536" t="str">
        <f>B28</f>
        <v>楼层</v>
      </c>
      <c r="C92" s="552" t="s">
        <v>3479</v>
      </c>
      <c r="D92" s="552" t="s">
        <v>3514</v>
      </c>
      <c r="E92" s="552" t="s">
        <v>3480</v>
      </c>
      <c r="F92" s="552" t="s">
        <v>3481</v>
      </c>
      <c r="G92" s="552" t="s">
        <v>3482</v>
      </c>
      <c r="H92" s="552"/>
      <c r="I92" s="552"/>
      <c r="J92" s="552"/>
      <c r="K92" s="552"/>
      <c r="L92" s="578"/>
      <c r="M92" s="579"/>
      <c r="N92" s="1150"/>
      <c r="O92" s="1150"/>
      <c r="P92" s="2617"/>
      <c r="Q92" s="502"/>
    </row>
    <row r="93" spans="1:17" ht="15.75" thickBot="1">
      <c r="A93" s="532"/>
      <c r="B93" s="541"/>
      <c r="C93" s="534">
        <v>100</v>
      </c>
      <c r="D93" s="534">
        <v>90</v>
      </c>
      <c r="E93" s="534">
        <v>75</v>
      </c>
      <c r="F93" s="534">
        <v>65</v>
      </c>
      <c r="G93" s="534">
        <v>55</v>
      </c>
      <c r="H93" s="534"/>
      <c r="I93" s="534"/>
      <c r="J93" s="534"/>
      <c r="K93" s="534"/>
      <c r="L93" s="534"/>
      <c r="M93" s="535"/>
      <c r="N93" s="1151"/>
      <c r="O93" s="1151"/>
      <c r="P93" s="2617"/>
      <c r="Q93" s="502"/>
    </row>
    <row r="94" spans="1:17" ht="15.75" thickTop="1">
      <c r="A94" s="532"/>
      <c r="B94" s="536">
        <f>B29</f>
        <v>111</v>
      </c>
      <c r="C94" s="552"/>
      <c r="D94" s="552"/>
      <c r="E94" s="552"/>
      <c r="F94" s="552"/>
      <c r="G94" s="581"/>
      <c r="H94" s="581"/>
      <c r="I94" s="581"/>
      <c r="J94" s="581"/>
      <c r="K94" s="582"/>
      <c r="L94" s="583"/>
      <c r="M94" s="584"/>
      <c r="N94" s="1150"/>
      <c r="O94" s="1150"/>
      <c r="P94" s="2617"/>
      <c r="Q94" s="502"/>
    </row>
    <row r="95" spans="1:17" ht="15.75" thickBot="1">
      <c r="A95" s="532"/>
      <c r="B95" s="541"/>
      <c r="C95" s="558"/>
      <c r="D95" s="534"/>
      <c r="E95" s="534"/>
      <c r="F95" s="534"/>
      <c r="G95" s="534"/>
      <c r="H95" s="534"/>
      <c r="I95" s="534"/>
      <c r="J95" s="534"/>
      <c r="K95" s="534"/>
      <c r="L95" s="534"/>
      <c r="M95" s="535"/>
      <c r="N95" s="1151"/>
      <c r="O95" s="1151"/>
      <c r="P95" s="2617"/>
      <c r="Q95" s="502"/>
    </row>
    <row r="96" spans="1:17" ht="15.75" thickTop="1">
      <c r="A96" s="532"/>
      <c r="B96" s="536">
        <f>B30</f>
        <v>111</v>
      </c>
      <c r="C96" s="552"/>
      <c r="D96" s="552"/>
      <c r="E96" s="552"/>
      <c r="F96" s="552"/>
      <c r="G96" s="581"/>
      <c r="H96" s="581"/>
      <c r="I96" s="581"/>
      <c r="J96" s="581"/>
      <c r="K96" s="582"/>
      <c r="L96" s="583"/>
      <c r="M96" s="584"/>
      <c r="N96" s="1150"/>
      <c r="O96" s="1150"/>
      <c r="P96" s="2617"/>
      <c r="Q96" s="502"/>
    </row>
    <row r="97" spans="1:17" ht="15.75" thickBot="1">
      <c r="A97" s="532"/>
      <c r="B97" s="541"/>
      <c r="C97" s="558"/>
      <c r="D97" s="534"/>
      <c r="E97" s="534"/>
      <c r="F97" s="534"/>
      <c r="G97" s="534"/>
      <c r="H97" s="534"/>
      <c r="I97" s="534"/>
      <c r="J97" s="534"/>
      <c r="K97" s="534"/>
      <c r="L97" s="534"/>
      <c r="M97" s="535"/>
      <c r="N97" s="1151"/>
      <c r="O97" s="1151"/>
      <c r="P97" s="2617"/>
      <c r="Q97" s="502"/>
    </row>
    <row r="98" spans="1:17" ht="15.75" thickTop="1">
      <c r="A98" s="532"/>
      <c r="B98" s="544">
        <f>B31</f>
        <v>111</v>
      </c>
      <c r="C98" s="552"/>
      <c r="D98" s="552"/>
      <c r="E98" s="552"/>
      <c r="F98" s="552"/>
      <c r="G98" s="585"/>
      <c r="H98" s="585"/>
      <c r="I98" s="585"/>
      <c r="J98" s="585"/>
      <c r="K98" s="586"/>
      <c r="L98" s="587"/>
      <c r="M98" s="588"/>
      <c r="N98" s="1150"/>
      <c r="O98" s="1150"/>
      <c r="P98" s="2617"/>
      <c r="Q98" s="502"/>
    </row>
    <row r="99" spans="1:17" ht="15.75" thickBot="1">
      <c r="A99" s="2623"/>
      <c r="B99" s="567"/>
      <c r="C99" s="568"/>
      <c r="D99" s="568"/>
      <c r="E99" s="568"/>
      <c r="F99" s="568"/>
      <c r="G99" s="589"/>
      <c r="H99" s="589"/>
      <c r="I99" s="589"/>
      <c r="J99" s="589"/>
      <c r="K99" s="589"/>
      <c r="L99" s="589"/>
      <c r="M99" s="590"/>
      <c r="N99" s="1151"/>
      <c r="O99" s="1151"/>
      <c r="P99" s="2617"/>
      <c r="Q99" s="502"/>
    </row>
    <row r="100" spans="1:17">
      <c r="A100" s="525" t="s">
        <v>2547</v>
      </c>
      <c r="B100" s="526" t="s">
        <v>2665</v>
      </c>
      <c r="C100" s="2944" t="s">
        <v>3484</v>
      </c>
      <c r="D100" s="2944" t="s">
        <v>3485</v>
      </c>
      <c r="E100" s="2944" t="s">
        <v>3487</v>
      </c>
      <c r="F100" s="528"/>
      <c r="G100" s="528"/>
      <c r="H100" s="528"/>
      <c r="I100" s="528"/>
      <c r="J100" s="528"/>
      <c r="K100" s="529"/>
      <c r="L100" s="530"/>
      <c r="M100" s="531"/>
      <c r="N100" s="1150"/>
      <c r="O100" s="1150"/>
      <c r="P100" s="2617"/>
      <c r="Q100" s="502"/>
    </row>
    <row r="101" spans="1:17" ht="15.75" thickBot="1">
      <c r="A101" s="532"/>
      <c r="B101" s="541"/>
      <c r="C101" s="542">
        <v>100</v>
      </c>
      <c r="D101" s="542">
        <f t="shared" ref="D101:M101" si="22">C101-$K32</f>
        <v>98</v>
      </c>
      <c r="E101" s="542">
        <f t="shared" si="22"/>
        <v>96</v>
      </c>
      <c r="F101" s="542">
        <f t="shared" si="22"/>
        <v>94</v>
      </c>
      <c r="G101" s="542">
        <f t="shared" si="22"/>
        <v>92</v>
      </c>
      <c r="H101" s="542">
        <f t="shared" si="22"/>
        <v>90</v>
      </c>
      <c r="I101" s="542">
        <f t="shared" si="22"/>
        <v>88</v>
      </c>
      <c r="J101" s="542">
        <f t="shared" si="22"/>
        <v>86</v>
      </c>
      <c r="K101" s="542">
        <f t="shared" si="22"/>
        <v>84</v>
      </c>
      <c r="L101" s="542">
        <f t="shared" si="22"/>
        <v>82</v>
      </c>
      <c r="M101" s="543">
        <f t="shared" si="22"/>
        <v>80</v>
      </c>
      <c r="N101" s="1151"/>
      <c r="O101" s="1151"/>
      <c r="P101" s="2617"/>
      <c r="Q101" s="502"/>
    </row>
    <row r="102" spans="1:17" ht="15.75" thickTop="1">
      <c r="A102" s="532"/>
      <c r="B102" s="536" t="s">
        <v>2597</v>
      </c>
      <c r="C102" s="576" t="str">
        <f>C103&amp;"(含)"&amp;"-"&amp;D103</f>
        <v>0(含)-100</v>
      </c>
      <c r="D102" s="576" t="str">
        <f t="shared" ref="D102:L102" si="23">D103&amp;"(含)"&amp;"-"&amp;E103</f>
        <v>100(含)-200</v>
      </c>
      <c r="E102" s="576" t="str">
        <f t="shared" si="23"/>
        <v>200(含)-300</v>
      </c>
      <c r="F102" s="576" t="str">
        <f t="shared" si="23"/>
        <v>300(含)-400</v>
      </c>
      <c r="G102" s="576" t="str">
        <f t="shared" si="23"/>
        <v>400(含)-</v>
      </c>
      <c r="H102" s="576" t="str">
        <f t="shared" si="23"/>
        <v>(含)-</v>
      </c>
      <c r="I102" s="576" t="str">
        <f t="shared" si="23"/>
        <v>(含)-</v>
      </c>
      <c r="J102" s="576" t="str">
        <f t="shared" si="23"/>
        <v>(含)-</v>
      </c>
      <c r="K102" s="576" t="str">
        <f t="shared" si="23"/>
        <v>(含)-</v>
      </c>
      <c r="L102" s="576" t="str">
        <f t="shared" si="23"/>
        <v>(含)-</v>
      </c>
      <c r="M102" s="620" t="str">
        <f>M103&amp;"(含)"&amp;"-"&amp;P103</f>
        <v>(含)-</v>
      </c>
      <c r="N102" s="1149"/>
      <c r="O102" s="1149"/>
      <c r="P102" s="2617"/>
      <c r="Q102" s="502"/>
    </row>
    <row r="103" spans="1:17" s="469" customFormat="1">
      <c r="A103" s="591"/>
      <c r="B103" s="592"/>
      <c r="C103" s="593">
        <v>0</v>
      </c>
      <c r="D103" s="593">
        <v>100</v>
      </c>
      <c r="E103" s="593">
        <v>200</v>
      </c>
      <c r="F103" s="593">
        <v>300</v>
      </c>
      <c r="G103" s="593">
        <v>400</v>
      </c>
      <c r="H103" s="593"/>
      <c r="I103" s="593"/>
      <c r="J103" s="594"/>
      <c r="K103" s="594"/>
      <c r="L103" s="595"/>
      <c r="M103" s="596"/>
      <c r="N103" s="1152"/>
      <c r="O103" s="1152"/>
      <c r="P103" s="2618"/>
      <c r="Q103" s="557"/>
    </row>
    <row r="104" spans="1:17" s="469" customFormat="1" ht="15.75" thickBot="1">
      <c r="A104" s="551"/>
      <c r="B104" s="541"/>
      <c r="C104" s="558">
        <v>100</v>
      </c>
      <c r="D104" s="534">
        <v>99</v>
      </c>
      <c r="E104" s="534">
        <v>98</v>
      </c>
      <c r="F104" s="558">
        <v>97</v>
      </c>
      <c r="G104" s="534">
        <v>96</v>
      </c>
      <c r="H104" s="534"/>
      <c r="I104" s="534"/>
      <c r="J104" s="534"/>
      <c r="K104" s="534"/>
      <c r="L104" s="534"/>
      <c r="M104" s="535"/>
      <c r="N104" s="1151"/>
      <c r="O104" s="1151"/>
      <c r="P104" s="2618"/>
      <c r="Q104" s="557"/>
    </row>
    <row r="105" spans="1:17" ht="15" thickTop="1">
      <c r="A105" s="597"/>
      <c r="B105" s="536" t="s">
        <v>2598</v>
      </c>
      <c r="C105" s="2942" t="s">
        <v>3488</v>
      </c>
      <c r="D105" s="2942" t="s">
        <v>3489</v>
      </c>
      <c r="E105" s="2943" t="s">
        <v>3490</v>
      </c>
      <c r="F105" s="581"/>
      <c r="G105" s="581"/>
      <c r="H105" s="581"/>
      <c r="I105" s="581"/>
      <c r="J105" s="581"/>
      <c r="K105" s="582"/>
      <c r="L105" s="583"/>
      <c r="M105" s="584"/>
      <c r="N105" s="1150"/>
      <c r="O105" s="1150"/>
      <c r="P105" s="2617"/>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51"/>
      <c r="O106" s="1151"/>
      <c r="P106" s="2617"/>
      <c r="Q106" s="502"/>
    </row>
    <row r="107" spans="1:17" ht="15" thickTop="1">
      <c r="A107" s="597"/>
      <c r="B107" s="536" t="s">
        <v>2600</v>
      </c>
      <c r="C107" s="2942" t="s">
        <v>3491</v>
      </c>
      <c r="D107" s="2942" t="s">
        <v>3492</v>
      </c>
      <c r="E107" s="2942" t="s">
        <v>3494</v>
      </c>
      <c r="F107" s="2943" t="s">
        <v>3495</v>
      </c>
      <c r="G107" s="581"/>
      <c r="H107" s="581"/>
      <c r="I107" s="581"/>
      <c r="J107" s="581"/>
      <c r="K107" s="582"/>
      <c r="L107" s="583"/>
      <c r="M107" s="584"/>
      <c r="N107" s="1150"/>
      <c r="O107" s="1150"/>
      <c r="P107" s="2617"/>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51"/>
      <c r="O108" s="1151"/>
      <c r="P108" s="2617"/>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17"/>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17"/>
      <c r="Q110" s="502"/>
    </row>
    <row r="111" spans="1:17" ht="15.75"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51"/>
      <c r="O111" s="1151"/>
      <c r="P111" s="2617"/>
      <c r="Q111" s="502"/>
    </row>
    <row r="112" spans="1:17" s="469" customFormat="1" ht="15" thickTop="1">
      <c r="A112" s="591"/>
      <c r="B112" s="536" t="s">
        <v>2602</v>
      </c>
      <c r="C112" s="2942" t="s">
        <v>3496</v>
      </c>
      <c r="D112" s="2942" t="s">
        <v>3498</v>
      </c>
      <c r="E112" s="2942" t="s">
        <v>3499</v>
      </c>
      <c r="F112" s="2942" t="s">
        <v>3500</v>
      </c>
      <c r="G112" s="2942" t="s">
        <v>3501</v>
      </c>
      <c r="H112" s="581"/>
      <c r="I112" s="581"/>
      <c r="J112" s="581"/>
      <c r="K112" s="582"/>
      <c r="L112" s="583"/>
      <c r="M112" s="584"/>
      <c r="N112" s="1152"/>
      <c r="O112" s="1152"/>
      <c r="P112" s="2618"/>
      <c r="Q112" s="557"/>
    </row>
    <row r="113" spans="1:17" s="469" customFormat="1" ht="15.75"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52"/>
      <c r="O113" s="1152"/>
      <c r="P113" s="2618"/>
      <c r="Q113" s="557"/>
    </row>
    <row r="114" spans="1:17" ht="15" thickTop="1">
      <c r="A114" s="597"/>
      <c r="B114" s="536" t="s">
        <v>2666</v>
      </c>
      <c r="C114" s="2942" t="s">
        <v>3503</v>
      </c>
      <c r="D114" s="2942" t="s">
        <v>3504</v>
      </c>
      <c r="E114" s="581"/>
      <c r="F114" s="581"/>
      <c r="G114" s="581"/>
      <c r="H114" s="581"/>
      <c r="I114" s="581"/>
      <c r="J114" s="581"/>
      <c r="K114" s="582"/>
      <c r="L114" s="583"/>
      <c r="M114" s="584"/>
      <c r="N114" s="1150"/>
      <c r="O114" s="1150"/>
      <c r="P114" s="2617"/>
      <c r="Q114" s="502"/>
    </row>
    <row r="115" spans="1:17" ht="15.75" thickBot="1">
      <c r="A115" s="532"/>
      <c r="B115" s="541"/>
      <c r="C115" s="542">
        <v>100</v>
      </c>
      <c r="D115" s="542">
        <f t="shared" ref="D115:M115" si="28">C115-$K38</f>
        <v>98</v>
      </c>
      <c r="E115" s="542">
        <f t="shared" si="28"/>
        <v>96</v>
      </c>
      <c r="F115" s="542">
        <f t="shared" si="28"/>
        <v>94</v>
      </c>
      <c r="G115" s="542">
        <f t="shared" si="28"/>
        <v>92</v>
      </c>
      <c r="H115" s="542">
        <f t="shared" si="28"/>
        <v>90</v>
      </c>
      <c r="I115" s="542">
        <f t="shared" si="28"/>
        <v>88</v>
      </c>
      <c r="J115" s="542">
        <f t="shared" si="28"/>
        <v>86</v>
      </c>
      <c r="K115" s="542">
        <f t="shared" si="28"/>
        <v>84</v>
      </c>
      <c r="L115" s="542">
        <f t="shared" si="28"/>
        <v>82</v>
      </c>
      <c r="M115" s="543">
        <f t="shared" si="28"/>
        <v>80</v>
      </c>
      <c r="N115" s="1151"/>
      <c r="O115" s="1151"/>
      <c r="P115" s="2617"/>
      <c r="Q115" s="502"/>
    </row>
    <row r="116" spans="1:17" ht="15" thickTop="1">
      <c r="A116" s="597"/>
      <c r="B116" s="536" t="s">
        <v>2667</v>
      </c>
      <c r="C116" s="2942" t="s">
        <v>3505</v>
      </c>
      <c r="D116" s="2942" t="s">
        <v>3507</v>
      </c>
      <c r="E116" s="552"/>
      <c r="F116" s="552"/>
      <c r="G116" s="552"/>
      <c r="H116" s="581"/>
      <c r="I116" s="581"/>
      <c r="J116" s="581"/>
      <c r="K116" s="582"/>
      <c r="L116" s="583"/>
      <c r="M116" s="584"/>
      <c r="N116" s="1150"/>
      <c r="O116" s="1150"/>
      <c r="P116" s="2617"/>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51"/>
      <c r="O117" s="1151"/>
      <c r="P117" s="2617"/>
      <c r="Q117" s="502"/>
    </row>
    <row r="118" spans="1:17" ht="15" thickTop="1">
      <c r="A118" s="597"/>
      <c r="B118" s="536" t="s">
        <v>2668</v>
      </c>
      <c r="C118" s="625"/>
      <c r="D118" s="625"/>
      <c r="E118" s="625"/>
      <c r="F118" s="625"/>
      <c r="G118" s="625"/>
      <c r="H118" s="553"/>
      <c r="I118" s="553"/>
      <c r="J118" s="553"/>
      <c r="K118" s="553"/>
      <c r="L118" s="554"/>
      <c r="M118" s="555"/>
      <c r="N118" s="1150"/>
      <c r="O118" s="1150"/>
      <c r="P118" s="2617"/>
      <c r="Q118" s="502"/>
    </row>
    <row r="119" spans="1:17" ht="15.75" thickBot="1">
      <c r="A119" s="532"/>
      <c r="B119" s="541"/>
      <c r="C119" s="558"/>
      <c r="D119" s="534"/>
      <c r="E119" s="534"/>
      <c r="F119" s="534"/>
      <c r="G119" s="534"/>
      <c r="H119" s="534"/>
      <c r="I119" s="534"/>
      <c r="J119" s="534"/>
      <c r="K119" s="534"/>
      <c r="L119" s="534"/>
      <c r="M119" s="535"/>
      <c r="N119" s="1151"/>
      <c r="O119" s="1151"/>
      <c r="P119" s="2617"/>
      <c r="Q119" s="502"/>
    </row>
    <row r="120" spans="1:17" s="469" customFormat="1" ht="15" thickTop="1">
      <c r="A120" s="591"/>
      <c r="B120" s="536" t="s">
        <v>2669</v>
      </c>
      <c r="C120" s="2943" t="s">
        <v>3508</v>
      </c>
      <c r="D120" s="2943" t="s">
        <v>3510</v>
      </c>
      <c r="E120" s="2943" t="s">
        <v>3511</v>
      </c>
      <c r="F120" s="2943" t="s">
        <v>3512</v>
      </c>
      <c r="G120" s="553"/>
      <c r="H120" s="553"/>
      <c r="I120" s="553"/>
      <c r="J120" s="553"/>
      <c r="K120" s="553"/>
      <c r="L120" s="554"/>
      <c r="M120" s="555"/>
      <c r="N120" s="1152"/>
      <c r="O120" s="1152"/>
      <c r="P120" s="2618"/>
      <c r="Q120" s="557"/>
    </row>
    <row r="121" spans="1:17" s="469" customFormat="1" ht="15.75"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52"/>
      <c r="O121" s="1152"/>
      <c r="P121" s="2618"/>
      <c r="Q121" s="557"/>
    </row>
    <row r="122" spans="1:17" ht="15" thickTop="1">
      <c r="A122" s="597"/>
      <c r="B122" s="536" t="s">
        <v>2604</v>
      </c>
      <c r="C122" s="2942" t="s">
        <v>3491</v>
      </c>
      <c r="D122" s="2942" t="s">
        <v>3492</v>
      </c>
      <c r="E122" s="2942" t="s">
        <v>3494</v>
      </c>
      <c r="F122" s="2943" t="s">
        <v>3495</v>
      </c>
      <c r="G122" s="581"/>
      <c r="H122" s="581"/>
      <c r="I122" s="581"/>
      <c r="J122" s="581"/>
      <c r="K122" s="582"/>
      <c r="L122" s="583"/>
      <c r="M122" s="584"/>
      <c r="N122" s="1150"/>
      <c r="O122" s="1150"/>
      <c r="P122" s="2617"/>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51"/>
      <c r="O123" s="1151"/>
      <c r="P123" s="2617"/>
      <c r="Q123" s="502"/>
    </row>
    <row r="124" spans="1:17" ht="15" thickTop="1">
      <c r="A124" s="597"/>
      <c r="B124" s="536" t="s">
        <v>2605</v>
      </c>
      <c r="C124" s="576" t="s">
        <v>2581</v>
      </c>
      <c r="D124" s="576" t="s">
        <v>2582</v>
      </c>
      <c r="E124" s="576" t="s">
        <v>2583</v>
      </c>
      <c r="F124" s="576" t="s">
        <v>2584</v>
      </c>
      <c r="G124" s="576" t="s">
        <v>2585</v>
      </c>
      <c r="H124" s="537"/>
      <c r="I124" s="537"/>
      <c r="J124" s="537"/>
      <c r="K124" s="538"/>
      <c r="L124" s="539"/>
      <c r="M124" s="540"/>
      <c r="N124" s="1150"/>
      <c r="O124" s="1150"/>
      <c r="P124" s="2618"/>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1"/>
      <c r="O125" s="1151"/>
      <c r="P125" s="2617"/>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18"/>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18"/>
      <c r="Q127" s="557"/>
    </row>
    <row r="128" spans="1:17" ht="15" thickTop="1">
      <c r="A128" s="597"/>
      <c r="B128" s="536">
        <f>B45</f>
        <v>111</v>
      </c>
      <c r="C128" s="552"/>
      <c r="D128" s="552"/>
      <c r="E128" s="552"/>
      <c r="F128" s="552"/>
      <c r="G128" s="581"/>
      <c r="H128" s="581"/>
      <c r="I128" s="581"/>
      <c r="J128" s="581"/>
      <c r="K128" s="582"/>
      <c r="L128" s="583"/>
      <c r="M128" s="584"/>
      <c r="N128" s="1150"/>
      <c r="O128" s="1150"/>
      <c r="P128" s="2617"/>
      <c r="Q128" s="502"/>
    </row>
    <row r="129" spans="1:17" ht="15.75" thickBot="1">
      <c r="A129" s="532"/>
      <c r="B129" s="541"/>
      <c r="C129" s="558"/>
      <c r="D129" s="534"/>
      <c r="E129" s="534"/>
      <c r="F129" s="534"/>
      <c r="G129" s="534"/>
      <c r="H129" s="534"/>
      <c r="I129" s="534"/>
      <c r="J129" s="534"/>
      <c r="K129" s="534"/>
      <c r="L129" s="534"/>
      <c r="M129" s="535"/>
      <c r="N129" s="1151"/>
      <c r="O129" s="1151"/>
      <c r="P129" s="2617"/>
      <c r="Q129" s="502"/>
    </row>
    <row r="130" spans="1:17" ht="15" thickTop="1">
      <c r="A130" s="597"/>
      <c r="B130" s="544">
        <f>B46</f>
        <v>111</v>
      </c>
      <c r="C130" s="552"/>
      <c r="D130" s="552"/>
      <c r="E130" s="552"/>
      <c r="F130" s="552"/>
      <c r="G130" s="585"/>
      <c r="H130" s="585"/>
      <c r="I130" s="585"/>
      <c r="J130" s="585"/>
      <c r="K130" s="521"/>
      <c r="L130" s="522"/>
      <c r="M130" s="588"/>
      <c r="N130" s="1150"/>
      <c r="O130" s="1150"/>
      <c r="P130" s="2617"/>
      <c r="Q130" s="502"/>
    </row>
    <row r="131" spans="1:17" ht="15.75" thickBot="1">
      <c r="A131" s="2623"/>
      <c r="B131" s="567"/>
      <c r="C131" s="568"/>
      <c r="D131" s="568"/>
      <c r="E131" s="568"/>
      <c r="F131" s="568"/>
      <c r="G131" s="589"/>
      <c r="H131" s="589"/>
      <c r="I131" s="589"/>
      <c r="J131" s="589"/>
      <c r="K131" s="589"/>
      <c r="L131" s="589"/>
      <c r="M131" s="590"/>
      <c r="N131" s="1151"/>
      <c r="O131" s="1151"/>
      <c r="P131" s="2617"/>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3" priority="17" stopIfTrue="1" operator="containsText" text="超过">
      <formula>NOT(ISERROR(SEARCH("超过",F52)))</formula>
    </cfRule>
  </conditionalFormatting>
  <conditionalFormatting sqref="H54">
    <cfRule type="containsText" dxfId="82" priority="15" stopIfTrue="1" operator="containsText" text="超过">
      <formula>NOT(ISERROR(SEARCH("超过",H54)))</formula>
    </cfRule>
  </conditionalFormatting>
  <conditionalFormatting sqref="F54">
    <cfRule type="containsText" dxfId="81" priority="14" stopIfTrue="1" operator="containsText" text="超过">
      <formula>NOT(ISERROR(SEARCH("超过",F54)))</formula>
    </cfRule>
  </conditionalFormatting>
  <conditionalFormatting sqref="F53 H53">
    <cfRule type="containsText" dxfId="80" priority="13" stopIfTrue="1" operator="containsText" text="超过">
      <formula>NOT(ISERROR(SEARCH("超过",F53)))</formula>
    </cfRule>
  </conditionalFormatting>
  <conditionalFormatting sqref="E52">
    <cfRule type="expression" dxfId="79" priority="12" stopIfTrue="1">
      <formula>$F$52="超过30%"</formula>
    </cfRule>
  </conditionalFormatting>
  <conditionalFormatting sqref="E53">
    <cfRule type="expression" dxfId="78" priority="11" stopIfTrue="1">
      <formula>$F$53="超过20%"</formula>
    </cfRule>
  </conditionalFormatting>
  <conditionalFormatting sqref="E54">
    <cfRule type="expression" dxfId="77" priority="10" stopIfTrue="1">
      <formula>$F$54="超过30%"</formula>
    </cfRule>
  </conditionalFormatting>
  <conditionalFormatting sqref="G54">
    <cfRule type="expression" dxfId="76" priority="9" stopIfTrue="1">
      <formula>$H$54="超过30%"</formula>
    </cfRule>
  </conditionalFormatting>
  <conditionalFormatting sqref="G52">
    <cfRule type="expression" dxfId="75" priority="8" stopIfTrue="1">
      <formula>$H$52="超过30%"</formula>
    </cfRule>
  </conditionalFormatting>
  <conditionalFormatting sqref="G53">
    <cfRule type="expression" dxfId="74" priority="7" stopIfTrue="1">
      <formula>$H$53="超过20%"</formula>
    </cfRule>
  </conditionalFormatting>
  <conditionalFormatting sqref="J52">
    <cfRule type="containsText" dxfId="73" priority="6" stopIfTrue="1" operator="containsText" text="超过">
      <formula>NOT(ISERROR(SEARCH("超过",J52)))</formula>
    </cfRule>
  </conditionalFormatting>
  <conditionalFormatting sqref="J54">
    <cfRule type="containsText" dxfId="72" priority="5" stopIfTrue="1" operator="containsText" text="超过">
      <formula>NOT(ISERROR(SEARCH("超过",J54)))</formula>
    </cfRule>
  </conditionalFormatting>
  <conditionalFormatting sqref="J53">
    <cfRule type="containsText" dxfId="71" priority="4" stopIfTrue="1" operator="containsText" text="超过">
      <formula>NOT(ISERROR(SEARCH("超过",J53)))</formula>
    </cfRule>
  </conditionalFormatting>
  <conditionalFormatting sqref="I52">
    <cfRule type="expression" dxfId="70" priority="3" stopIfTrue="1">
      <formula>$J$52="超过30%"</formula>
    </cfRule>
  </conditionalFormatting>
  <conditionalFormatting sqref="I53">
    <cfRule type="expression" dxfId="69" priority="2" stopIfTrue="1">
      <formula>$J$53="超过20%"</formula>
    </cfRule>
  </conditionalFormatting>
  <conditionalFormatting sqref="I54">
    <cfRule type="expression" dxfId="6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55" zoomScale="90" zoomScaleNormal="90" workbookViewId="0">
      <selection activeCell="F2" sqref="F2"/>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2512</v>
      </c>
      <c r="B1" s="2656" t="s">
        <v>2670</v>
      </c>
      <c r="C1" s="1615" t="s">
        <v>2514</v>
      </c>
      <c r="D1" s="1616" t="s">
        <v>3041</v>
      </c>
      <c r="E1" s="1625"/>
      <c r="F1" s="2571" t="s">
        <v>3046</v>
      </c>
      <c r="G1" s="1626" t="s">
        <v>2516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1394</v>
      </c>
      <c r="B2" s="1414" t="e">
        <f ca="1">IF(C2="——",ROUND(C50*D3/10000,0),ROUND(C50*D3/10000,0)-D2)</f>
        <v>#DIV/0!</v>
      </c>
      <c r="C2" s="2573" t="s">
        <v>3113</v>
      </c>
      <c r="D2" s="1361" t="e">
        <f ca="1">SUMIF(INDIRECT("'"&amp;F2&amp;"'"&amp;"!A:A"),"承租人权益价值",INDIRECT("'"&amp;F2&amp;"'"&amp;"!c:c"))</f>
        <v>#REF!</v>
      </c>
      <c r="E2" s="2574" t="s">
        <v>2315</v>
      </c>
      <c r="F2" s="2575"/>
      <c r="G2" s="1123"/>
      <c r="H2" s="1123"/>
      <c r="I2" s="1123"/>
      <c r="J2" s="1123"/>
      <c r="K2" s="1123"/>
      <c r="L2" s="1126"/>
      <c r="M2" s="1127"/>
      <c r="N2" s="1127"/>
      <c r="O2" s="1127"/>
      <c r="P2" s="764"/>
      <c r="Q2" s="764"/>
      <c r="R2" s="764"/>
      <c r="S2" s="764"/>
      <c r="T2" s="764"/>
      <c r="U2" s="764"/>
      <c r="V2" s="764"/>
      <c r="W2" s="764"/>
      <c r="X2" s="764"/>
      <c r="Y2" s="764"/>
      <c r="Z2" s="764"/>
      <c r="AA2" s="764"/>
      <c r="AB2" s="764"/>
      <c r="AC2" s="765"/>
    </row>
    <row r="3" spans="1:29" s="396" customFormat="1" ht="28.5" customHeight="1" thickBot="1">
      <c r="A3" s="245" t="s">
        <v>1395</v>
      </c>
      <c r="B3" s="607" t="e">
        <f ca="1">IF(C2="——",C50,ROUND(B2*10000/D3,0))</f>
        <v>#DIV/0!</v>
      </c>
      <c r="C3" s="398" t="s">
        <v>2518</v>
      </c>
      <c r="D3" s="397">
        <f>IF(D1="",'数据-汇总表'!E3,SUMIF('数据-汇总表'!$C19:$C33,D1,'数据-汇总表'!$E19:$E33))</f>
        <v>0</v>
      </c>
      <c r="E3" s="2650"/>
      <c r="F3" s="1124"/>
      <c r="G3" s="1123"/>
      <c r="H3" s="1123"/>
      <c r="I3" s="1123"/>
      <c r="J3" s="1123"/>
      <c r="K3" s="1125"/>
      <c r="L3" s="1126"/>
      <c r="M3" s="1127"/>
      <c r="N3" s="1127"/>
      <c r="O3" s="1127"/>
      <c r="P3" s="764"/>
      <c r="Q3" s="764"/>
      <c r="R3" s="764"/>
      <c r="S3" s="764"/>
      <c r="T3" s="764"/>
      <c r="U3" s="764"/>
      <c r="V3" s="764"/>
      <c r="W3" s="764"/>
      <c r="X3" s="764"/>
      <c r="Y3" s="764"/>
      <c r="Z3" s="764"/>
      <c r="AA3" s="764"/>
      <c r="AB3" s="764"/>
      <c r="AC3" s="765"/>
    </row>
    <row r="4" spans="1:29" ht="15">
      <c r="A4" s="399" t="s">
        <v>2519</v>
      </c>
      <c r="B4" s="400"/>
      <c r="C4" s="3275" t="s">
        <v>2520</v>
      </c>
      <c r="D4" s="3276"/>
      <c r="E4" s="3277" t="s">
        <v>2521</v>
      </c>
      <c r="F4" s="3278"/>
      <c r="G4" s="3275" t="s">
        <v>2522</v>
      </c>
      <c r="H4" s="3276"/>
      <c r="I4" s="3275" t="s">
        <v>2523</v>
      </c>
      <c r="J4" s="3276"/>
      <c r="K4" s="608" t="s">
        <v>2524</v>
      </c>
      <c r="L4" s="1128"/>
      <c r="M4" s="1129"/>
      <c r="N4" s="1129"/>
      <c r="O4" s="1129"/>
      <c r="P4" s="3311" t="s">
        <v>2525</v>
      </c>
      <c r="Q4" s="3312"/>
      <c r="R4" s="3306" t="s">
        <v>2521</v>
      </c>
      <c r="S4" s="3307"/>
      <c r="T4" s="3306" t="s">
        <v>2522</v>
      </c>
      <c r="U4" s="3307"/>
      <c r="V4" s="3315" t="s">
        <v>2523</v>
      </c>
      <c r="W4" s="3315"/>
      <c r="X4" s="2934"/>
      <c r="Y4" s="3306" t="s">
        <v>2525</v>
      </c>
      <c r="Z4" s="3307"/>
      <c r="AA4" s="3305" t="s">
        <v>2521</v>
      </c>
      <c r="AB4" s="3305" t="s">
        <v>2522</v>
      </c>
      <c r="AC4" s="3308" t="s">
        <v>2523</v>
      </c>
    </row>
    <row r="5" spans="1:29" ht="15">
      <c r="A5" s="402"/>
      <c r="B5" s="403"/>
      <c r="C5" s="3268" t="s">
        <v>2526</v>
      </c>
      <c r="D5" s="3269"/>
      <c r="E5" s="3266" t="s">
        <v>2527</v>
      </c>
      <c r="F5" s="3267"/>
      <c r="G5" s="3268" t="s">
        <v>2528</v>
      </c>
      <c r="H5" s="3269"/>
      <c r="I5" s="3268" t="s">
        <v>2529</v>
      </c>
      <c r="J5" s="3269"/>
      <c r="K5" s="608"/>
      <c r="L5" s="1128"/>
      <c r="M5" s="1129"/>
      <c r="N5" s="1129"/>
      <c r="O5" s="1129"/>
      <c r="P5" s="3313"/>
      <c r="Q5" s="3282"/>
      <c r="R5" s="3264"/>
      <c r="S5" s="3265"/>
      <c r="T5" s="3264"/>
      <c r="U5" s="3265"/>
      <c r="V5" s="3287"/>
      <c r="W5" s="3287"/>
      <c r="X5" s="2932"/>
      <c r="Y5" s="3264"/>
      <c r="Z5" s="3265"/>
      <c r="AA5" s="3258"/>
      <c r="AB5" s="3258"/>
      <c r="AC5" s="3309"/>
    </row>
    <row r="6" spans="1:29" ht="15.75" thickBot="1">
      <c r="A6" s="404"/>
      <c r="B6" s="405"/>
      <c r="C6" s="3270"/>
      <c r="D6" s="3271"/>
      <c r="E6" s="3272" t="s">
        <v>2530</v>
      </c>
      <c r="F6" s="3273"/>
      <c r="G6" s="3270" t="s">
        <v>2530</v>
      </c>
      <c r="H6" s="3271"/>
      <c r="I6" s="3270" t="s">
        <v>2530</v>
      </c>
      <c r="J6" s="3271"/>
      <c r="K6" s="608" t="s">
        <v>2531</v>
      </c>
      <c r="L6" s="1128"/>
      <c r="M6" s="1129"/>
      <c r="N6" s="1129"/>
      <c r="O6" s="1129"/>
      <c r="P6" s="3314"/>
      <c r="Q6" s="3284"/>
      <c r="R6" s="3264"/>
      <c r="S6" s="3265"/>
      <c r="T6" s="3285"/>
      <c r="U6" s="3286"/>
      <c r="V6" s="3287"/>
      <c r="W6" s="3287"/>
      <c r="X6" s="2932"/>
      <c r="Y6" s="3285"/>
      <c r="Z6" s="3286"/>
      <c r="AA6" s="3259"/>
      <c r="AB6" s="3259"/>
      <c r="AC6" s="3310"/>
    </row>
    <row r="7" spans="1:29" s="116" customFormat="1" ht="15.75" thickBot="1">
      <c r="A7" s="406" t="s">
        <v>2532</v>
      </c>
      <c r="B7" s="407"/>
      <c r="C7" s="408">
        <f>'数据-取费表'!B2</f>
        <v>43207</v>
      </c>
      <c r="D7" s="409">
        <v>100</v>
      </c>
      <c r="E7" s="410"/>
      <c r="F7" s="411">
        <f>SUMIF(59:59,YEAR(E7)&amp;"-"&amp;MONTH(E7),60:60)</f>
        <v>0</v>
      </c>
      <c r="G7" s="410"/>
      <c r="H7" s="409">
        <f>SUMIF(59:59,YEAR(G7)&amp;"-"&amp;MONTH(G7),60:60)</f>
        <v>0</v>
      </c>
      <c r="I7" s="410"/>
      <c r="J7" s="409">
        <f>SUMIF(59:59,YEAR(I7)&amp;"-"&amp;MONTH(I7),60:60)</f>
        <v>0</v>
      </c>
      <c r="K7" s="609"/>
      <c r="L7" s="1130"/>
      <c r="M7" s="1131"/>
      <c r="N7" s="1131"/>
      <c r="O7" s="1131"/>
      <c r="P7" s="3316" t="s">
        <v>2533</v>
      </c>
      <c r="Q7" s="3288"/>
      <c r="R7" s="766" t="s">
        <v>17</v>
      </c>
      <c r="S7" s="767">
        <f t="shared" ref="S7:S15" si="0">F7</f>
        <v>0</v>
      </c>
      <c r="T7" s="766" t="s">
        <v>17</v>
      </c>
      <c r="U7" s="767">
        <f t="shared" ref="U7:U15" si="1">H7</f>
        <v>0</v>
      </c>
      <c r="V7" s="766" t="s">
        <v>17</v>
      </c>
      <c r="W7" s="767">
        <f t="shared" ref="W7:W15" si="2">J7</f>
        <v>0</v>
      </c>
      <c r="X7" s="768"/>
      <c r="Y7" s="3260" t="s">
        <v>2533</v>
      </c>
      <c r="Z7" s="3261"/>
      <c r="AA7" s="769" t="e">
        <f>D7/F7</f>
        <v>#DIV/0!</v>
      </c>
      <c r="AB7" s="769" t="e">
        <f>D7/H7</f>
        <v>#DIV/0!</v>
      </c>
      <c r="AC7" s="2658" t="e">
        <f>D7/J7</f>
        <v>#DIV/0!</v>
      </c>
    </row>
    <row r="8" spans="1:29" s="116" customFormat="1" ht="15.75" thickBot="1">
      <c r="A8" s="406" t="s">
        <v>2534</v>
      </c>
      <c r="B8" s="407"/>
      <c r="C8" s="412" t="s">
        <v>2571</v>
      </c>
      <c r="D8" s="409">
        <v>100</v>
      </c>
      <c r="E8" s="412"/>
      <c r="F8" s="411">
        <f>SUMIF(62:62,E8,63:63)-SUMIF(62:62,C8,63:63)+100</f>
        <v>0</v>
      </c>
      <c r="G8" s="412"/>
      <c r="H8" s="409">
        <f>SUMIF(62:62,G8,63:63)-SUMIF(62:62,C8,63:63)+100</f>
        <v>0</v>
      </c>
      <c r="I8" s="412"/>
      <c r="J8" s="409">
        <f>SUMIF(62:62,I8,63:63)-SUMIF(62:62,C8,63:63)+100</f>
        <v>0</v>
      </c>
      <c r="K8" s="609"/>
      <c r="L8" s="1130"/>
      <c r="M8" s="1131"/>
      <c r="N8" s="1131"/>
      <c r="O8" s="1131"/>
      <c r="P8" s="3316" t="s">
        <v>2536</v>
      </c>
      <c r="Q8" s="3261"/>
      <c r="R8" s="766" t="s">
        <v>17</v>
      </c>
      <c r="S8" s="767">
        <f t="shared" si="0"/>
        <v>0</v>
      </c>
      <c r="T8" s="766" t="s">
        <v>17</v>
      </c>
      <c r="U8" s="767">
        <f t="shared" si="1"/>
        <v>0</v>
      </c>
      <c r="V8" s="766" t="s">
        <v>17</v>
      </c>
      <c r="W8" s="767">
        <f t="shared" si="2"/>
        <v>0</v>
      </c>
      <c r="X8" s="768"/>
      <c r="Y8" s="3260" t="s">
        <v>2536</v>
      </c>
      <c r="Z8" s="3261"/>
      <c r="AA8" s="769" t="e">
        <f t="shared" ref="AA8:AA47" si="3">D8/F8</f>
        <v>#DIV/0!</v>
      </c>
      <c r="AB8" s="769" t="e">
        <f t="shared" ref="AB8:AB47" si="4">D8/H8</f>
        <v>#DIV/0!</v>
      </c>
      <c r="AC8" s="2658" t="e">
        <f t="shared" ref="AC8:AC47" si="5">D8/J8</f>
        <v>#DIV/0!</v>
      </c>
    </row>
    <row r="9" spans="1:29" s="116" customFormat="1">
      <c r="A9" s="413" t="s">
        <v>2537</v>
      </c>
      <c r="B9" s="71" t="s">
        <v>2538</v>
      </c>
      <c r="C9" s="2936" t="s">
        <v>3079</v>
      </c>
      <c r="D9" s="133">
        <v>100</v>
      </c>
      <c r="E9" s="417"/>
      <c r="F9" s="133">
        <f>SUMIF(64:64,E9,65:65)-SUMIF(64:64,C9,65:65)+100</f>
        <v>0</v>
      </c>
      <c r="G9" s="415"/>
      <c r="H9" s="133">
        <f>SUMIF(64:64,G9,65:65)-SUMIF(64:64,C9,65:65)+100</f>
        <v>0</v>
      </c>
      <c r="I9" s="415"/>
      <c r="J9" s="133">
        <f>SUMIF(64:64,I9,65:65)-SUMIF(64:64,C9,65:65)+100</f>
        <v>0</v>
      </c>
      <c r="K9" s="609"/>
      <c r="L9" s="1130"/>
      <c r="M9" s="1131"/>
      <c r="N9" s="1131"/>
      <c r="O9" s="1131"/>
      <c r="P9" s="3298" t="s">
        <v>2539</v>
      </c>
      <c r="Q9" s="2926" t="str">
        <f t="shared" ref="Q9:Q15" si="6">B9</f>
        <v>用途</v>
      </c>
      <c r="R9" s="766" t="s">
        <v>17</v>
      </c>
      <c r="S9" s="767">
        <f t="shared" si="0"/>
        <v>0</v>
      </c>
      <c r="T9" s="766" t="s">
        <v>17</v>
      </c>
      <c r="U9" s="767">
        <f t="shared" si="1"/>
        <v>0</v>
      </c>
      <c r="V9" s="766" t="s">
        <v>17</v>
      </c>
      <c r="W9" s="767">
        <f t="shared" si="2"/>
        <v>0</v>
      </c>
      <c r="X9" s="768"/>
      <c r="Y9" s="3134" t="s">
        <v>2540</v>
      </c>
      <c r="Z9" s="2927" t="str">
        <f t="shared" ref="Z9:Z15" si="7">Q9</f>
        <v>用途</v>
      </c>
      <c r="AA9" s="769" t="e">
        <f t="shared" si="3"/>
        <v>#DIV/0!</v>
      </c>
      <c r="AB9" s="769" t="e">
        <f t="shared" si="4"/>
        <v>#DIV/0!</v>
      </c>
      <c r="AC9" s="2658" t="e">
        <f t="shared" si="5"/>
        <v>#DIV/0!</v>
      </c>
    </row>
    <row r="10" spans="1:29" s="425" customFormat="1" ht="27">
      <c r="A10" s="419"/>
      <c r="B10" s="2928" t="s">
        <v>2541</v>
      </c>
      <c r="C10" s="421" t="s">
        <v>3050</v>
      </c>
      <c r="D10" s="134">
        <v>100</v>
      </c>
      <c r="E10" s="421"/>
      <c r="F10" s="134">
        <f>SUMIF(66:66,E10,67:67)-SUMIF(66:66,C10,67:67)+100</f>
        <v>0</v>
      </c>
      <c r="G10" s="422"/>
      <c r="H10" s="134">
        <f>SUMIF(66:66,G10,67:67)-SUMIF(66:66,C10,67:67)+100</f>
        <v>0</v>
      </c>
      <c r="I10" s="421"/>
      <c r="J10" s="134">
        <f>SUMIF(66:66,I10,67:67)-SUMIF(66:66,C10,67:67)+100</f>
        <v>0</v>
      </c>
      <c r="K10" s="610"/>
      <c r="L10" s="1133"/>
      <c r="M10" s="1134"/>
      <c r="N10" s="1134"/>
      <c r="O10" s="1134"/>
      <c r="P10" s="3298"/>
      <c r="Q10" s="2926" t="str">
        <f t="shared" si="6"/>
        <v>土地使用年限（年）</v>
      </c>
      <c r="R10" s="766" t="s">
        <v>17</v>
      </c>
      <c r="S10" s="767">
        <f t="shared" si="0"/>
        <v>0</v>
      </c>
      <c r="T10" s="766" t="s">
        <v>17</v>
      </c>
      <c r="U10" s="767">
        <f t="shared" si="1"/>
        <v>0</v>
      </c>
      <c r="V10" s="766" t="s">
        <v>17</v>
      </c>
      <c r="W10" s="767">
        <f t="shared" si="2"/>
        <v>0</v>
      </c>
      <c r="X10" s="768"/>
      <c r="Y10" s="3134"/>
      <c r="Z10" s="2927" t="str">
        <f t="shared" si="7"/>
        <v>土地使用年限（年）</v>
      </c>
      <c r="AA10" s="769" t="e">
        <f t="shared" si="3"/>
        <v>#DIV/0!</v>
      </c>
      <c r="AB10" s="769" t="e">
        <f t="shared" si="4"/>
        <v>#DIV/0!</v>
      </c>
      <c r="AC10" s="2658" t="e">
        <f t="shared" si="5"/>
        <v>#DIV/0!</v>
      </c>
    </row>
    <row r="11" spans="1:29" ht="15">
      <c r="A11" s="426"/>
      <c r="B11" s="2928" t="s">
        <v>2542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6"/>
      <c r="M11" s="1129"/>
      <c r="N11" s="1129"/>
      <c r="O11" s="1129"/>
      <c r="P11" s="3298"/>
      <c r="Q11" s="2926" t="str">
        <f t="shared" si="6"/>
        <v>容积率</v>
      </c>
      <c r="R11" s="766" t="s">
        <v>17</v>
      </c>
      <c r="S11" s="767" t="e">
        <f t="shared" si="0"/>
        <v>#N/A</v>
      </c>
      <c r="T11" s="766" t="s">
        <v>17</v>
      </c>
      <c r="U11" s="767" t="e">
        <f t="shared" si="1"/>
        <v>#N/A</v>
      </c>
      <c r="V11" s="766" t="s">
        <v>17</v>
      </c>
      <c r="W11" s="767" t="e">
        <f t="shared" si="2"/>
        <v>#N/A</v>
      </c>
      <c r="X11" s="768"/>
      <c r="Y11" s="3134"/>
      <c r="Z11" s="2927" t="str">
        <f t="shared" si="7"/>
        <v>容积率</v>
      </c>
      <c r="AA11" s="769" t="e">
        <f t="shared" si="3"/>
        <v>#N/A</v>
      </c>
      <c r="AB11" s="769" t="e">
        <f t="shared" si="4"/>
        <v>#N/A</v>
      </c>
      <c r="AC11" s="2658" t="e">
        <f t="shared" si="5"/>
        <v>#N/A</v>
      </c>
    </row>
    <row r="12" spans="1:29" s="116" customFormat="1" ht="15">
      <c r="A12" s="429"/>
      <c r="B12" s="2587">
        <v>111</v>
      </c>
      <c r="C12" s="430"/>
      <c r="D12" s="431">
        <v>100</v>
      </c>
      <c r="E12" s="430"/>
      <c r="F12" s="134">
        <f>SUMIF(71:71,E12,72:72)-SUMIF(71:71,C12,72:72)+100</f>
        <v>100</v>
      </c>
      <c r="G12" s="2659"/>
      <c r="H12" s="134">
        <f>SUMIF(71:71,G12,72:72)-SUMIF(71:71,C12,72:72)+100</f>
        <v>100</v>
      </c>
      <c r="I12" s="430"/>
      <c r="J12" s="134">
        <f>SUMIF(71:71,I12,72:72)-SUMIF(71:71,C12,72:72)+100</f>
        <v>100</v>
      </c>
      <c r="K12" s="611"/>
      <c r="L12" s="1130"/>
      <c r="M12" s="1131"/>
      <c r="N12" s="1131"/>
      <c r="O12" s="1131"/>
      <c r="P12" s="3298"/>
      <c r="Q12" s="2926">
        <f t="shared" si="6"/>
        <v>111</v>
      </c>
      <c r="R12" s="766" t="s">
        <v>17</v>
      </c>
      <c r="S12" s="767">
        <f t="shared" si="0"/>
        <v>100</v>
      </c>
      <c r="T12" s="766" t="s">
        <v>17</v>
      </c>
      <c r="U12" s="767">
        <f t="shared" si="1"/>
        <v>100</v>
      </c>
      <c r="V12" s="766" t="s">
        <v>17</v>
      </c>
      <c r="W12" s="767">
        <f t="shared" si="2"/>
        <v>100</v>
      </c>
      <c r="X12" s="768"/>
      <c r="Y12" s="3134"/>
      <c r="Z12" s="2927">
        <f t="shared" si="7"/>
        <v>111</v>
      </c>
      <c r="AA12" s="769">
        <f>D12/F12</f>
        <v>1</v>
      </c>
      <c r="AB12" s="769">
        <f>D12/H12</f>
        <v>1</v>
      </c>
      <c r="AC12" s="2658">
        <f>D12/J12</f>
        <v>1</v>
      </c>
    </row>
    <row r="13" spans="1:29" ht="15">
      <c r="A13" s="426"/>
      <c r="B13" s="2587">
        <v>111</v>
      </c>
      <c r="C13" s="432"/>
      <c r="D13" s="433">
        <v>100</v>
      </c>
      <c r="E13" s="430"/>
      <c r="F13" s="134">
        <f>SUMIF(73:73,E13,74:74)-SUMIF(73:73,C13,74:74)+100</f>
        <v>100</v>
      </c>
      <c r="G13" s="2659"/>
      <c r="H13" s="433">
        <f>SUMIF(73:73,G13,74:74)-SUMIF(73:73,C13,74:74)+100</f>
        <v>100</v>
      </c>
      <c r="I13" s="430"/>
      <c r="J13" s="433">
        <f>SUMIF(73:73,I13,74:74)-SUMIF(73:73,C13,74:74)+100</f>
        <v>100</v>
      </c>
      <c r="K13" s="611"/>
      <c r="L13" s="1138"/>
      <c r="M13" s="1129"/>
      <c r="N13" s="1129"/>
      <c r="O13" s="1129"/>
      <c r="P13" s="3298"/>
      <c r="Q13" s="2926">
        <f t="shared" si="6"/>
        <v>111</v>
      </c>
      <c r="R13" s="766" t="s">
        <v>17</v>
      </c>
      <c r="S13" s="767">
        <f t="shared" si="0"/>
        <v>100</v>
      </c>
      <c r="T13" s="766" t="s">
        <v>17</v>
      </c>
      <c r="U13" s="767">
        <f t="shared" si="1"/>
        <v>100</v>
      </c>
      <c r="V13" s="766" t="s">
        <v>17</v>
      </c>
      <c r="W13" s="767">
        <f t="shared" si="2"/>
        <v>100</v>
      </c>
      <c r="X13" s="768"/>
      <c r="Y13" s="3134"/>
      <c r="Z13" s="2927">
        <f t="shared" si="7"/>
        <v>111</v>
      </c>
      <c r="AA13" s="769">
        <f t="shared" si="3"/>
        <v>1</v>
      </c>
      <c r="AB13" s="769">
        <f t="shared" si="4"/>
        <v>1</v>
      </c>
      <c r="AC13" s="2658">
        <f t="shared" si="5"/>
        <v>1</v>
      </c>
    </row>
    <row r="14" spans="1:29" ht="15.75" thickBot="1">
      <c r="A14" s="434"/>
      <c r="B14" s="2589">
        <v>111</v>
      </c>
      <c r="C14" s="435"/>
      <c r="D14" s="436">
        <v>100</v>
      </c>
      <c r="E14" s="626"/>
      <c r="F14" s="436">
        <f>SUMIF(75:75,E14,76:76)-SUMIF(75:75,C14,76:76)+100</f>
        <v>100</v>
      </c>
      <c r="G14" s="2659"/>
      <c r="H14" s="436">
        <f>SUMIF(75:75,G14,76:76)-SUMIF(75:75,C14,76:76)+100</f>
        <v>100</v>
      </c>
      <c r="I14" s="430"/>
      <c r="J14" s="436">
        <f>SUMIF(75:75,I14,76:76)-SUMIF(75:75,C14,76:76)+100</f>
        <v>100</v>
      </c>
      <c r="K14" s="611"/>
      <c r="L14" s="1138"/>
      <c r="M14" s="1129"/>
      <c r="N14" s="1129"/>
      <c r="O14" s="1129"/>
      <c r="P14" s="3298"/>
      <c r="Q14" s="2926">
        <f t="shared" si="6"/>
        <v>111</v>
      </c>
      <c r="R14" s="766" t="s">
        <v>17</v>
      </c>
      <c r="S14" s="767">
        <f t="shared" si="0"/>
        <v>100</v>
      </c>
      <c r="T14" s="766" t="s">
        <v>17</v>
      </c>
      <c r="U14" s="767">
        <f t="shared" si="1"/>
        <v>100</v>
      </c>
      <c r="V14" s="766" t="s">
        <v>17</v>
      </c>
      <c r="W14" s="767">
        <f t="shared" si="2"/>
        <v>100</v>
      </c>
      <c r="X14" s="768"/>
      <c r="Y14" s="3134"/>
      <c r="Z14" s="2927">
        <f t="shared" si="7"/>
        <v>111</v>
      </c>
      <c r="AA14" s="769">
        <f t="shared" si="3"/>
        <v>1</v>
      </c>
      <c r="AB14" s="769">
        <f t="shared" si="4"/>
        <v>1</v>
      </c>
      <c r="AC14" s="2658">
        <f t="shared" si="5"/>
        <v>1</v>
      </c>
    </row>
    <row r="15" spans="1:29" ht="15">
      <c r="A15" s="438" t="s">
        <v>2543</v>
      </c>
      <c r="B15" s="627" t="s">
        <v>2671</v>
      </c>
      <c r="C15" s="2660">
        <f>估价对象房地状况!C5</f>
        <v>0</v>
      </c>
      <c r="D15" s="439">
        <v>100</v>
      </c>
      <c r="E15" s="442"/>
      <c r="F15" s="439">
        <f>SUMIF(77:77,E16,78:78)-SUMIF(77:77,C16,78:78)+100</f>
        <v>0</v>
      </c>
      <c r="G15" s="440"/>
      <c r="H15" s="439">
        <f>SUMIF(77:77,G16,78:78)-SUMIF(77:77,C16,78:78)+100</f>
        <v>0</v>
      </c>
      <c r="I15" s="440"/>
      <c r="J15" s="439">
        <f>SUMIF(77:77,I16,78:78)-SUMIF(77:77,C16,78:78)+100</f>
        <v>0</v>
      </c>
      <c r="K15" s="612"/>
      <c r="L15" s="1138"/>
      <c r="M15" s="1129"/>
      <c r="N15" s="1129"/>
      <c r="O15" s="1129"/>
      <c r="P15" s="3317" t="s">
        <v>2544</v>
      </c>
      <c r="Q15" s="2930" t="str">
        <f t="shared" si="6"/>
        <v>办公集聚程度</v>
      </c>
      <c r="R15" s="770" t="s">
        <v>17</v>
      </c>
      <c r="S15" s="771">
        <f t="shared" si="0"/>
        <v>0</v>
      </c>
      <c r="T15" s="770" t="s">
        <v>17</v>
      </c>
      <c r="U15" s="771">
        <f t="shared" si="1"/>
        <v>0</v>
      </c>
      <c r="V15" s="770" t="s">
        <v>17</v>
      </c>
      <c r="W15" s="771">
        <f t="shared" si="2"/>
        <v>0</v>
      </c>
      <c r="X15" s="2932"/>
      <c r="Y15" s="3289" t="s">
        <v>2544</v>
      </c>
      <c r="Z15" s="2933" t="str">
        <f t="shared" si="7"/>
        <v>办公集聚程度</v>
      </c>
      <c r="AA15" s="2931" t="e">
        <f t="shared" si="3"/>
        <v>#DIV/0!</v>
      </c>
      <c r="AB15" s="2931" t="e">
        <f t="shared" si="4"/>
        <v>#DIV/0!</v>
      </c>
      <c r="AC15" s="2661" t="e">
        <f t="shared" si="5"/>
        <v>#DIV/0!</v>
      </c>
    </row>
    <row r="16" spans="1:29" ht="15">
      <c r="A16" s="426"/>
      <c r="B16" s="628"/>
      <c r="C16" s="2598" t="s">
        <v>3055</v>
      </c>
      <c r="D16" s="446"/>
      <c r="E16" s="445"/>
      <c r="F16" s="446"/>
      <c r="G16" s="2598"/>
      <c r="H16" s="448"/>
      <c r="I16" s="445"/>
      <c r="J16" s="446"/>
      <c r="K16" s="613"/>
      <c r="L16" s="1138"/>
      <c r="M16" s="1129"/>
      <c r="N16" s="1129"/>
      <c r="O16" s="1129"/>
      <c r="P16" s="3318"/>
      <c r="Q16" s="2930"/>
      <c r="R16" s="770"/>
      <c r="S16" s="771"/>
      <c r="T16" s="770"/>
      <c r="U16" s="771"/>
      <c r="V16" s="770"/>
      <c r="W16" s="771"/>
      <c r="X16" s="2932"/>
      <c r="Y16" s="3290"/>
      <c r="Z16" s="2933"/>
      <c r="AA16" s="2931">
        <v>1</v>
      </c>
      <c r="AB16" s="2931">
        <v>1</v>
      </c>
      <c r="AC16" s="2661">
        <v>1</v>
      </c>
    </row>
    <row r="17" spans="1:29" ht="15">
      <c r="A17" s="426"/>
      <c r="B17" s="629" t="s">
        <v>2089</v>
      </c>
      <c r="C17" s="2662">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318"/>
      <c r="Q17" s="2930" t="str">
        <f>B17</f>
        <v>交通便捷度</v>
      </c>
      <c r="R17" s="770" t="s">
        <v>17</v>
      </c>
      <c r="S17" s="771">
        <f>F17</f>
        <v>100</v>
      </c>
      <c r="T17" s="770" t="s">
        <v>17</v>
      </c>
      <c r="U17" s="771">
        <f>H17</f>
        <v>100</v>
      </c>
      <c r="V17" s="770" t="s">
        <v>17</v>
      </c>
      <c r="W17" s="771">
        <f>J17</f>
        <v>100</v>
      </c>
      <c r="X17" s="2932"/>
      <c r="Y17" s="3290"/>
      <c r="Z17" s="2933" t="str">
        <f>Q17</f>
        <v>交通便捷度</v>
      </c>
      <c r="AA17" s="2931">
        <f t="shared" si="3"/>
        <v>1</v>
      </c>
      <c r="AB17" s="2931">
        <f t="shared" si="4"/>
        <v>1</v>
      </c>
      <c r="AC17" s="2661">
        <f t="shared" si="5"/>
        <v>1</v>
      </c>
    </row>
    <row r="18" spans="1:29" ht="15">
      <c r="A18" s="426"/>
      <c r="B18" s="630"/>
      <c r="C18" s="2663"/>
      <c r="D18" s="448"/>
      <c r="E18" s="2596"/>
      <c r="F18" s="448"/>
      <c r="G18" s="2597"/>
      <c r="H18" s="446"/>
      <c r="I18" s="2597"/>
      <c r="J18" s="446"/>
      <c r="K18" s="613"/>
      <c r="L18" s="1138"/>
      <c r="M18" s="1129"/>
      <c r="N18" s="1129"/>
      <c r="O18" s="1129"/>
      <c r="P18" s="3318"/>
      <c r="Q18" s="2930"/>
      <c r="R18" s="770"/>
      <c r="S18" s="771"/>
      <c r="T18" s="770"/>
      <c r="U18" s="771"/>
      <c r="V18" s="770"/>
      <c r="W18" s="771"/>
      <c r="X18" s="2932"/>
      <c r="Y18" s="3290"/>
      <c r="Z18" s="2933"/>
      <c r="AA18" s="2931">
        <v>1</v>
      </c>
      <c r="AB18" s="2931">
        <v>1</v>
      </c>
      <c r="AC18" s="2661">
        <v>1</v>
      </c>
    </row>
    <row r="19" spans="1:29" ht="15">
      <c r="A19" s="426"/>
      <c r="B19" s="629" t="s">
        <v>2672</v>
      </c>
      <c r="C19" s="2662">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318"/>
      <c r="Q19" s="2930" t="str">
        <f>B19</f>
        <v>公共配套设施</v>
      </c>
      <c r="R19" s="770" t="s">
        <v>17</v>
      </c>
      <c r="S19" s="771">
        <f>F19</f>
        <v>100</v>
      </c>
      <c r="T19" s="770" t="s">
        <v>17</v>
      </c>
      <c r="U19" s="771">
        <f>H19</f>
        <v>100</v>
      </c>
      <c r="V19" s="770" t="s">
        <v>17</v>
      </c>
      <c r="W19" s="771">
        <f>J19</f>
        <v>100</v>
      </c>
      <c r="X19" s="2932"/>
      <c r="Y19" s="3290"/>
      <c r="Z19" s="2933" t="str">
        <f>Q19</f>
        <v>公共配套设施</v>
      </c>
      <c r="AA19" s="2931">
        <f t="shared" si="3"/>
        <v>1</v>
      </c>
      <c r="AB19" s="2931">
        <f t="shared" si="4"/>
        <v>1</v>
      </c>
      <c r="AC19" s="2661">
        <f t="shared" si="5"/>
        <v>1</v>
      </c>
    </row>
    <row r="20" spans="1:29" ht="15">
      <c r="A20" s="426"/>
      <c r="B20" s="630"/>
      <c r="C20" s="2598"/>
      <c r="D20" s="446"/>
      <c r="E20" s="2591"/>
      <c r="F20" s="446"/>
      <c r="G20" s="2592"/>
      <c r="H20" s="446"/>
      <c r="I20" s="2592"/>
      <c r="J20" s="446"/>
      <c r="K20" s="613"/>
      <c r="L20" s="1138"/>
      <c r="M20" s="1129"/>
      <c r="N20" s="1129"/>
      <c r="O20" s="1129"/>
      <c r="P20" s="3318"/>
      <c r="Q20" s="2930"/>
      <c r="R20" s="770"/>
      <c r="S20" s="771"/>
      <c r="T20" s="770"/>
      <c r="U20" s="771"/>
      <c r="V20" s="770"/>
      <c r="W20" s="771"/>
      <c r="X20" s="2932"/>
      <c r="Y20" s="3290"/>
      <c r="Z20" s="2933"/>
      <c r="AA20" s="2931">
        <v>1</v>
      </c>
      <c r="AB20" s="2931">
        <v>1</v>
      </c>
      <c r="AC20" s="2661">
        <v>1</v>
      </c>
    </row>
    <row r="21" spans="1:29" ht="15">
      <c r="A21" s="426"/>
      <c r="B21" s="631" t="s">
        <v>2673</v>
      </c>
      <c r="C21" s="2662">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318"/>
      <c r="Q21" s="2930" t="str">
        <f>B21</f>
        <v>基础设施水平</v>
      </c>
      <c r="R21" s="770" t="s">
        <v>17</v>
      </c>
      <c r="S21" s="771">
        <f>F21</f>
        <v>100</v>
      </c>
      <c r="T21" s="770" t="s">
        <v>17</v>
      </c>
      <c r="U21" s="771">
        <f>H21</f>
        <v>100</v>
      </c>
      <c r="V21" s="770" t="s">
        <v>17</v>
      </c>
      <c r="W21" s="771">
        <f>J21</f>
        <v>100</v>
      </c>
      <c r="X21" s="2932"/>
      <c r="Y21" s="3290"/>
      <c r="Z21" s="2933" t="str">
        <f>Q21</f>
        <v>基础设施水平</v>
      </c>
      <c r="AA21" s="2931">
        <f t="shared" ref="AA21" si="8">D21/F21</f>
        <v>1</v>
      </c>
      <c r="AB21" s="2931">
        <f t="shared" ref="AB21" si="9">D21/H21</f>
        <v>1</v>
      </c>
      <c r="AC21" s="2661">
        <f t="shared" ref="AC21" si="10">D21/J21</f>
        <v>1</v>
      </c>
    </row>
    <row r="22" spans="1:29" ht="15">
      <c r="A22" s="426"/>
      <c r="B22" s="631"/>
      <c r="C22" s="2663"/>
      <c r="D22" s="446"/>
      <c r="E22" s="445"/>
      <c r="F22" s="446"/>
      <c r="G22" s="2598"/>
      <c r="H22" s="446"/>
      <c r="I22" s="2598"/>
      <c r="J22" s="446"/>
      <c r="K22" s="1379"/>
      <c r="L22" s="1138"/>
      <c r="M22" s="1129"/>
      <c r="N22" s="1129"/>
      <c r="O22" s="1129"/>
      <c r="P22" s="3318"/>
      <c r="Q22" s="2930"/>
      <c r="R22" s="770"/>
      <c r="S22" s="771"/>
      <c r="T22" s="770"/>
      <c r="U22" s="771"/>
      <c r="V22" s="770"/>
      <c r="W22" s="771"/>
      <c r="X22" s="2932"/>
      <c r="Y22" s="3290"/>
      <c r="Z22" s="2933"/>
      <c r="AA22" s="2931">
        <v>1</v>
      </c>
      <c r="AB22" s="2931">
        <v>1</v>
      </c>
      <c r="AC22" s="2661">
        <v>1</v>
      </c>
    </row>
    <row r="23" spans="1:29" ht="15">
      <c r="A23" s="426"/>
      <c r="B23" s="629" t="s">
        <v>2674</v>
      </c>
      <c r="C23" s="2662">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318"/>
      <c r="Q23" s="2930" t="str">
        <f>B23</f>
        <v>环境质量</v>
      </c>
      <c r="R23" s="770" t="s">
        <v>17</v>
      </c>
      <c r="S23" s="771">
        <f>F23</f>
        <v>100</v>
      </c>
      <c r="T23" s="770" t="s">
        <v>17</v>
      </c>
      <c r="U23" s="771">
        <f>H23</f>
        <v>100</v>
      </c>
      <c r="V23" s="770" t="s">
        <v>17</v>
      </c>
      <c r="W23" s="771">
        <f>J23</f>
        <v>100</v>
      </c>
      <c r="X23" s="2932"/>
      <c r="Y23" s="3290"/>
      <c r="Z23" s="2933" t="str">
        <f>Q23</f>
        <v>环境质量</v>
      </c>
      <c r="AA23" s="2931">
        <f t="shared" si="3"/>
        <v>1</v>
      </c>
      <c r="AB23" s="2931">
        <f t="shared" si="4"/>
        <v>1</v>
      </c>
      <c r="AC23" s="2661">
        <f t="shared" si="5"/>
        <v>1</v>
      </c>
    </row>
    <row r="24" spans="1:29" ht="15">
      <c r="A24" s="426"/>
      <c r="B24" s="631"/>
      <c r="C24" s="2598"/>
      <c r="D24" s="446"/>
      <c r="E24" s="2591"/>
      <c r="F24" s="446"/>
      <c r="G24" s="2592"/>
      <c r="H24" s="446"/>
      <c r="I24" s="2592"/>
      <c r="J24" s="446"/>
      <c r="K24" s="613"/>
      <c r="L24" s="1138"/>
      <c r="M24" s="1129"/>
      <c r="N24" s="1129"/>
      <c r="O24" s="1129"/>
      <c r="P24" s="3318"/>
      <c r="Q24" s="2930"/>
      <c r="R24" s="770"/>
      <c r="S24" s="771"/>
      <c r="T24" s="770"/>
      <c r="U24" s="771"/>
      <c r="V24" s="770"/>
      <c r="W24" s="771"/>
      <c r="X24" s="2932"/>
      <c r="Y24" s="3290"/>
      <c r="Z24" s="2933"/>
      <c r="AA24" s="2931">
        <v>1</v>
      </c>
      <c r="AB24" s="2931">
        <v>1</v>
      </c>
      <c r="AC24" s="2661">
        <v>1</v>
      </c>
    </row>
    <row r="25" spans="1:29" ht="27">
      <c r="A25" s="402"/>
      <c r="B25" s="629" t="s">
        <v>2675</v>
      </c>
      <c r="C25" s="2602"/>
      <c r="D25" s="433">
        <v>100</v>
      </c>
      <c r="E25" s="432"/>
      <c r="F25" s="433">
        <f>SUMIF(87:87,E26,88:88)-SUMIF(87:87,C26,88:88)+100</f>
        <v>100</v>
      </c>
      <c r="G25" s="2602"/>
      <c r="H25" s="433">
        <f>SUMIF(87:87,G26,88:88)-SUMIF(87:87,C26,88:88)+100</f>
        <v>100</v>
      </c>
      <c r="I25" s="432"/>
      <c r="J25" s="433">
        <f>SUMIF(87:87,I26,88:88)-SUMIF(87:87,C26,88:88)+100</f>
        <v>100</v>
      </c>
      <c r="K25" s="612"/>
      <c r="L25" s="1138"/>
      <c r="M25" s="1129"/>
      <c r="N25" s="1129"/>
      <c r="O25" s="1129"/>
      <c r="P25" s="3318"/>
      <c r="Q25" s="2930" t="str">
        <f>B25</f>
        <v>毗邻道路的类型与等级</v>
      </c>
      <c r="R25" s="770" t="s">
        <v>17</v>
      </c>
      <c r="S25" s="771">
        <f>F25</f>
        <v>100</v>
      </c>
      <c r="T25" s="770" t="s">
        <v>17</v>
      </c>
      <c r="U25" s="771">
        <f>H25</f>
        <v>100</v>
      </c>
      <c r="V25" s="770" t="s">
        <v>17</v>
      </c>
      <c r="W25" s="771">
        <f>J25</f>
        <v>100</v>
      </c>
      <c r="X25" s="2932"/>
      <c r="Y25" s="3290"/>
      <c r="Z25" s="2933" t="str">
        <f>Q25</f>
        <v>毗邻道路的类型与等级</v>
      </c>
      <c r="AA25" s="2931">
        <f t="shared" si="3"/>
        <v>1</v>
      </c>
      <c r="AB25" s="2931">
        <f t="shared" si="4"/>
        <v>1</v>
      </c>
      <c r="AC25" s="2661">
        <f t="shared" si="5"/>
        <v>1</v>
      </c>
    </row>
    <row r="26" spans="1:29" ht="15">
      <c r="A26" s="402"/>
      <c r="B26" s="630"/>
      <c r="C26" s="632"/>
      <c r="D26" s="433"/>
      <c r="E26" s="614"/>
      <c r="F26" s="433"/>
      <c r="G26" s="632"/>
      <c r="H26" s="433"/>
      <c r="I26" s="614"/>
      <c r="J26" s="433"/>
      <c r="K26" s="613"/>
      <c r="L26" s="1138"/>
      <c r="M26" s="1129"/>
      <c r="N26" s="1129"/>
      <c r="O26" s="1129"/>
      <c r="P26" s="3318"/>
      <c r="Q26" s="2930"/>
      <c r="R26" s="770"/>
      <c r="S26" s="771"/>
      <c r="T26" s="770"/>
      <c r="U26" s="771"/>
      <c r="V26" s="770"/>
      <c r="W26" s="771"/>
      <c r="X26" s="2932"/>
      <c r="Y26" s="3290"/>
      <c r="Z26" s="2933"/>
      <c r="AA26" s="2931">
        <v>1</v>
      </c>
      <c r="AB26" s="2931">
        <v>1</v>
      </c>
      <c r="AC26" s="2661">
        <v>1</v>
      </c>
    </row>
    <row r="27" spans="1:29" ht="15">
      <c r="A27" s="426"/>
      <c r="B27" s="630" t="s">
        <v>2643</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318"/>
      <c r="Q27" s="2930" t="str">
        <f t="shared" ref="Q27:Q47" si="11">B27</f>
        <v>楼层</v>
      </c>
      <c r="R27" s="770" t="s">
        <v>17</v>
      </c>
      <c r="S27" s="771">
        <f>F27</f>
        <v>100</v>
      </c>
      <c r="T27" s="770" t="s">
        <v>17</v>
      </c>
      <c r="U27" s="771">
        <f>H27</f>
        <v>100</v>
      </c>
      <c r="V27" s="770" t="s">
        <v>17</v>
      </c>
      <c r="W27" s="771">
        <f>J27</f>
        <v>100</v>
      </c>
      <c r="X27" s="2932"/>
      <c r="Y27" s="3290"/>
      <c r="Z27" s="2933" t="str">
        <f>Q27</f>
        <v>楼层</v>
      </c>
      <c r="AA27" s="2931">
        <f t="shared" si="3"/>
        <v>1</v>
      </c>
      <c r="AB27" s="2931">
        <f t="shared" si="4"/>
        <v>1</v>
      </c>
      <c r="AC27" s="2661">
        <f t="shared" si="5"/>
        <v>1</v>
      </c>
    </row>
    <row r="28" spans="1:29" s="116" customFormat="1" ht="15">
      <c r="A28" s="429"/>
      <c r="B28" s="629" t="s">
        <v>2676</v>
      </c>
      <c r="C28" s="2664"/>
      <c r="D28" s="460">
        <v>100</v>
      </c>
      <c r="E28" s="2652"/>
      <c r="F28" s="460">
        <f>SUMIF(91:91,E28,92:92)-SUMIF(91:91,C28,92:92)+100</f>
        <v>100</v>
      </c>
      <c r="G28" s="2664"/>
      <c r="H28" s="460">
        <f>SUMIF(91:91,G28,92:92)-SUMIF(91:91,C28,92:92)+100</f>
        <v>100</v>
      </c>
      <c r="I28" s="2652"/>
      <c r="J28" s="460">
        <f>SUMIF(91:91,I28,92:92)-SUMIF(91:91,C28,92:92)+100</f>
        <v>100</v>
      </c>
      <c r="K28" s="610"/>
      <c r="L28" s="1130"/>
      <c r="M28" s="1131"/>
      <c r="N28" s="1131"/>
      <c r="O28" s="1131"/>
      <c r="P28" s="3318"/>
      <c r="Q28" s="2926" t="str">
        <f t="shared" si="11"/>
        <v>朝向</v>
      </c>
      <c r="R28" s="766" t="s">
        <v>17</v>
      </c>
      <c r="S28" s="767">
        <f>F28</f>
        <v>100</v>
      </c>
      <c r="T28" s="766" t="s">
        <v>17</v>
      </c>
      <c r="U28" s="767">
        <f>H28</f>
        <v>100</v>
      </c>
      <c r="V28" s="766" t="s">
        <v>17</v>
      </c>
      <c r="W28" s="767">
        <f>J28</f>
        <v>100</v>
      </c>
      <c r="X28" s="768"/>
      <c r="Y28" s="3290"/>
      <c r="Z28" s="2927" t="str">
        <f>Q28</f>
        <v>朝向</v>
      </c>
      <c r="AA28" s="2931">
        <f>D28/F28</f>
        <v>1</v>
      </c>
      <c r="AB28" s="2931">
        <f>D28/H28</f>
        <v>1</v>
      </c>
      <c r="AC28" s="2661">
        <f>D28/J28</f>
        <v>1</v>
      </c>
    </row>
    <row r="29" spans="1:29" ht="15">
      <c r="A29" s="426"/>
      <c r="B29" s="2665">
        <v>111</v>
      </c>
      <c r="C29" s="2602"/>
      <c r="D29" s="433">
        <v>100</v>
      </c>
      <c r="E29" s="430"/>
      <c r="F29" s="433">
        <f>SUMIF(93:93,E29,94:94)-SUMIF(93:93,C29,94:94)+100</f>
        <v>100</v>
      </c>
      <c r="G29" s="2659"/>
      <c r="H29" s="433">
        <f>SUMIF(93:93,G29,94:94)-SUMIF(93:93,C29,94:94)+100</f>
        <v>100</v>
      </c>
      <c r="I29" s="430"/>
      <c r="J29" s="433">
        <f>SUMIF(93:93,I29,94:94)-SUMIF(93:93,C29,94:94)+100</f>
        <v>100</v>
      </c>
      <c r="K29" s="611"/>
      <c r="L29" s="1138"/>
      <c r="M29" s="1129"/>
      <c r="N29" s="1129"/>
      <c r="O29" s="1129"/>
      <c r="P29" s="3318"/>
      <c r="Q29" s="2930">
        <f t="shared" si="11"/>
        <v>111</v>
      </c>
      <c r="R29" s="770" t="s">
        <v>17</v>
      </c>
      <c r="S29" s="771">
        <f t="shared" ref="S29:S47" si="12">F29</f>
        <v>100</v>
      </c>
      <c r="T29" s="770" t="s">
        <v>17</v>
      </c>
      <c r="U29" s="771">
        <f t="shared" ref="U29:U47" si="13">H29</f>
        <v>100</v>
      </c>
      <c r="V29" s="770" t="s">
        <v>17</v>
      </c>
      <c r="W29" s="771">
        <f t="shared" ref="W29:W47" si="14">J29</f>
        <v>100</v>
      </c>
      <c r="X29" s="2932"/>
      <c r="Y29" s="3290"/>
      <c r="Z29" s="2933">
        <f t="shared" ref="Z29:Z47" si="15">Q29</f>
        <v>111</v>
      </c>
      <c r="AA29" s="2931">
        <f t="shared" si="3"/>
        <v>1</v>
      </c>
      <c r="AB29" s="2931">
        <f t="shared" si="4"/>
        <v>1</v>
      </c>
      <c r="AC29" s="2661">
        <f t="shared" si="5"/>
        <v>1</v>
      </c>
    </row>
    <row r="30" spans="1:29" ht="15">
      <c r="A30" s="426"/>
      <c r="B30" s="2665">
        <v>111</v>
      </c>
      <c r="C30" s="2602"/>
      <c r="D30" s="433">
        <v>100</v>
      </c>
      <c r="E30" s="430"/>
      <c r="F30" s="433">
        <f>SUMIF(95:95,E30,96:96)-SUMIF(95:95,C30,96:96)+100</f>
        <v>100</v>
      </c>
      <c r="G30" s="2659"/>
      <c r="H30" s="433">
        <f>SUMIF(95:95,G30,96:96)-SUMIF(95:95,C30,96:96)+100</f>
        <v>100</v>
      </c>
      <c r="I30" s="430"/>
      <c r="J30" s="433">
        <f>SUMIF(95:95,I30,96:96)-SUMIF(95:95,C30,96:96)+100</f>
        <v>100</v>
      </c>
      <c r="K30" s="611"/>
      <c r="L30" s="1138"/>
      <c r="M30" s="1129"/>
      <c r="N30" s="1129"/>
      <c r="O30" s="1129"/>
      <c r="P30" s="3318"/>
      <c r="Q30" s="2930">
        <f t="shared" si="11"/>
        <v>111</v>
      </c>
      <c r="R30" s="770" t="s">
        <v>17</v>
      </c>
      <c r="S30" s="771">
        <f t="shared" si="12"/>
        <v>100</v>
      </c>
      <c r="T30" s="770" t="s">
        <v>17</v>
      </c>
      <c r="U30" s="771">
        <f t="shared" si="13"/>
        <v>100</v>
      </c>
      <c r="V30" s="770" t="s">
        <v>17</v>
      </c>
      <c r="W30" s="771">
        <f t="shared" si="14"/>
        <v>100</v>
      </c>
      <c r="X30" s="2932"/>
      <c r="Y30" s="3290"/>
      <c r="Z30" s="2933">
        <f t="shared" si="15"/>
        <v>111</v>
      </c>
      <c r="AA30" s="2931">
        <f t="shared" si="3"/>
        <v>1</v>
      </c>
      <c r="AB30" s="2931">
        <f t="shared" si="4"/>
        <v>1</v>
      </c>
      <c r="AC30" s="2661">
        <f t="shared" si="5"/>
        <v>1</v>
      </c>
    </row>
    <row r="31" spans="1:29" ht="15">
      <c r="A31" s="426"/>
      <c r="B31" s="2665">
        <v>111</v>
      </c>
      <c r="C31" s="2602"/>
      <c r="D31" s="433">
        <v>100</v>
      </c>
      <c r="E31" s="430"/>
      <c r="F31" s="433">
        <f>SUMIF(97:97,E31,98:98)-SUMIF(97:97,C31,98:98)+100</f>
        <v>100</v>
      </c>
      <c r="G31" s="2659"/>
      <c r="H31" s="433">
        <f>SUMIF(97:97,G31,98:98)-SUMIF(97:97,C31,98:98)+100</f>
        <v>100</v>
      </c>
      <c r="I31" s="430"/>
      <c r="J31" s="433">
        <f>SUMIF(97:97,I31,98:98)-SUMIF(97:97,C31,98:98)+100</f>
        <v>100</v>
      </c>
      <c r="K31" s="611"/>
      <c r="L31" s="1138"/>
      <c r="M31" s="1129"/>
      <c r="N31" s="1129"/>
      <c r="O31" s="1129"/>
      <c r="P31" s="3318"/>
      <c r="Q31" s="2930">
        <f t="shared" si="11"/>
        <v>111</v>
      </c>
      <c r="R31" s="770" t="s">
        <v>17</v>
      </c>
      <c r="S31" s="771">
        <f t="shared" si="12"/>
        <v>100</v>
      </c>
      <c r="T31" s="770" t="s">
        <v>17</v>
      </c>
      <c r="U31" s="771">
        <f t="shared" si="13"/>
        <v>100</v>
      </c>
      <c r="V31" s="770" t="s">
        <v>17</v>
      </c>
      <c r="W31" s="771">
        <f t="shared" si="14"/>
        <v>100</v>
      </c>
      <c r="X31" s="2932"/>
      <c r="Y31" s="3290"/>
      <c r="Z31" s="2933">
        <f t="shared" si="15"/>
        <v>111</v>
      </c>
      <c r="AA31" s="2931">
        <f t="shared" si="3"/>
        <v>1</v>
      </c>
      <c r="AB31" s="2931">
        <f t="shared" si="4"/>
        <v>1</v>
      </c>
      <c r="AC31" s="2661">
        <f t="shared" si="5"/>
        <v>1</v>
      </c>
    </row>
    <row r="32" spans="1:29" ht="15.75" thickBot="1">
      <c r="A32" s="434"/>
      <c r="B32" s="633">
        <v>111</v>
      </c>
      <c r="C32" s="2603"/>
      <c r="D32" s="436">
        <v>100</v>
      </c>
      <c r="E32" s="626"/>
      <c r="F32" s="436">
        <f>SUMIF(99:99,E32,100:100)-SUMIF(99:99,C32,100:100)+100</f>
        <v>100</v>
      </c>
      <c r="G32" s="2659"/>
      <c r="H32" s="436">
        <f>SUMIF(99:99,G32,100:100)-SUMIF(99:99,C32,100:100)+100</f>
        <v>100</v>
      </c>
      <c r="I32" s="430"/>
      <c r="J32" s="436">
        <f>SUMIF(99:99,I32,100:100)-SUMIF(99:99,C32,100:100)+100</f>
        <v>100</v>
      </c>
      <c r="K32" s="611"/>
      <c r="L32" s="1138"/>
      <c r="M32" s="1129"/>
      <c r="N32" s="1129"/>
      <c r="O32" s="1129"/>
      <c r="P32" s="3318"/>
      <c r="Q32" s="2930">
        <f t="shared" si="11"/>
        <v>111</v>
      </c>
      <c r="R32" s="770" t="s">
        <v>17</v>
      </c>
      <c r="S32" s="771">
        <f t="shared" si="12"/>
        <v>100</v>
      </c>
      <c r="T32" s="770" t="s">
        <v>17</v>
      </c>
      <c r="U32" s="771">
        <f t="shared" si="13"/>
        <v>100</v>
      </c>
      <c r="V32" s="770" t="s">
        <v>17</v>
      </c>
      <c r="W32" s="771">
        <f t="shared" si="14"/>
        <v>100</v>
      </c>
      <c r="X32" s="2932"/>
      <c r="Y32" s="3290"/>
      <c r="Z32" s="2933">
        <f t="shared" si="15"/>
        <v>111</v>
      </c>
      <c r="AA32" s="2931">
        <f t="shared" si="3"/>
        <v>1</v>
      </c>
      <c r="AB32" s="2931">
        <f t="shared" si="4"/>
        <v>1</v>
      </c>
      <c r="AC32" s="2661">
        <f t="shared" si="5"/>
        <v>1</v>
      </c>
    </row>
    <row r="33" spans="1:29" ht="15">
      <c r="A33" s="438" t="s">
        <v>2547</v>
      </c>
      <c r="B33" s="71" t="s">
        <v>2677</v>
      </c>
      <c r="C33" s="2666"/>
      <c r="D33" s="465">
        <v>100</v>
      </c>
      <c r="E33" s="2666"/>
      <c r="F33" s="459">
        <f>SUMIF(101:101,E33,102:102)-SUMIF(101:101,C33,102:102)+100</f>
        <v>100</v>
      </c>
      <c r="G33" s="2666"/>
      <c r="H33" s="433">
        <f>SUMIF(101:101,G33,102:102)-SUMIF(101:101,C33,102:102)+100</f>
        <v>100</v>
      </c>
      <c r="I33" s="2666"/>
      <c r="J33" s="465">
        <f>SUMIF(101:101,I33,102:102)-SUMIF(101:101,C33,102:102)+100</f>
        <v>100</v>
      </c>
      <c r="K33" s="610"/>
      <c r="L33" s="1138"/>
      <c r="M33" s="1129"/>
      <c r="N33" s="1129"/>
      <c r="O33" s="1129"/>
      <c r="P33" s="3319" t="s">
        <v>2549</v>
      </c>
      <c r="Q33" s="2930" t="str">
        <f t="shared" si="11"/>
        <v>建筑类型</v>
      </c>
      <c r="R33" s="770" t="s">
        <v>17</v>
      </c>
      <c r="S33" s="771">
        <f t="shared" si="12"/>
        <v>100</v>
      </c>
      <c r="T33" s="770" t="s">
        <v>17</v>
      </c>
      <c r="U33" s="771">
        <f t="shared" si="13"/>
        <v>100</v>
      </c>
      <c r="V33" s="770" t="s">
        <v>17</v>
      </c>
      <c r="W33" s="771">
        <f t="shared" si="14"/>
        <v>100</v>
      </c>
      <c r="X33" s="2932"/>
      <c r="Y33" s="3292" t="s">
        <v>2549</v>
      </c>
      <c r="Z33" s="2933" t="str">
        <f t="shared" si="15"/>
        <v>建筑类型</v>
      </c>
      <c r="AA33" s="2931">
        <f t="shared" si="3"/>
        <v>1</v>
      </c>
      <c r="AB33" s="2931">
        <f t="shared" si="4"/>
        <v>1</v>
      </c>
      <c r="AC33" s="2661">
        <f t="shared" si="5"/>
        <v>1</v>
      </c>
    </row>
    <row r="34" spans="1:29" s="469" customFormat="1" ht="15">
      <c r="A34" s="466"/>
      <c r="B34" s="2928" t="s">
        <v>2550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6"/>
      <c r="M34" s="1139"/>
      <c r="N34" s="1139"/>
      <c r="O34" s="1139"/>
      <c r="P34" s="3320"/>
      <c r="Q34" s="772" t="str">
        <f t="shared" si="11"/>
        <v>项目建筑规模</v>
      </c>
      <c r="R34" s="773" t="s">
        <v>17</v>
      </c>
      <c r="S34" s="774" t="e">
        <f t="shared" si="12"/>
        <v>#N/A</v>
      </c>
      <c r="T34" s="773" t="s">
        <v>17</v>
      </c>
      <c r="U34" s="774" t="e">
        <f t="shared" si="13"/>
        <v>#N/A</v>
      </c>
      <c r="V34" s="773" t="s">
        <v>17</v>
      </c>
      <c r="W34" s="774" t="e">
        <f t="shared" si="14"/>
        <v>#N/A</v>
      </c>
      <c r="X34" s="775"/>
      <c r="Y34" s="3292"/>
      <c r="Z34" s="776" t="str">
        <f t="shared" si="15"/>
        <v>项目建筑规模</v>
      </c>
      <c r="AA34" s="2931" t="e">
        <f t="shared" si="3"/>
        <v>#N/A</v>
      </c>
      <c r="AB34" s="2931" t="e">
        <f t="shared" si="4"/>
        <v>#N/A</v>
      </c>
      <c r="AC34" s="2661" t="e">
        <f t="shared" si="5"/>
        <v>#N/A</v>
      </c>
    </row>
    <row r="35" spans="1:29" ht="15">
      <c r="A35" s="470"/>
      <c r="B35" s="2928" t="s">
        <v>2551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320"/>
      <c r="Q35" s="2930" t="str">
        <f t="shared" si="11"/>
        <v>建筑结构</v>
      </c>
      <c r="R35" s="770" t="s">
        <v>17</v>
      </c>
      <c r="S35" s="771">
        <f t="shared" si="12"/>
        <v>100</v>
      </c>
      <c r="T35" s="770" t="s">
        <v>17</v>
      </c>
      <c r="U35" s="771">
        <f t="shared" si="13"/>
        <v>100</v>
      </c>
      <c r="V35" s="770" t="s">
        <v>17</v>
      </c>
      <c r="W35" s="771">
        <f t="shared" si="14"/>
        <v>100</v>
      </c>
      <c r="X35" s="2932"/>
      <c r="Y35" s="3292"/>
      <c r="Z35" s="2933" t="str">
        <f t="shared" si="15"/>
        <v>建筑结构</v>
      </c>
      <c r="AA35" s="2931">
        <f t="shared" si="3"/>
        <v>1</v>
      </c>
      <c r="AB35" s="2931">
        <f t="shared" si="4"/>
        <v>1</v>
      </c>
      <c r="AC35" s="2661">
        <f t="shared" si="5"/>
        <v>1</v>
      </c>
    </row>
    <row r="36" spans="1:29" ht="15">
      <c r="A36" s="470"/>
      <c r="B36" s="2928" t="s">
        <v>2645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320"/>
      <c r="Q36" s="2930" t="str">
        <f t="shared" si="11"/>
        <v>公共部分装修</v>
      </c>
      <c r="R36" s="770" t="s">
        <v>17</v>
      </c>
      <c r="S36" s="771">
        <f t="shared" si="12"/>
        <v>100</v>
      </c>
      <c r="T36" s="770" t="s">
        <v>17</v>
      </c>
      <c r="U36" s="771">
        <f t="shared" si="13"/>
        <v>100</v>
      </c>
      <c r="V36" s="770" t="s">
        <v>17</v>
      </c>
      <c r="W36" s="771">
        <f t="shared" si="14"/>
        <v>100</v>
      </c>
      <c r="X36" s="2932"/>
      <c r="Y36" s="3292"/>
      <c r="Z36" s="2933" t="str">
        <f t="shared" si="15"/>
        <v>公共部分装修</v>
      </c>
      <c r="AA36" s="2931">
        <f t="shared" si="3"/>
        <v>1</v>
      </c>
      <c r="AB36" s="2931">
        <f t="shared" si="4"/>
        <v>1</v>
      </c>
      <c r="AC36" s="2661">
        <f t="shared" si="5"/>
        <v>1</v>
      </c>
    </row>
    <row r="37" spans="1:29" ht="15">
      <c r="A37" s="470"/>
      <c r="B37" s="2928" t="s">
        <v>2646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8"/>
      <c r="M37" s="1129"/>
      <c r="N37" s="1129"/>
      <c r="O37" s="1129"/>
      <c r="P37" s="3320"/>
      <c r="Q37" s="2930" t="str">
        <f t="shared" si="11"/>
        <v>成新度</v>
      </c>
      <c r="R37" s="770" t="s">
        <v>17</v>
      </c>
      <c r="S37" s="771" t="e">
        <f t="shared" si="12"/>
        <v>#N/A</v>
      </c>
      <c r="T37" s="770" t="s">
        <v>17</v>
      </c>
      <c r="U37" s="771" t="e">
        <f t="shared" si="13"/>
        <v>#N/A</v>
      </c>
      <c r="V37" s="770" t="s">
        <v>17</v>
      </c>
      <c r="W37" s="771" t="e">
        <f t="shared" si="14"/>
        <v>#N/A</v>
      </c>
      <c r="X37" s="2932"/>
      <c r="Y37" s="3292"/>
      <c r="Z37" s="2933" t="str">
        <f t="shared" si="15"/>
        <v>成新度</v>
      </c>
      <c r="AA37" s="2931" t="e">
        <f t="shared" si="3"/>
        <v>#N/A</v>
      </c>
      <c r="AB37" s="2931" t="e">
        <f t="shared" si="4"/>
        <v>#N/A</v>
      </c>
      <c r="AC37" s="2661" t="e">
        <f t="shared" si="5"/>
        <v>#N/A</v>
      </c>
    </row>
    <row r="38" spans="1:29" s="116" customFormat="1" ht="15">
      <c r="A38" s="471"/>
      <c r="B38" s="2928" t="s">
        <v>2678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320"/>
      <c r="Q38" s="2926" t="str">
        <f t="shared" si="11"/>
        <v>写字楼等级</v>
      </c>
      <c r="R38" s="766" t="s">
        <v>17</v>
      </c>
      <c r="S38" s="767">
        <f t="shared" si="12"/>
        <v>100</v>
      </c>
      <c r="T38" s="766" t="s">
        <v>17</v>
      </c>
      <c r="U38" s="767">
        <f t="shared" si="13"/>
        <v>100</v>
      </c>
      <c r="V38" s="766" t="s">
        <v>17</v>
      </c>
      <c r="W38" s="767">
        <f t="shared" si="14"/>
        <v>100</v>
      </c>
      <c r="X38" s="768"/>
      <c r="Y38" s="3292"/>
      <c r="Z38" s="2927" t="str">
        <f t="shared" si="15"/>
        <v>写字楼等级</v>
      </c>
      <c r="AA38" s="769">
        <f t="shared" si="3"/>
        <v>1</v>
      </c>
      <c r="AB38" s="769">
        <f t="shared" si="4"/>
        <v>1</v>
      </c>
      <c r="AC38" s="2658">
        <f t="shared" si="5"/>
        <v>1</v>
      </c>
    </row>
    <row r="39" spans="1:29" ht="15">
      <c r="A39" s="470"/>
      <c r="B39" s="2928" t="s">
        <v>2679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320" t="s">
        <v>2549</v>
      </c>
      <c r="Q39" s="2930" t="str">
        <f t="shared" si="11"/>
        <v>物业管理</v>
      </c>
      <c r="R39" s="770" t="s">
        <v>17</v>
      </c>
      <c r="S39" s="771">
        <f t="shared" si="12"/>
        <v>100</v>
      </c>
      <c r="T39" s="770" t="s">
        <v>17</v>
      </c>
      <c r="U39" s="771">
        <f t="shared" si="13"/>
        <v>100</v>
      </c>
      <c r="V39" s="770" t="s">
        <v>17</v>
      </c>
      <c r="W39" s="771">
        <f t="shared" si="14"/>
        <v>100</v>
      </c>
      <c r="X39" s="2932"/>
      <c r="Y39" s="3292" t="s">
        <v>2549</v>
      </c>
      <c r="Z39" s="2933" t="str">
        <f t="shared" si="15"/>
        <v>物业管理</v>
      </c>
      <c r="AA39" s="2931">
        <f t="shared" si="3"/>
        <v>1</v>
      </c>
      <c r="AB39" s="2931">
        <f t="shared" si="4"/>
        <v>1</v>
      </c>
      <c r="AC39" s="2661">
        <f t="shared" si="5"/>
        <v>1</v>
      </c>
    </row>
    <row r="40" spans="1:29" ht="15">
      <c r="A40" s="470"/>
      <c r="B40" s="2928" t="s">
        <v>2647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320"/>
      <c r="Q40" s="2930" t="str">
        <f t="shared" si="11"/>
        <v>市政基础设施</v>
      </c>
      <c r="R40" s="770" t="s">
        <v>17</v>
      </c>
      <c r="S40" s="771">
        <f t="shared" si="12"/>
        <v>100</v>
      </c>
      <c r="T40" s="770" t="s">
        <v>17</v>
      </c>
      <c r="U40" s="771">
        <f t="shared" si="13"/>
        <v>100</v>
      </c>
      <c r="V40" s="770" t="s">
        <v>17</v>
      </c>
      <c r="W40" s="771">
        <f t="shared" si="14"/>
        <v>100</v>
      </c>
      <c r="X40" s="2932"/>
      <c r="Y40" s="3292"/>
      <c r="Z40" s="2933" t="str">
        <f t="shared" si="15"/>
        <v>市政基础设施</v>
      </c>
      <c r="AA40" s="2931">
        <f t="shared" si="3"/>
        <v>1</v>
      </c>
      <c r="AB40" s="2931">
        <f t="shared" si="4"/>
        <v>1</v>
      </c>
      <c r="AC40" s="2661">
        <f t="shared" si="5"/>
        <v>1</v>
      </c>
    </row>
    <row r="41" spans="1:29" ht="15">
      <c r="A41" s="470"/>
      <c r="B41" s="2928" t="s">
        <v>2649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320"/>
      <c r="Q41" s="2930" t="str">
        <f t="shared" si="11"/>
        <v>层高</v>
      </c>
      <c r="R41" s="770" t="s">
        <v>17</v>
      </c>
      <c r="S41" s="771">
        <f t="shared" si="12"/>
        <v>100</v>
      </c>
      <c r="T41" s="770" t="s">
        <v>17</v>
      </c>
      <c r="U41" s="771">
        <f t="shared" si="13"/>
        <v>100</v>
      </c>
      <c r="V41" s="770" t="s">
        <v>17</v>
      </c>
      <c r="W41" s="771">
        <f t="shared" si="14"/>
        <v>100</v>
      </c>
      <c r="X41" s="2932"/>
      <c r="Y41" s="3292"/>
      <c r="Z41" s="2933" t="str">
        <f t="shared" si="15"/>
        <v>层高</v>
      </c>
      <c r="AA41" s="2931">
        <f t="shared" si="3"/>
        <v>1</v>
      </c>
      <c r="AB41" s="2931">
        <f t="shared" si="4"/>
        <v>1</v>
      </c>
      <c r="AC41" s="2661">
        <f t="shared" si="5"/>
        <v>1</v>
      </c>
    </row>
    <row r="42" spans="1:29" s="469" customFormat="1" ht="15">
      <c r="A42" s="466"/>
      <c r="B42" s="2929" t="s">
        <v>2680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320"/>
      <c r="Q42" s="772" t="str">
        <f t="shared" si="11"/>
        <v>单套建筑面积</v>
      </c>
      <c r="R42" s="773" t="s">
        <v>17</v>
      </c>
      <c r="S42" s="774">
        <f t="shared" si="12"/>
        <v>100</v>
      </c>
      <c r="T42" s="773" t="s">
        <v>17</v>
      </c>
      <c r="U42" s="774">
        <f t="shared" si="13"/>
        <v>100</v>
      </c>
      <c r="V42" s="773" t="s">
        <v>17</v>
      </c>
      <c r="W42" s="774">
        <f t="shared" si="14"/>
        <v>100</v>
      </c>
      <c r="X42" s="775"/>
      <c r="Y42" s="3292"/>
      <c r="Z42" s="776" t="str">
        <f t="shared" si="15"/>
        <v>单套建筑面积</v>
      </c>
      <c r="AA42" s="2931">
        <f t="shared" si="3"/>
        <v>1</v>
      </c>
      <c r="AB42" s="2931">
        <f t="shared" si="4"/>
        <v>1</v>
      </c>
      <c r="AC42" s="2661">
        <f t="shared" si="5"/>
        <v>1</v>
      </c>
    </row>
    <row r="43" spans="1:29" ht="15">
      <c r="A43" s="470"/>
      <c r="B43" s="2928" t="s">
        <v>2652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320"/>
      <c r="Q43" s="2930" t="str">
        <f t="shared" si="11"/>
        <v>内部装修</v>
      </c>
      <c r="R43" s="770" t="s">
        <v>17</v>
      </c>
      <c r="S43" s="771">
        <f t="shared" si="12"/>
        <v>100</v>
      </c>
      <c r="T43" s="770" t="s">
        <v>17</v>
      </c>
      <c r="U43" s="771">
        <f t="shared" si="13"/>
        <v>100</v>
      </c>
      <c r="V43" s="770" t="s">
        <v>17</v>
      </c>
      <c r="W43" s="771">
        <f t="shared" si="14"/>
        <v>100</v>
      </c>
      <c r="X43" s="2932"/>
      <c r="Y43" s="3292"/>
      <c r="Z43" s="2933" t="str">
        <f t="shared" si="15"/>
        <v>内部装修</v>
      </c>
      <c r="AA43" s="2931">
        <f t="shared" si="3"/>
        <v>1</v>
      </c>
      <c r="AB43" s="2931">
        <f t="shared" si="4"/>
        <v>1</v>
      </c>
      <c r="AC43" s="2661">
        <f t="shared" si="5"/>
        <v>1</v>
      </c>
    </row>
    <row r="44" spans="1:29" ht="15">
      <c r="A44" s="470"/>
      <c r="B44" s="2928" t="s">
        <v>2560</v>
      </c>
      <c r="C44" s="458"/>
      <c r="D44" s="433">
        <v>100</v>
      </c>
      <c r="E44" s="2600"/>
      <c r="F44" s="459">
        <f>SUMIF(125:125,E44,126:126)-SUMIF(125:125,C44,126:126)+100</f>
        <v>100</v>
      </c>
      <c r="G44" s="2600"/>
      <c r="H44" s="433">
        <f>SUMIF(125:125,G44,126:126)-SUMIF(125:125,C44,126:126)+100</f>
        <v>100</v>
      </c>
      <c r="I44" s="2600"/>
      <c r="J44" s="433">
        <f>SUMIF(125:125,I44,126:126)-SUMIF(125:125,C44,126:126)+100</f>
        <v>100</v>
      </c>
      <c r="K44" s="610"/>
      <c r="L44" s="1138"/>
      <c r="M44" s="1129"/>
      <c r="N44" s="1129"/>
      <c r="O44" s="1129"/>
      <c r="P44" s="3320"/>
      <c r="Q44" s="2930" t="str">
        <f t="shared" si="11"/>
        <v>内部装修维护情况</v>
      </c>
      <c r="R44" s="770" t="s">
        <v>17</v>
      </c>
      <c r="S44" s="771">
        <f t="shared" si="12"/>
        <v>100</v>
      </c>
      <c r="T44" s="770" t="s">
        <v>17</v>
      </c>
      <c r="U44" s="771">
        <f t="shared" si="13"/>
        <v>100</v>
      </c>
      <c r="V44" s="770" t="s">
        <v>17</v>
      </c>
      <c r="W44" s="771">
        <f t="shared" si="14"/>
        <v>100</v>
      </c>
      <c r="X44" s="2932"/>
      <c r="Y44" s="3292"/>
      <c r="Z44" s="2933" t="str">
        <f t="shared" si="15"/>
        <v>内部装修维护情况</v>
      </c>
      <c r="AA44" s="2931">
        <f t="shared" si="3"/>
        <v>1</v>
      </c>
      <c r="AB44" s="2931">
        <f t="shared" si="4"/>
        <v>1</v>
      </c>
      <c r="AC44" s="2661">
        <f t="shared" si="5"/>
        <v>1</v>
      </c>
    </row>
    <row r="45" spans="1:29" s="116"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0"/>
      <c r="M45" s="1131"/>
      <c r="N45" s="1131"/>
      <c r="O45" s="1131"/>
      <c r="P45" s="3320"/>
      <c r="Q45" s="2926">
        <f t="shared" si="11"/>
        <v>111</v>
      </c>
      <c r="R45" s="766" t="s">
        <v>17</v>
      </c>
      <c r="S45" s="767">
        <f t="shared" si="12"/>
        <v>100</v>
      </c>
      <c r="T45" s="766" t="s">
        <v>17</v>
      </c>
      <c r="U45" s="767">
        <f t="shared" si="13"/>
        <v>100</v>
      </c>
      <c r="V45" s="766" t="s">
        <v>17</v>
      </c>
      <c r="W45" s="767">
        <f t="shared" si="14"/>
        <v>100</v>
      </c>
      <c r="X45" s="768"/>
      <c r="Y45" s="3292"/>
      <c r="Z45" s="2927">
        <f t="shared" si="15"/>
        <v>111</v>
      </c>
      <c r="AA45" s="769">
        <f t="shared" si="3"/>
        <v>1</v>
      </c>
      <c r="AB45" s="769">
        <f t="shared" si="4"/>
        <v>1</v>
      </c>
      <c r="AC45" s="2658">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320"/>
      <c r="Q46" s="2930">
        <f t="shared" si="11"/>
        <v>111</v>
      </c>
      <c r="R46" s="770" t="s">
        <v>17</v>
      </c>
      <c r="S46" s="771">
        <f t="shared" si="12"/>
        <v>100</v>
      </c>
      <c r="T46" s="770" t="s">
        <v>17</v>
      </c>
      <c r="U46" s="771">
        <f t="shared" si="13"/>
        <v>100</v>
      </c>
      <c r="V46" s="770" t="s">
        <v>17</v>
      </c>
      <c r="W46" s="771">
        <f t="shared" si="14"/>
        <v>100</v>
      </c>
      <c r="X46" s="2932"/>
      <c r="Y46" s="3292"/>
      <c r="Z46" s="2933">
        <f t="shared" si="15"/>
        <v>111</v>
      </c>
      <c r="AA46" s="2931">
        <f t="shared" si="3"/>
        <v>1</v>
      </c>
      <c r="AB46" s="2931">
        <f t="shared" si="4"/>
        <v>1</v>
      </c>
      <c r="AC46" s="2661">
        <f t="shared" si="5"/>
        <v>1</v>
      </c>
    </row>
    <row r="47" spans="1:29" ht="15.75" thickBot="1">
      <c r="A47" s="476"/>
      <c r="B47" s="258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321"/>
      <c r="Q47" s="2930">
        <f t="shared" si="11"/>
        <v>111</v>
      </c>
      <c r="R47" s="770" t="s">
        <v>17</v>
      </c>
      <c r="S47" s="771">
        <f t="shared" si="12"/>
        <v>100</v>
      </c>
      <c r="T47" s="770" t="s">
        <v>17</v>
      </c>
      <c r="U47" s="771">
        <f t="shared" si="13"/>
        <v>100</v>
      </c>
      <c r="V47" s="770" t="s">
        <v>17</v>
      </c>
      <c r="W47" s="771">
        <f t="shared" si="14"/>
        <v>100</v>
      </c>
      <c r="X47" s="2932"/>
      <c r="Y47" s="3300"/>
      <c r="Z47" s="2933">
        <f t="shared" si="15"/>
        <v>111</v>
      </c>
      <c r="AA47" s="2931">
        <f t="shared" si="3"/>
        <v>1</v>
      </c>
      <c r="AB47" s="2931">
        <f t="shared" si="4"/>
        <v>1</v>
      </c>
      <c r="AC47" s="2661">
        <f t="shared" si="5"/>
        <v>1</v>
      </c>
    </row>
    <row r="48" spans="1:29" ht="15">
      <c r="A48" s="477" t="s">
        <v>2561</v>
      </c>
      <c r="B48" s="478"/>
      <c r="C48" s="1403" t="s">
        <v>1</v>
      </c>
      <c r="D48" s="1404"/>
      <c r="E48" s="1405"/>
      <c r="F48" s="1406"/>
      <c r="G48" s="1407"/>
      <c r="H48" s="1408"/>
      <c r="I48" s="1405"/>
      <c r="J48" s="483"/>
      <c r="K48" s="779"/>
      <c r="L48" s="1141"/>
      <c r="M48" s="1129"/>
      <c r="N48" s="1129"/>
      <c r="O48" s="1129"/>
      <c r="P48" s="3298" t="str">
        <f>A48</f>
        <v>成交单价（元/平方米）</v>
      </c>
      <c r="Q48" s="3274"/>
      <c r="R48" s="3301">
        <f>E48</f>
        <v>0</v>
      </c>
      <c r="S48" s="3301"/>
      <c r="T48" s="3301">
        <f>G48</f>
        <v>0</v>
      </c>
      <c r="U48" s="3301"/>
      <c r="V48" s="3301">
        <f>I48</f>
        <v>0</v>
      </c>
      <c r="W48" s="3301"/>
      <c r="X48" s="444"/>
      <c r="Y48" s="777"/>
      <c r="Z48" s="444"/>
      <c r="AA48" s="444"/>
      <c r="AB48" s="444"/>
      <c r="AC48" s="628"/>
    </row>
    <row r="49" spans="1:29" ht="15.75" thickBot="1">
      <c r="A49" s="484" t="s">
        <v>2562</v>
      </c>
      <c r="B49" s="485"/>
      <c r="C49" s="1409" t="e">
        <f>R50</f>
        <v>#DIV/0!</v>
      </c>
      <c r="D49" s="1410"/>
      <c r="E49" s="1411" t="e">
        <f>R49</f>
        <v>#DIV/0!</v>
      </c>
      <c r="F49" s="1411"/>
      <c r="G49" s="1409" t="e">
        <f>T49</f>
        <v>#DIV/0!</v>
      </c>
      <c r="H49" s="1410"/>
      <c r="I49" s="1411" t="e">
        <f>V49</f>
        <v>#DIV/0!</v>
      </c>
      <c r="J49" s="487"/>
      <c r="K49" s="780"/>
      <c r="L49" s="1141"/>
      <c r="M49" s="1129"/>
      <c r="N49" s="1129"/>
      <c r="O49" s="1129"/>
      <c r="P49" s="3298" t="str">
        <f>A49</f>
        <v>比较价值（元/平方米）</v>
      </c>
      <c r="Q49" s="3274"/>
      <c r="R49" s="3301" t="e">
        <f>IF(F1="售价",ROUND(PRODUCT(R48,AA7:AA47),0),ROUND(PRODUCT(R48,AA7:AA47),1))</f>
        <v>#DIV/0!</v>
      </c>
      <c r="S49" s="3301"/>
      <c r="T49" s="3301" t="e">
        <f>IF(F1="售价",ROUND(PRODUCT(T48,AB7:AB47),0),ROUND(PRODUCT(T48,AB7:AB47),1))</f>
        <v>#DIV/0!</v>
      </c>
      <c r="U49" s="3301"/>
      <c r="V49" s="3301" t="e">
        <f>IF(F1="售价",ROUND(PRODUCT(V48,AC7:AC47),0),ROUND(PRODUCT(V48,AC7:AC47),1))</f>
        <v>#DIV/0!</v>
      </c>
      <c r="W49" s="3301"/>
      <c r="X49" s="444"/>
      <c r="Y49" s="444"/>
      <c r="Z49" s="444"/>
      <c r="AA49" s="444"/>
      <c r="AB49" s="444"/>
      <c r="AC49" s="628"/>
    </row>
    <row r="50" spans="1:29" ht="15.75" thickBot="1">
      <c r="A50" s="490" t="s">
        <v>2563</v>
      </c>
      <c r="B50" s="491"/>
      <c r="C50" s="1413" t="e">
        <f>R50</f>
        <v>#DIV/0!</v>
      </c>
      <c r="D50" s="1413"/>
      <c r="E50" s="1413"/>
      <c r="F50" s="1413"/>
      <c r="G50" s="1413"/>
      <c r="H50" s="1413"/>
      <c r="I50" s="1413"/>
      <c r="J50" s="492"/>
      <c r="K50" s="781"/>
      <c r="L50" s="1141"/>
      <c r="M50" s="1129"/>
      <c r="N50" s="1129"/>
      <c r="O50" s="1129"/>
      <c r="P50" s="3322" t="str">
        <f>A50</f>
        <v>估价对象XX用房的比较价值（楼面单价，元/平方米）</v>
      </c>
      <c r="Q50" s="3323"/>
      <c r="R50" s="3324" t="e">
        <f>IF(F1="售价",ROUND(AVERAGE(R49:V49),0),ROUND(AVERAGE(R49:V49),1))</f>
        <v>#DIV/0!</v>
      </c>
      <c r="S50" s="3324"/>
      <c r="T50" s="3324"/>
      <c r="U50" s="3324"/>
      <c r="V50" s="3324"/>
      <c r="W50" s="3324"/>
      <c r="X50" s="2641"/>
      <c r="Y50" s="2641"/>
      <c r="Z50" s="2641"/>
      <c r="AA50" s="2641"/>
      <c r="AB50" s="2641"/>
      <c r="AC50" s="264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2564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3"/>
      <c r="L53" s="1104"/>
      <c r="M53" s="1142"/>
      <c r="N53" s="1142"/>
      <c r="O53" s="1142"/>
    </row>
    <row r="54" spans="1:29" ht="13.5" customHeight="1">
      <c r="A54" s="1142"/>
      <c r="B54" s="1142"/>
      <c r="C54" s="495" t="s">
        <v>2565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3"/>
      <c r="L54" s="1104"/>
      <c r="M54" s="1142"/>
      <c r="N54" s="1142"/>
      <c r="O54" s="1142"/>
    </row>
    <row r="55" spans="1:29" s="500" customFormat="1" ht="13.5" customHeight="1">
      <c r="A55" s="1143"/>
      <c r="B55" s="1143"/>
      <c r="C55" s="495" t="s">
        <v>2566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6"/>
      <c r="L55" s="1147"/>
      <c r="M55" s="1143"/>
      <c r="N55" s="1143"/>
      <c r="O55" s="1143"/>
      <c r="P55" s="2667"/>
    </row>
    <row r="56" spans="1:29" s="500" customFormat="1">
      <c r="A56" s="1143"/>
      <c r="B56" s="1144"/>
      <c r="C56" s="1148"/>
      <c r="D56" s="1143"/>
      <c r="E56" s="1143"/>
      <c r="F56" s="1143"/>
      <c r="G56" s="1143"/>
      <c r="H56" s="1143"/>
      <c r="I56" s="1143"/>
      <c r="J56" s="1143"/>
      <c r="K56" s="1146"/>
      <c r="L56" s="1147"/>
      <c r="M56" s="1143"/>
      <c r="N56" s="1143"/>
      <c r="O56" s="1143"/>
      <c r="P56" s="2667"/>
    </row>
    <row r="57" spans="1:29">
      <c r="A57" s="1142"/>
      <c r="B57" s="1144"/>
      <c r="C57" s="1148"/>
      <c r="D57" s="1142"/>
      <c r="E57" s="1142"/>
      <c r="F57" s="1142"/>
      <c r="G57" s="1142"/>
      <c r="H57" s="1142"/>
      <c r="I57" s="1142"/>
      <c r="J57" s="1142"/>
      <c r="K57" s="1103"/>
      <c r="L57" s="1104"/>
      <c r="M57" s="1142"/>
      <c r="N57" s="1142"/>
      <c r="O57" s="1142"/>
    </row>
    <row r="58" spans="1:29" ht="21.75" thickBot="1">
      <c r="A58" s="759" t="s">
        <v>2567</v>
      </c>
      <c r="B58" s="755"/>
      <c r="C58" s="760"/>
      <c r="D58" s="760"/>
      <c r="E58" s="760"/>
      <c r="F58" s="761"/>
      <c r="G58" s="761"/>
      <c r="H58" s="760"/>
      <c r="I58" s="760"/>
      <c r="J58" s="760"/>
      <c r="K58" s="762"/>
      <c r="L58" s="1159"/>
      <c r="M58" s="1157"/>
      <c r="N58" s="1157"/>
      <c r="O58" s="1157"/>
      <c r="P58" s="2668"/>
      <c r="Q58" s="502"/>
    </row>
    <row r="59" spans="1:29" s="506" customFormat="1" ht="15">
      <c r="A59" s="503" t="s">
        <v>2532</v>
      </c>
      <c r="B59" s="504"/>
      <c r="C59" s="1569" t="str">
        <f>YEAR(C7)&amp;"-"&amp;MONTH(C7)</f>
        <v>2018-4</v>
      </c>
      <c r="D59" s="1570">
        <f>EDATE(C59,-1)</f>
        <v>43160</v>
      </c>
      <c r="E59" s="1570">
        <f>EDATE(D59,-1)</f>
        <v>43132</v>
      </c>
      <c r="F59" s="1570">
        <f t="shared" ref="F59:O59" si="16">EDATE(E59,-1)</f>
        <v>43101</v>
      </c>
      <c r="G59" s="1570">
        <f t="shared" si="16"/>
        <v>43070</v>
      </c>
      <c r="H59" s="1570">
        <f t="shared" si="16"/>
        <v>43040</v>
      </c>
      <c r="I59" s="1570">
        <f t="shared" si="16"/>
        <v>43009</v>
      </c>
      <c r="J59" s="1570">
        <f t="shared" si="16"/>
        <v>42979</v>
      </c>
      <c r="K59" s="1570">
        <f t="shared" si="16"/>
        <v>42948</v>
      </c>
      <c r="L59" s="1570">
        <f t="shared" si="16"/>
        <v>42917</v>
      </c>
      <c r="M59" s="1570">
        <f t="shared" si="16"/>
        <v>42887</v>
      </c>
      <c r="N59" s="1570">
        <f t="shared" si="16"/>
        <v>42856</v>
      </c>
      <c r="O59" s="1570">
        <f t="shared" si="16"/>
        <v>42826</v>
      </c>
      <c r="P59" s="1566"/>
    </row>
    <row r="60" spans="1:29" s="116" customFormat="1" ht="15">
      <c r="A60" s="507"/>
      <c r="B60" s="508"/>
      <c r="C60" s="1568">
        <v>100</v>
      </c>
      <c r="D60" s="510"/>
      <c r="E60" s="510"/>
      <c r="F60" s="510"/>
      <c r="G60" s="510"/>
      <c r="H60" s="510"/>
      <c r="I60" s="510"/>
      <c r="J60" s="510"/>
      <c r="K60" s="510"/>
      <c r="L60" s="510"/>
      <c r="M60" s="511"/>
      <c r="N60" s="510"/>
      <c r="O60" s="511"/>
      <c r="P60" s="2669"/>
    </row>
    <row r="61" spans="1:29" s="116" customFormat="1" ht="15.75" thickBot="1">
      <c r="A61" s="513" t="s">
        <v>2569</v>
      </c>
      <c r="B61" s="514"/>
      <c r="C61" s="515"/>
      <c r="D61" s="516"/>
      <c r="E61" s="516"/>
      <c r="F61" s="516"/>
      <c r="G61" s="516"/>
      <c r="H61" s="516"/>
      <c r="I61" s="516"/>
      <c r="J61" s="516"/>
      <c r="K61" s="516"/>
      <c r="L61" s="516"/>
      <c r="M61" s="517"/>
      <c r="N61" s="516"/>
      <c r="O61" s="517"/>
      <c r="P61" s="2669"/>
      <c r="Q61" s="502"/>
    </row>
    <row r="62" spans="1:29" s="116" customFormat="1" ht="15">
      <c r="A62" s="519" t="s">
        <v>2534</v>
      </c>
      <c r="B62" s="508"/>
      <c r="C62" s="520" t="s">
        <v>2571</v>
      </c>
      <c r="D62" s="521"/>
      <c r="E62" s="521"/>
      <c r="F62" s="521"/>
      <c r="G62" s="521"/>
      <c r="H62" s="521"/>
      <c r="I62" s="521"/>
      <c r="J62" s="521"/>
      <c r="K62" s="521"/>
      <c r="L62" s="522"/>
      <c r="M62" s="523"/>
      <c r="N62" s="1149"/>
      <c r="O62" s="1149"/>
      <c r="P62" s="2670"/>
      <c r="Q62" s="502"/>
    </row>
    <row r="63" spans="1:29" s="116" customFormat="1" ht="15.75" thickBot="1">
      <c r="A63" s="519"/>
      <c r="B63" s="508"/>
      <c r="C63" s="509">
        <v>100</v>
      </c>
      <c r="D63" s="510"/>
      <c r="E63" s="510"/>
      <c r="F63" s="510"/>
      <c r="G63" s="510"/>
      <c r="H63" s="510"/>
      <c r="I63" s="510"/>
      <c r="J63" s="510"/>
      <c r="K63" s="510"/>
      <c r="L63" s="510"/>
      <c r="M63" s="512"/>
      <c r="N63" s="1149"/>
      <c r="O63" s="1149"/>
      <c r="P63" s="2669"/>
      <c r="Q63" s="502"/>
    </row>
    <row r="64" spans="1:29">
      <c r="A64" s="525" t="s">
        <v>2572</v>
      </c>
      <c r="B64" s="526" t="s">
        <v>2538</v>
      </c>
      <c r="C64" s="527" t="str">
        <f>C9</f>
        <v>办公</v>
      </c>
      <c r="D64" s="528"/>
      <c r="E64" s="528"/>
      <c r="F64" s="528"/>
      <c r="G64" s="528"/>
      <c r="H64" s="528"/>
      <c r="I64" s="528"/>
      <c r="J64" s="528"/>
      <c r="K64" s="529"/>
      <c r="L64" s="530"/>
      <c r="M64" s="531"/>
      <c r="N64" s="1150"/>
      <c r="O64" s="1150"/>
      <c r="P64" s="2671"/>
      <c r="Q64" s="502"/>
    </row>
    <row r="65" spans="1:17" ht="15.75" thickBot="1">
      <c r="A65" s="532"/>
      <c r="B65" s="533"/>
      <c r="C65" s="534">
        <v>100</v>
      </c>
      <c r="D65" s="534"/>
      <c r="E65" s="534"/>
      <c r="F65" s="534"/>
      <c r="G65" s="534"/>
      <c r="H65" s="534"/>
      <c r="I65" s="534"/>
      <c r="J65" s="534"/>
      <c r="K65" s="534"/>
      <c r="L65" s="534"/>
      <c r="M65" s="535"/>
      <c r="N65" s="1151"/>
      <c r="O65" s="1151"/>
      <c r="P65" s="2671"/>
      <c r="Q65" s="502"/>
    </row>
    <row r="66" spans="1:17" ht="27.75" thickTop="1">
      <c r="A66" s="532"/>
      <c r="B66" s="536" t="s">
        <v>2541</v>
      </c>
      <c r="C66" s="537" t="s">
        <v>2573</v>
      </c>
      <c r="D66" s="537" t="s">
        <v>2574</v>
      </c>
      <c r="E66" s="537" t="s">
        <v>2575</v>
      </c>
      <c r="F66" s="537" t="s">
        <v>2576</v>
      </c>
      <c r="G66" s="537" t="s">
        <v>2577</v>
      </c>
      <c r="H66" s="537" t="s">
        <v>2578</v>
      </c>
      <c r="I66" s="537" t="s">
        <v>2579</v>
      </c>
      <c r="J66" s="537"/>
      <c r="K66" s="538"/>
      <c r="L66" s="539"/>
      <c r="M66" s="540"/>
      <c r="N66" s="1150"/>
      <c r="O66" s="1150"/>
      <c r="P66" s="2671"/>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671"/>
      <c r="Q67" s="502"/>
    </row>
    <row r="68" spans="1:17" ht="15.75" thickTop="1">
      <c r="A68" s="532"/>
      <c r="B68" s="544" t="s">
        <v>2542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671"/>
      <c r="Q68" s="502"/>
    </row>
    <row r="69" spans="1:17" ht="15">
      <c r="A69" s="532"/>
      <c r="B69" s="546"/>
      <c r="C69" s="547"/>
      <c r="D69" s="547"/>
      <c r="E69" s="547"/>
      <c r="F69" s="547"/>
      <c r="G69" s="547"/>
      <c r="H69" s="547"/>
      <c r="I69" s="547"/>
      <c r="J69" s="547"/>
      <c r="K69" s="548"/>
      <c r="L69" s="549"/>
      <c r="M69" s="550"/>
      <c r="N69" s="1150"/>
      <c r="O69" s="1150"/>
      <c r="P69" s="2671"/>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71"/>
      <c r="Q70" s="502"/>
    </row>
    <row r="71" spans="1:17" s="469" customFormat="1" ht="15.75" thickTop="1">
      <c r="A71" s="551"/>
      <c r="B71" s="536">
        <f>B12</f>
        <v>111</v>
      </c>
      <c r="C71" s="552"/>
      <c r="D71" s="552"/>
      <c r="E71" s="552"/>
      <c r="F71" s="552"/>
      <c r="G71" s="552"/>
      <c r="H71" s="553"/>
      <c r="I71" s="553"/>
      <c r="J71" s="553"/>
      <c r="K71" s="553"/>
      <c r="L71" s="554"/>
      <c r="M71" s="555"/>
      <c r="N71" s="1152"/>
      <c r="O71" s="1152"/>
      <c r="P71" s="2672"/>
      <c r="Q71" s="557"/>
    </row>
    <row r="72" spans="1:17" s="469" customFormat="1" ht="15.75" thickBot="1">
      <c r="A72" s="551"/>
      <c r="B72" s="541"/>
      <c r="C72" s="558"/>
      <c r="D72" s="534"/>
      <c r="E72" s="534"/>
      <c r="F72" s="534"/>
      <c r="G72" s="534"/>
      <c r="H72" s="534"/>
      <c r="I72" s="534"/>
      <c r="J72" s="534"/>
      <c r="K72" s="534"/>
      <c r="L72" s="534"/>
      <c r="M72" s="535"/>
      <c r="N72" s="1151"/>
      <c r="O72" s="1151"/>
      <c r="P72" s="2672"/>
      <c r="Q72" s="557"/>
    </row>
    <row r="73" spans="1:17" s="469" customFormat="1" ht="15.75" thickTop="1">
      <c r="A73" s="551"/>
      <c r="B73" s="536">
        <f>B13</f>
        <v>111</v>
      </c>
      <c r="C73" s="552"/>
      <c r="D73" s="552"/>
      <c r="E73" s="552"/>
      <c r="F73" s="552"/>
      <c r="G73" s="552"/>
      <c r="H73" s="553"/>
      <c r="I73" s="553"/>
      <c r="J73" s="553"/>
      <c r="K73" s="553"/>
      <c r="L73" s="554"/>
      <c r="M73" s="555"/>
      <c r="N73" s="1152"/>
      <c r="O73" s="1152"/>
      <c r="P73" s="2673"/>
      <c r="Q73" s="559"/>
    </row>
    <row r="74" spans="1:17" s="469" customFormat="1" ht="15.75" thickBot="1">
      <c r="A74" s="551"/>
      <c r="B74" s="541"/>
      <c r="C74" s="558"/>
      <c r="D74" s="558"/>
      <c r="E74" s="558"/>
      <c r="F74" s="558"/>
      <c r="G74" s="558"/>
      <c r="H74" s="560"/>
      <c r="I74" s="560"/>
      <c r="J74" s="560"/>
      <c r="K74" s="560"/>
      <c r="L74" s="560"/>
      <c r="M74" s="561"/>
      <c r="N74" s="1152"/>
      <c r="O74" s="1152"/>
      <c r="P74" s="2672"/>
      <c r="Q74" s="557"/>
    </row>
    <row r="75" spans="1:17" s="469" customFormat="1" ht="15.75" thickTop="1">
      <c r="A75" s="551"/>
      <c r="B75" s="544">
        <f>B14</f>
        <v>111</v>
      </c>
      <c r="C75" s="521"/>
      <c r="D75" s="521"/>
      <c r="E75" s="521"/>
      <c r="F75" s="521"/>
      <c r="G75" s="521"/>
      <c r="H75" s="562"/>
      <c r="I75" s="562"/>
      <c r="J75" s="562"/>
      <c r="K75" s="562"/>
      <c r="L75" s="563"/>
      <c r="M75" s="564"/>
      <c r="N75" s="1152"/>
      <c r="O75" s="1152"/>
      <c r="P75" s="2674"/>
      <c r="Q75" s="557"/>
    </row>
    <row r="76" spans="1:17" s="469" customFormat="1" ht="15.75" thickBot="1">
      <c r="A76" s="566"/>
      <c r="B76" s="567"/>
      <c r="C76" s="568"/>
      <c r="D76" s="568"/>
      <c r="E76" s="568"/>
      <c r="F76" s="568"/>
      <c r="G76" s="568"/>
      <c r="H76" s="569"/>
      <c r="I76" s="569"/>
      <c r="J76" s="569"/>
      <c r="K76" s="569"/>
      <c r="L76" s="569"/>
      <c r="M76" s="570"/>
      <c r="N76" s="1152"/>
      <c r="O76" s="1152"/>
      <c r="P76" s="2672"/>
      <c r="Q76" s="557"/>
    </row>
    <row r="77" spans="1:17">
      <c r="A77" s="525" t="s">
        <v>2543</v>
      </c>
      <c r="B77" s="526" t="s">
        <v>2681</v>
      </c>
      <c r="C77" s="571" t="s">
        <v>2581</v>
      </c>
      <c r="D77" s="571" t="s">
        <v>2582</v>
      </c>
      <c r="E77" s="571" t="s">
        <v>2583</v>
      </c>
      <c r="F77" s="571" t="s">
        <v>2584</v>
      </c>
      <c r="G77" s="571" t="s">
        <v>2585</v>
      </c>
      <c r="H77" s="527"/>
      <c r="I77" s="527"/>
      <c r="J77" s="527"/>
      <c r="K77" s="572"/>
      <c r="L77" s="573"/>
      <c r="M77" s="574"/>
      <c r="N77" s="1150"/>
      <c r="O77" s="1150"/>
      <c r="P77" s="2675"/>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671"/>
      <c r="Q78" s="502"/>
    </row>
    <row r="79" spans="1:17" ht="15.75" thickTop="1">
      <c r="A79" s="532"/>
      <c r="B79" s="536" t="s">
        <v>2586</v>
      </c>
      <c r="C79" s="576" t="s">
        <v>2581</v>
      </c>
      <c r="D79" s="576" t="s">
        <v>2582</v>
      </c>
      <c r="E79" s="576" t="s">
        <v>2583</v>
      </c>
      <c r="F79" s="576" t="s">
        <v>2584</v>
      </c>
      <c r="G79" s="576" t="s">
        <v>2585</v>
      </c>
      <c r="H79" s="537"/>
      <c r="I79" s="537"/>
      <c r="J79" s="537"/>
      <c r="K79" s="538"/>
      <c r="L79" s="539"/>
      <c r="M79" s="540"/>
      <c r="N79" s="1150"/>
      <c r="O79" s="1150"/>
      <c r="P79" s="2671"/>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671"/>
      <c r="Q80" s="502"/>
    </row>
    <row r="81" spans="1:17" ht="15.75" thickTop="1">
      <c r="A81" s="532"/>
      <c r="B81" s="536" t="s">
        <v>2587</v>
      </c>
      <c r="C81" s="576" t="s">
        <v>2581</v>
      </c>
      <c r="D81" s="576" t="s">
        <v>2582</v>
      </c>
      <c r="E81" s="576" t="s">
        <v>2583</v>
      </c>
      <c r="F81" s="576" t="s">
        <v>2584</v>
      </c>
      <c r="G81" s="576" t="s">
        <v>2585</v>
      </c>
      <c r="H81" s="537"/>
      <c r="I81" s="537"/>
      <c r="J81" s="537"/>
      <c r="K81" s="538"/>
      <c r="L81" s="539"/>
      <c r="M81" s="540"/>
      <c r="N81" s="1150"/>
      <c r="O81" s="1150"/>
      <c r="P81" s="2671"/>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671"/>
      <c r="Q82" s="502"/>
    </row>
    <row r="83" spans="1:17" ht="15.75" thickTop="1">
      <c r="A83" s="532"/>
      <c r="B83" s="544" t="s">
        <v>2673</v>
      </c>
      <c r="C83" s="658" t="s">
        <v>2659</v>
      </c>
      <c r="D83" s="658" t="s">
        <v>2660</v>
      </c>
      <c r="E83" s="658" t="s">
        <v>2661</v>
      </c>
      <c r="F83" s="658" t="s">
        <v>2662</v>
      </c>
      <c r="G83" s="658" t="s">
        <v>2663</v>
      </c>
      <c r="H83" s="537"/>
      <c r="I83" s="537"/>
      <c r="J83" s="537"/>
      <c r="K83" s="537"/>
      <c r="L83" s="537"/>
      <c r="M83" s="1378"/>
      <c r="N83" s="1151"/>
      <c r="O83" s="1151"/>
      <c r="P83" s="2671"/>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671"/>
      <c r="Q84" s="502"/>
    </row>
    <row r="85" spans="1:17" ht="15.75" thickTop="1">
      <c r="A85" s="532"/>
      <c r="B85" s="536" t="s">
        <v>2682</v>
      </c>
      <c r="C85" s="576" t="s">
        <v>2581</v>
      </c>
      <c r="D85" s="576" t="s">
        <v>2582</v>
      </c>
      <c r="E85" s="576" t="s">
        <v>2583</v>
      </c>
      <c r="F85" s="576" t="s">
        <v>2584</v>
      </c>
      <c r="G85" s="576" t="s">
        <v>2585</v>
      </c>
      <c r="H85" s="537"/>
      <c r="I85" s="537"/>
      <c r="J85" s="537"/>
      <c r="K85" s="538"/>
      <c r="L85" s="539"/>
      <c r="M85" s="540"/>
      <c r="N85" s="1150"/>
      <c r="O85" s="1150"/>
      <c r="P85" s="2671"/>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671"/>
      <c r="Q86" s="502"/>
    </row>
    <row r="87" spans="1:17" s="116" customFormat="1" ht="27.75" thickTop="1">
      <c r="A87" s="577"/>
      <c r="B87" s="536" t="s">
        <v>2683</v>
      </c>
      <c r="C87" s="552"/>
      <c r="D87" s="552"/>
      <c r="E87" s="552"/>
      <c r="F87" s="552"/>
      <c r="G87" s="552"/>
      <c r="H87" s="552"/>
      <c r="I87" s="552"/>
      <c r="J87" s="552"/>
      <c r="K87" s="552"/>
      <c r="L87" s="578"/>
      <c r="M87" s="579"/>
      <c r="N87" s="1149"/>
      <c r="O87" s="1149"/>
      <c r="P87" s="2671"/>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1"/>
      <c r="O88" s="1151"/>
      <c r="P88" s="2671"/>
      <c r="Q88" s="502"/>
    </row>
    <row r="89" spans="1:17" s="116" customFormat="1" ht="15.75" thickTop="1">
      <c r="A89" s="577"/>
      <c r="B89" s="536" t="str">
        <f>B27</f>
        <v>楼层</v>
      </c>
      <c r="C89" s="552"/>
      <c r="D89" s="552"/>
      <c r="E89" s="552"/>
      <c r="F89" s="2622"/>
      <c r="G89" s="552"/>
      <c r="H89" s="552"/>
      <c r="I89" s="552"/>
      <c r="J89" s="552"/>
      <c r="K89" s="552"/>
      <c r="L89" s="552"/>
      <c r="M89" s="579"/>
      <c r="N89" s="1149"/>
      <c r="O89" s="1149"/>
      <c r="P89" s="2671"/>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1"/>
      <c r="O90" s="1151"/>
      <c r="P90" s="2671"/>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72"/>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72"/>
      <c r="Q92" s="557"/>
    </row>
    <row r="93" spans="1:17" ht="15.75" thickTop="1">
      <c r="A93" s="532"/>
      <c r="B93" s="536">
        <f>B29</f>
        <v>111</v>
      </c>
      <c r="C93" s="552"/>
      <c r="D93" s="552"/>
      <c r="E93" s="552"/>
      <c r="F93" s="552"/>
      <c r="G93" s="552"/>
      <c r="H93" s="552"/>
      <c r="I93" s="552"/>
      <c r="J93" s="552"/>
      <c r="K93" s="552"/>
      <c r="L93" s="578"/>
      <c r="M93" s="579"/>
      <c r="N93" s="1150"/>
      <c r="O93" s="1150"/>
      <c r="P93" s="2671"/>
      <c r="Q93" s="502"/>
    </row>
    <row r="94" spans="1:17" ht="15.75" thickBot="1">
      <c r="A94" s="532"/>
      <c r="B94" s="541"/>
      <c r="C94" s="558"/>
      <c r="D94" s="534"/>
      <c r="E94" s="534"/>
      <c r="F94" s="534"/>
      <c r="G94" s="534"/>
      <c r="H94" s="534"/>
      <c r="I94" s="534"/>
      <c r="J94" s="534"/>
      <c r="K94" s="534"/>
      <c r="L94" s="534"/>
      <c r="M94" s="535"/>
      <c r="N94" s="1151"/>
      <c r="O94" s="1151"/>
      <c r="P94" s="2671"/>
      <c r="Q94" s="502"/>
    </row>
    <row r="95" spans="1:17" ht="15.75" thickTop="1">
      <c r="A95" s="532"/>
      <c r="B95" s="536">
        <f>B30</f>
        <v>111</v>
      </c>
      <c r="C95" s="552"/>
      <c r="D95" s="552"/>
      <c r="E95" s="552"/>
      <c r="F95" s="552"/>
      <c r="G95" s="581"/>
      <c r="H95" s="581"/>
      <c r="I95" s="581"/>
      <c r="J95" s="581"/>
      <c r="K95" s="582"/>
      <c r="L95" s="583"/>
      <c r="M95" s="584"/>
      <c r="N95" s="1150"/>
      <c r="O95" s="1150"/>
      <c r="P95" s="2671"/>
      <c r="Q95" s="502"/>
    </row>
    <row r="96" spans="1:17" ht="15.75" thickBot="1">
      <c r="A96" s="532"/>
      <c r="B96" s="541"/>
      <c r="C96" s="558"/>
      <c r="D96" s="558"/>
      <c r="E96" s="558"/>
      <c r="F96" s="558"/>
      <c r="G96" s="534"/>
      <c r="H96" s="534"/>
      <c r="I96" s="534"/>
      <c r="J96" s="534"/>
      <c r="K96" s="534"/>
      <c r="L96" s="534"/>
      <c r="M96" s="535"/>
      <c r="N96" s="1151"/>
      <c r="O96" s="1151"/>
      <c r="P96" s="2671"/>
      <c r="Q96" s="502"/>
    </row>
    <row r="97" spans="1:17" ht="15.75" thickTop="1">
      <c r="A97" s="532"/>
      <c r="B97" s="536">
        <f>B31</f>
        <v>111</v>
      </c>
      <c r="C97" s="552"/>
      <c r="D97" s="552"/>
      <c r="E97" s="552"/>
      <c r="F97" s="552"/>
      <c r="G97" s="581"/>
      <c r="H97" s="581"/>
      <c r="I97" s="581"/>
      <c r="J97" s="581"/>
      <c r="K97" s="582"/>
      <c r="L97" s="583"/>
      <c r="M97" s="584"/>
      <c r="N97" s="1150"/>
      <c r="O97" s="1150"/>
      <c r="P97" s="2671"/>
      <c r="Q97" s="502"/>
    </row>
    <row r="98" spans="1:17" ht="15.75" thickBot="1">
      <c r="A98" s="532"/>
      <c r="B98" s="541"/>
      <c r="C98" s="558"/>
      <c r="D98" s="534"/>
      <c r="E98" s="534"/>
      <c r="F98" s="534"/>
      <c r="G98" s="534"/>
      <c r="H98" s="534"/>
      <c r="I98" s="534"/>
      <c r="J98" s="534"/>
      <c r="K98" s="534"/>
      <c r="L98" s="534"/>
      <c r="M98" s="535"/>
      <c r="N98" s="1151"/>
      <c r="O98" s="1151"/>
      <c r="P98" s="2671"/>
      <c r="Q98" s="502"/>
    </row>
    <row r="99" spans="1:17" ht="15.75" thickTop="1">
      <c r="A99" s="532"/>
      <c r="B99" s="544">
        <f>B32</f>
        <v>111</v>
      </c>
      <c r="C99" s="521"/>
      <c r="D99" s="521"/>
      <c r="E99" s="521"/>
      <c r="F99" s="521"/>
      <c r="G99" s="585"/>
      <c r="H99" s="585"/>
      <c r="I99" s="585"/>
      <c r="J99" s="585"/>
      <c r="K99" s="586"/>
      <c r="L99" s="587"/>
      <c r="M99" s="588"/>
      <c r="N99" s="1150"/>
      <c r="O99" s="1150"/>
      <c r="P99" s="2671"/>
      <c r="Q99" s="502"/>
    </row>
    <row r="100" spans="1:17" ht="15.75" thickBot="1">
      <c r="A100" s="2623"/>
      <c r="B100" s="567"/>
      <c r="C100" s="568"/>
      <c r="D100" s="568"/>
      <c r="E100" s="568"/>
      <c r="F100" s="568"/>
      <c r="G100" s="589"/>
      <c r="H100" s="589"/>
      <c r="I100" s="589"/>
      <c r="J100" s="589"/>
      <c r="K100" s="589"/>
      <c r="L100" s="589"/>
      <c r="M100" s="590"/>
      <c r="N100" s="1151"/>
      <c r="O100" s="1151"/>
      <c r="P100" s="2671"/>
      <c r="Q100" s="502"/>
    </row>
    <row r="101" spans="1:17">
      <c r="A101" s="525" t="s">
        <v>2547</v>
      </c>
      <c r="B101" s="526" t="s">
        <v>2596</v>
      </c>
      <c r="C101" s="2944" t="s">
        <v>3078</v>
      </c>
      <c r="D101" s="528"/>
      <c r="E101" s="528"/>
      <c r="F101" s="528"/>
      <c r="G101" s="528"/>
      <c r="H101" s="528"/>
      <c r="I101" s="528"/>
      <c r="J101" s="528"/>
      <c r="K101" s="529"/>
      <c r="L101" s="530"/>
      <c r="M101" s="531"/>
      <c r="N101" s="1150"/>
      <c r="O101" s="1150"/>
      <c r="P101" s="2671"/>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671"/>
      <c r="Q102" s="502"/>
    </row>
    <row r="103" spans="1:17" ht="15.75" thickTop="1">
      <c r="A103" s="532"/>
      <c r="B103" s="536" t="s">
        <v>2597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9"/>
      <c r="O103" s="1149"/>
      <c r="P103" s="2671"/>
      <c r="Q103" s="502"/>
    </row>
    <row r="104" spans="1:17" s="469" customFormat="1">
      <c r="A104" s="591"/>
      <c r="B104" s="592"/>
      <c r="C104" s="593"/>
      <c r="D104" s="593"/>
      <c r="E104" s="593"/>
      <c r="F104" s="593"/>
      <c r="G104" s="593"/>
      <c r="H104" s="593"/>
      <c r="I104" s="593"/>
      <c r="J104" s="594"/>
      <c r="K104" s="594"/>
      <c r="L104" s="595"/>
      <c r="M104" s="596"/>
      <c r="N104" s="1152"/>
      <c r="O104" s="1152"/>
      <c r="P104" s="2672"/>
      <c r="Q104" s="557"/>
    </row>
    <row r="105" spans="1:17" s="469" customFormat="1" ht="15.75" thickBot="1">
      <c r="A105" s="551"/>
      <c r="B105" s="541"/>
      <c r="C105" s="558"/>
      <c r="D105" s="534"/>
      <c r="E105" s="534"/>
      <c r="F105" s="534"/>
      <c r="G105" s="534"/>
      <c r="H105" s="534"/>
      <c r="I105" s="534"/>
      <c r="J105" s="534"/>
      <c r="K105" s="534"/>
      <c r="L105" s="534"/>
      <c r="M105" s="535"/>
      <c r="N105" s="1151"/>
      <c r="O105" s="1151"/>
      <c r="P105" s="2672"/>
      <c r="Q105" s="557"/>
    </row>
    <row r="106" spans="1:17" ht="15" thickTop="1">
      <c r="A106" s="597"/>
      <c r="B106" s="536" t="s">
        <v>2598</v>
      </c>
      <c r="C106" s="2942" t="s">
        <v>3076</v>
      </c>
      <c r="D106" s="552"/>
      <c r="E106" s="581"/>
      <c r="F106" s="581"/>
      <c r="G106" s="581"/>
      <c r="H106" s="581"/>
      <c r="I106" s="581"/>
      <c r="J106" s="581"/>
      <c r="K106" s="582"/>
      <c r="L106" s="583"/>
      <c r="M106" s="584"/>
      <c r="N106" s="1150"/>
      <c r="O106" s="1150"/>
      <c r="P106" s="2671"/>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671"/>
      <c r="Q107" s="502"/>
    </row>
    <row r="108" spans="1:17" ht="15" thickTop="1">
      <c r="A108" s="597"/>
      <c r="B108" s="536" t="s">
        <v>2600</v>
      </c>
      <c r="C108" s="2942" t="s">
        <v>3067</v>
      </c>
      <c r="D108" s="552"/>
      <c r="E108" s="552"/>
      <c r="F108" s="581"/>
      <c r="G108" s="581"/>
      <c r="H108" s="581"/>
      <c r="I108" s="581"/>
      <c r="J108" s="581"/>
      <c r="K108" s="582"/>
      <c r="L108" s="583"/>
      <c r="M108" s="584"/>
      <c r="N108" s="1150"/>
      <c r="O108" s="1150"/>
      <c r="P108" s="2671"/>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1"/>
      <c r="O109" s="1151"/>
      <c r="P109" s="2671"/>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71"/>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71"/>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671"/>
      <c r="Q112" s="502"/>
    </row>
    <row r="113" spans="1:17" s="469" customFormat="1" ht="15" thickTop="1">
      <c r="A113" s="591"/>
      <c r="B113" s="536" t="s">
        <v>2684</v>
      </c>
      <c r="C113" s="2942" t="s">
        <v>3075</v>
      </c>
      <c r="D113" s="552"/>
      <c r="E113" s="552"/>
      <c r="F113" s="552"/>
      <c r="G113" s="552"/>
      <c r="H113" s="581"/>
      <c r="I113" s="581"/>
      <c r="J113" s="581"/>
      <c r="K113" s="582"/>
      <c r="L113" s="583"/>
      <c r="M113" s="584"/>
      <c r="N113" s="1152"/>
      <c r="O113" s="1152"/>
      <c r="P113" s="2672"/>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72"/>
      <c r="Q114" s="557"/>
    </row>
    <row r="115" spans="1:17" ht="15" thickTop="1">
      <c r="A115" s="597"/>
      <c r="B115" s="536" t="s">
        <v>2601</v>
      </c>
      <c r="C115" s="2942" t="s">
        <v>3070</v>
      </c>
      <c r="D115" s="552"/>
      <c r="E115" s="581"/>
      <c r="F115" s="581"/>
      <c r="G115" s="581"/>
      <c r="H115" s="581"/>
      <c r="I115" s="581"/>
      <c r="J115" s="581"/>
      <c r="K115" s="582"/>
      <c r="L115" s="583"/>
      <c r="M115" s="584"/>
      <c r="N115" s="1150"/>
      <c r="O115" s="1150"/>
      <c r="P115" s="2671"/>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671"/>
      <c r="Q116" s="502"/>
    </row>
    <row r="117" spans="1:17" ht="15" thickTop="1">
      <c r="A117" s="597"/>
      <c r="B117" s="536" t="s">
        <v>2602</v>
      </c>
      <c r="C117" s="2942" t="s">
        <v>3071</v>
      </c>
      <c r="D117" s="552"/>
      <c r="E117" s="552"/>
      <c r="F117" s="552"/>
      <c r="G117" s="552"/>
      <c r="H117" s="581"/>
      <c r="I117" s="581"/>
      <c r="J117" s="581"/>
      <c r="K117" s="582"/>
      <c r="L117" s="583"/>
      <c r="M117" s="584"/>
      <c r="N117" s="1150"/>
      <c r="O117" s="1150"/>
      <c r="P117" s="2671"/>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71"/>
      <c r="Q118" s="502"/>
    </row>
    <row r="119" spans="1:17" ht="15" thickTop="1">
      <c r="A119" s="597"/>
      <c r="B119" s="634" t="s">
        <v>2685</v>
      </c>
      <c r="C119" s="2943" t="s">
        <v>3073</v>
      </c>
      <c r="D119" s="581"/>
      <c r="E119" s="581"/>
      <c r="F119" s="581"/>
      <c r="G119" s="581"/>
      <c r="H119" s="581"/>
      <c r="I119" s="581"/>
      <c r="J119" s="581"/>
      <c r="K119" s="581"/>
      <c r="L119" s="2676"/>
      <c r="M119" s="2677"/>
      <c r="N119" s="1151"/>
      <c r="O119" s="1151"/>
      <c r="P119" s="2678"/>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671"/>
      <c r="Q120" s="502"/>
    </row>
    <row r="121" spans="1:17" s="469" customFormat="1" ht="15" thickTop="1">
      <c r="A121" s="591"/>
      <c r="B121" s="536" t="s">
        <v>2668</v>
      </c>
      <c r="C121" s="552"/>
      <c r="D121" s="552"/>
      <c r="E121" s="552"/>
      <c r="F121" s="581"/>
      <c r="G121" s="553"/>
      <c r="H121" s="553"/>
      <c r="I121" s="553"/>
      <c r="J121" s="553"/>
      <c r="K121" s="553"/>
      <c r="L121" s="554"/>
      <c r="M121" s="555"/>
      <c r="N121" s="1152"/>
      <c r="O121" s="1152"/>
      <c r="P121" s="2672"/>
      <c r="Q121" s="557"/>
    </row>
    <row r="122" spans="1:17" s="469" customFormat="1" ht="15.75" thickBot="1">
      <c r="A122" s="551"/>
      <c r="B122" s="533"/>
      <c r="C122" s="558"/>
      <c r="D122" s="558"/>
      <c r="E122" s="558"/>
      <c r="F122" s="558"/>
      <c r="G122" s="558"/>
      <c r="H122" s="558"/>
      <c r="I122" s="558"/>
      <c r="J122" s="558"/>
      <c r="K122" s="558"/>
      <c r="L122" s="558"/>
      <c r="M122" s="558"/>
      <c r="N122" s="1152"/>
      <c r="O122" s="1152"/>
      <c r="P122" s="2672"/>
      <c r="Q122" s="557"/>
    </row>
    <row r="123" spans="1:17" ht="15" thickTop="1">
      <c r="A123" s="597"/>
      <c r="B123" s="536" t="s">
        <v>2604</v>
      </c>
      <c r="C123" s="2942" t="s">
        <v>3067</v>
      </c>
      <c r="D123" s="2942"/>
      <c r="E123" s="552"/>
      <c r="F123" s="581"/>
      <c r="G123" s="581"/>
      <c r="H123" s="581"/>
      <c r="I123" s="581"/>
      <c r="J123" s="581"/>
      <c r="K123" s="582"/>
      <c r="L123" s="583"/>
      <c r="M123" s="584"/>
      <c r="N123" s="1150"/>
      <c r="O123" s="1150"/>
      <c r="P123" s="2671"/>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1"/>
      <c r="O124" s="1151"/>
      <c r="P124" s="2671"/>
      <c r="Q124" s="502"/>
    </row>
    <row r="125" spans="1:17" ht="15" thickTop="1">
      <c r="A125" s="597"/>
      <c r="B125" s="536" t="s">
        <v>2605</v>
      </c>
      <c r="C125" s="576" t="s">
        <v>2581</v>
      </c>
      <c r="D125" s="576" t="s">
        <v>2582</v>
      </c>
      <c r="E125" s="576" t="s">
        <v>2583</v>
      </c>
      <c r="F125" s="576" t="s">
        <v>2584</v>
      </c>
      <c r="G125" s="576" t="s">
        <v>2585</v>
      </c>
      <c r="H125" s="537"/>
      <c r="I125" s="537"/>
      <c r="J125" s="537"/>
      <c r="K125" s="538"/>
      <c r="L125" s="539"/>
      <c r="M125" s="540"/>
      <c r="N125" s="1150"/>
      <c r="O125" s="1150"/>
      <c r="P125" s="2672"/>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71"/>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72"/>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72"/>
      <c r="Q128" s="557"/>
    </row>
    <row r="129" spans="1:17" ht="15" thickTop="1">
      <c r="A129" s="597"/>
      <c r="B129" s="536">
        <f>B46</f>
        <v>111</v>
      </c>
      <c r="C129" s="552"/>
      <c r="D129" s="552"/>
      <c r="E129" s="552"/>
      <c r="F129" s="552"/>
      <c r="G129" s="581"/>
      <c r="H129" s="581"/>
      <c r="I129" s="581"/>
      <c r="J129" s="581"/>
      <c r="K129" s="582"/>
      <c r="L129" s="583"/>
      <c r="M129" s="584"/>
      <c r="N129" s="1150"/>
      <c r="O129" s="1150"/>
      <c r="P129" s="2671"/>
      <c r="Q129" s="502"/>
    </row>
    <row r="130" spans="1:17" ht="15.75" thickBot="1">
      <c r="A130" s="532"/>
      <c r="B130" s="541"/>
      <c r="C130" s="558"/>
      <c r="D130" s="558"/>
      <c r="E130" s="558"/>
      <c r="F130" s="558"/>
      <c r="G130" s="534"/>
      <c r="H130" s="534"/>
      <c r="I130" s="534"/>
      <c r="J130" s="534"/>
      <c r="K130" s="534"/>
      <c r="L130" s="534"/>
      <c r="M130" s="535"/>
      <c r="N130" s="1151"/>
      <c r="O130" s="1151"/>
      <c r="P130" s="2671"/>
      <c r="Q130" s="502"/>
    </row>
    <row r="131" spans="1:17" ht="15" thickTop="1">
      <c r="A131" s="597"/>
      <c r="B131" s="544">
        <f>B47</f>
        <v>111</v>
      </c>
      <c r="C131" s="521"/>
      <c r="D131" s="521"/>
      <c r="E131" s="521"/>
      <c r="F131" s="521"/>
      <c r="G131" s="585"/>
      <c r="H131" s="585"/>
      <c r="I131" s="585"/>
      <c r="J131" s="585"/>
      <c r="K131" s="521"/>
      <c r="L131" s="522"/>
      <c r="M131" s="588"/>
      <c r="N131" s="1150"/>
      <c r="O131" s="1150"/>
      <c r="P131" s="2671"/>
      <c r="Q131" s="502"/>
    </row>
    <row r="132" spans="1:17" ht="15.75" thickBot="1">
      <c r="A132" s="2623"/>
      <c r="B132" s="567"/>
      <c r="C132" s="568"/>
      <c r="D132" s="568"/>
      <c r="E132" s="568"/>
      <c r="F132" s="568"/>
      <c r="G132" s="589"/>
      <c r="H132" s="589"/>
      <c r="I132" s="589"/>
      <c r="J132" s="589"/>
      <c r="K132" s="589"/>
      <c r="L132" s="589"/>
      <c r="M132" s="590"/>
      <c r="N132" s="1151"/>
      <c r="O132" s="1151"/>
      <c r="P132" s="2671"/>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67" priority="16" stopIfTrue="1" operator="containsText" text="超过">
      <formula>NOT(ISERROR(SEARCH("超过",F53)))</formula>
    </cfRule>
  </conditionalFormatting>
  <conditionalFormatting sqref="H55">
    <cfRule type="containsText" dxfId="66" priority="15" stopIfTrue="1" operator="containsText" text="超过">
      <formula>NOT(ISERROR(SEARCH("超过",H55)))</formula>
    </cfRule>
  </conditionalFormatting>
  <conditionalFormatting sqref="F55">
    <cfRule type="containsText" dxfId="65" priority="14" stopIfTrue="1" operator="containsText" text="超过">
      <formula>NOT(ISERROR(SEARCH("超过",F55)))</formula>
    </cfRule>
  </conditionalFormatting>
  <conditionalFormatting sqref="F54 H54">
    <cfRule type="containsText" dxfId="64" priority="13" stopIfTrue="1" operator="containsText" text="超过">
      <formula>NOT(ISERROR(SEARCH("超过",F54)))</formula>
    </cfRule>
  </conditionalFormatting>
  <conditionalFormatting sqref="E53">
    <cfRule type="expression" dxfId="63" priority="12" stopIfTrue="1">
      <formula>$F$53="超过30%"</formula>
    </cfRule>
  </conditionalFormatting>
  <conditionalFormatting sqref="E54">
    <cfRule type="expression" dxfId="62" priority="11" stopIfTrue="1">
      <formula>$F$54="超过20%"</formula>
    </cfRule>
  </conditionalFormatting>
  <conditionalFormatting sqref="E55">
    <cfRule type="expression" dxfId="61" priority="10" stopIfTrue="1">
      <formula>$F$55="超过30%"</formula>
    </cfRule>
  </conditionalFormatting>
  <conditionalFormatting sqref="G55">
    <cfRule type="expression" dxfId="60" priority="9" stopIfTrue="1">
      <formula>$H$55="超过30%"</formula>
    </cfRule>
  </conditionalFormatting>
  <conditionalFormatting sqref="G53">
    <cfRule type="expression" dxfId="59" priority="8" stopIfTrue="1">
      <formula>$H$53="超过30%"</formula>
    </cfRule>
  </conditionalFormatting>
  <conditionalFormatting sqref="G54">
    <cfRule type="expression" dxfId="58" priority="7" stopIfTrue="1">
      <formula>$H$54="超过20%"</formula>
    </cfRule>
  </conditionalFormatting>
  <conditionalFormatting sqref="J53">
    <cfRule type="containsText" dxfId="57" priority="6" stopIfTrue="1" operator="containsText" text="超过">
      <formula>NOT(ISERROR(SEARCH("超过",J53)))</formula>
    </cfRule>
  </conditionalFormatting>
  <conditionalFormatting sqref="J55">
    <cfRule type="containsText" dxfId="56" priority="5" stopIfTrue="1" operator="containsText" text="超过">
      <formula>NOT(ISERROR(SEARCH("超过",J55)))</formula>
    </cfRule>
  </conditionalFormatting>
  <conditionalFormatting sqref="J54">
    <cfRule type="containsText" dxfId="55" priority="4" stopIfTrue="1" operator="containsText" text="超过">
      <formula>NOT(ISERROR(SEARCH("超过",J54)))</formula>
    </cfRule>
  </conditionalFormatting>
  <conditionalFormatting sqref="I53">
    <cfRule type="expression" dxfId="54" priority="3" stopIfTrue="1">
      <formula>$J$53="超过30%"</formula>
    </cfRule>
  </conditionalFormatting>
  <conditionalFormatting sqref="I54">
    <cfRule type="expression" dxfId="53" priority="2" stopIfTrue="1">
      <formula>$J$53+$J$54="超过20%"</formula>
    </cfRule>
  </conditionalFormatting>
  <conditionalFormatting sqref="I55">
    <cfRule type="expression" dxfId="5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2691</v>
      </c>
      <c r="B1" s="1614"/>
      <c r="C1" s="1615" t="s">
        <v>2514</v>
      </c>
      <c r="D1" s="1616"/>
      <c r="E1" s="1617"/>
      <c r="F1" s="2571"/>
      <c r="G1" s="1618" t="s">
        <v>2627</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6" customFormat="1" ht="28.5" customHeight="1" thickTop="1">
      <c r="A2" s="1612" t="s">
        <v>2314</v>
      </c>
      <c r="B2" s="1414" t="e">
        <f ca="1">IF(C2="——",IF(B37="元/平方米",ROUND(C39*D3/10000,0),ROUND(F3*C39/10000,0)),IF(B37="元/平方米",ROUND(C39*D3/10000,0),ROUND(F3*C39/10000,0))-D2)</f>
        <v>#DIV/0!</v>
      </c>
      <c r="C2" s="2573"/>
      <c r="D2" s="1122" t="e">
        <f ca="1">SUMIF(INDIRECT("'"&amp;F2&amp;"'"&amp;"!A:A"),"承租人权益价值",INDIRECT("'"&amp;F2&amp;"'"&amp;"!c:c"))</f>
        <v>#REF!</v>
      </c>
      <c r="E2" s="2574" t="s">
        <v>2315</v>
      </c>
      <c r="F2" s="2575"/>
      <c r="G2" s="1123"/>
      <c r="H2" s="1123"/>
      <c r="I2" s="1123"/>
      <c r="J2" s="1123"/>
      <c r="K2" s="1125"/>
      <c r="L2" s="1126"/>
      <c r="M2" s="1127"/>
      <c r="N2" s="1127"/>
      <c r="O2" s="1127"/>
      <c r="P2" s="1415"/>
      <c r="Q2" s="764"/>
      <c r="R2" s="764"/>
      <c r="S2" s="764"/>
      <c r="T2" s="764"/>
      <c r="U2" s="764"/>
      <c r="V2" s="764"/>
      <c r="W2" s="764"/>
      <c r="X2" s="764"/>
      <c r="Y2" s="764"/>
      <c r="Z2" s="764"/>
      <c r="AA2" s="764"/>
      <c r="AB2" s="764"/>
      <c r="AC2" s="765"/>
    </row>
    <row r="3" spans="1:29" s="396" customFormat="1" ht="28.5" customHeight="1" thickBot="1">
      <c r="A3" s="245" t="s">
        <v>2316</v>
      </c>
      <c r="B3" s="607" t="e">
        <f ca="1">IF(AND(C2="——",B37="元/平方米"),C39,ROUND(B2*10000/D3,0))</f>
        <v>#DIV/0!</v>
      </c>
      <c r="C3" s="398" t="s">
        <v>2628</v>
      </c>
      <c r="D3" s="397">
        <f>SUMIF('数据-汇总表'!$C19:$C33,D1,'数据-汇总表'!$E19:$E33)</f>
        <v>0</v>
      </c>
      <c r="E3" s="398" t="s">
        <v>2692</v>
      </c>
      <c r="F3" s="397">
        <f>SUMIF('数据-取费表'!A5:A15,D1,'数据-取费表'!AH5:AH15)</f>
        <v>0</v>
      </c>
      <c r="G3" s="1123"/>
      <c r="H3" s="1123"/>
      <c r="I3" s="1123"/>
      <c r="J3" s="1123"/>
      <c r="K3" s="1125"/>
      <c r="L3" s="1126"/>
      <c r="M3" s="1127"/>
      <c r="N3" s="1127"/>
      <c r="O3" s="1127"/>
      <c r="P3" s="1415"/>
      <c r="Q3" s="764"/>
      <c r="R3" s="764"/>
      <c r="S3" s="764"/>
      <c r="T3" s="764"/>
      <c r="U3" s="764"/>
      <c r="V3" s="764"/>
      <c r="W3" s="764"/>
      <c r="X3" s="764"/>
      <c r="Y3" s="764"/>
      <c r="Z3" s="764"/>
      <c r="AA3" s="764"/>
      <c r="AB3" s="782"/>
      <c r="AC3" s="778"/>
    </row>
    <row r="4" spans="1:29" ht="15">
      <c r="A4" s="399" t="s">
        <v>2629</v>
      </c>
      <c r="B4" s="400"/>
      <c r="C4" s="3275" t="s">
        <v>2630</v>
      </c>
      <c r="D4" s="3276"/>
      <c r="E4" s="3277" t="s">
        <v>2631</v>
      </c>
      <c r="F4" s="3278"/>
      <c r="G4" s="3275" t="s">
        <v>2632</v>
      </c>
      <c r="H4" s="3276"/>
      <c r="I4" s="3275" t="s">
        <v>2633</v>
      </c>
      <c r="J4" s="3276"/>
      <c r="K4" s="608" t="s">
        <v>2634</v>
      </c>
      <c r="L4" s="1128"/>
      <c r="M4" s="1129"/>
      <c r="N4" s="1129"/>
      <c r="O4" s="1129"/>
      <c r="P4" s="3279" t="s">
        <v>2635</v>
      </c>
      <c r="Q4" s="3280"/>
      <c r="R4" s="3262" t="s">
        <v>2631</v>
      </c>
      <c r="S4" s="3263"/>
      <c r="T4" s="3262" t="s">
        <v>2632</v>
      </c>
      <c r="U4" s="3263"/>
      <c r="V4" s="3287" t="s">
        <v>2633</v>
      </c>
      <c r="W4" s="3287"/>
      <c r="X4" s="1808"/>
      <c r="Y4" s="3262" t="s">
        <v>2635</v>
      </c>
      <c r="Z4" s="3263"/>
      <c r="AA4" s="3257" t="s">
        <v>2631</v>
      </c>
      <c r="AB4" s="3258" t="s">
        <v>2632</v>
      </c>
      <c r="AC4" s="3257" t="s">
        <v>2633</v>
      </c>
    </row>
    <row r="5" spans="1:29" ht="15">
      <c r="A5" s="402"/>
      <c r="B5" s="403"/>
      <c r="C5" s="3268" t="s">
        <v>2526</v>
      </c>
      <c r="D5" s="3269"/>
      <c r="E5" s="3266" t="s">
        <v>2527</v>
      </c>
      <c r="F5" s="3267"/>
      <c r="G5" s="3268" t="s">
        <v>2528</v>
      </c>
      <c r="H5" s="3269"/>
      <c r="I5" s="3268" t="s">
        <v>2529</v>
      </c>
      <c r="J5" s="3269"/>
      <c r="K5" s="608"/>
      <c r="L5" s="1128"/>
      <c r="M5" s="1129"/>
      <c r="N5" s="1129"/>
      <c r="O5" s="1129"/>
      <c r="P5" s="3281"/>
      <c r="Q5" s="3282"/>
      <c r="R5" s="3264"/>
      <c r="S5" s="3265"/>
      <c r="T5" s="3264"/>
      <c r="U5" s="3265"/>
      <c r="V5" s="3287"/>
      <c r="W5" s="3287"/>
      <c r="X5" s="1808"/>
      <c r="Y5" s="3264"/>
      <c r="Z5" s="3265"/>
      <c r="AA5" s="3258"/>
      <c r="AB5" s="3258"/>
      <c r="AC5" s="3258"/>
    </row>
    <row r="6" spans="1:29" ht="15.75" thickBot="1">
      <c r="A6" s="404"/>
      <c r="B6" s="405"/>
      <c r="C6" s="3270" t="s">
        <v>2530</v>
      </c>
      <c r="D6" s="3271"/>
      <c r="E6" s="3272" t="s">
        <v>2530</v>
      </c>
      <c r="F6" s="3273"/>
      <c r="G6" s="3270" t="s">
        <v>2530</v>
      </c>
      <c r="H6" s="3271"/>
      <c r="I6" s="3270" t="s">
        <v>2530</v>
      </c>
      <c r="J6" s="3271"/>
      <c r="K6" s="608" t="s">
        <v>2531</v>
      </c>
      <c r="L6" s="1128"/>
      <c r="M6" s="1129"/>
      <c r="N6" s="1129"/>
      <c r="O6" s="1129"/>
      <c r="P6" s="3283"/>
      <c r="Q6" s="3284"/>
      <c r="R6" s="3264"/>
      <c r="S6" s="3265"/>
      <c r="T6" s="3285"/>
      <c r="U6" s="3286"/>
      <c r="V6" s="3287"/>
      <c r="W6" s="3287"/>
      <c r="X6" s="1808"/>
      <c r="Y6" s="3285"/>
      <c r="Z6" s="3286"/>
      <c r="AA6" s="3259"/>
      <c r="AB6" s="3259"/>
      <c r="AC6" s="3259"/>
    </row>
    <row r="7" spans="1:29" s="116" customFormat="1" ht="15.75" thickBot="1">
      <c r="A7" s="406" t="s">
        <v>2532</v>
      </c>
      <c r="B7" s="407"/>
      <c r="C7" s="408">
        <f>'数据-取费表'!B2</f>
        <v>43207</v>
      </c>
      <c r="D7" s="409">
        <v>100</v>
      </c>
      <c r="E7" s="410"/>
      <c r="F7" s="411">
        <f>SUMIF(48:48,YEAR(E7)&amp;"-"&amp;MONTH(E7),49:49)</f>
        <v>0</v>
      </c>
      <c r="G7" s="410"/>
      <c r="H7" s="409">
        <f>SUMIF(48:48,YEAR(G7)&amp;"-"&amp;MONTH(G7),49:49)</f>
        <v>0</v>
      </c>
      <c r="I7" s="410"/>
      <c r="J7" s="409">
        <f>SUMIF(48:48,YEAR(I7)&amp;"-"&amp;MONTH(I7),49:49)</f>
        <v>0</v>
      </c>
      <c r="K7" s="609"/>
      <c r="L7" s="1130"/>
      <c r="M7" s="1131"/>
      <c r="N7" s="1131"/>
      <c r="O7" s="1131"/>
      <c r="P7" s="3260" t="s">
        <v>2533</v>
      </c>
      <c r="Q7" s="3288"/>
      <c r="R7" s="766" t="s">
        <v>17</v>
      </c>
      <c r="S7" s="767">
        <f t="shared" ref="S7:S14" si="0">F7</f>
        <v>0</v>
      </c>
      <c r="T7" s="766" t="s">
        <v>17</v>
      </c>
      <c r="U7" s="767">
        <f t="shared" ref="U7:U14" si="1">H7</f>
        <v>0</v>
      </c>
      <c r="V7" s="766" t="s">
        <v>17</v>
      </c>
      <c r="W7" s="767">
        <f t="shared" ref="W7:W14" si="2">J7</f>
        <v>0</v>
      </c>
      <c r="X7" s="768"/>
      <c r="Y7" s="3260" t="s">
        <v>2533</v>
      </c>
      <c r="Z7" s="3261"/>
      <c r="AA7" s="769" t="e">
        <f>D7/F7</f>
        <v>#DIV/0!</v>
      </c>
      <c r="AB7" s="769" t="e">
        <f>D7/H7</f>
        <v>#DIV/0!</v>
      </c>
      <c r="AC7" s="769" t="e">
        <f>D7/J7</f>
        <v>#DIV/0!</v>
      </c>
    </row>
    <row r="8" spans="1:29" s="116" customFormat="1" ht="15.75" thickBot="1">
      <c r="A8" s="406" t="s">
        <v>2534</v>
      </c>
      <c r="B8" s="407"/>
      <c r="C8" s="412" t="s">
        <v>2636</v>
      </c>
      <c r="D8" s="409">
        <v>100</v>
      </c>
      <c r="E8" s="412"/>
      <c r="F8" s="411">
        <f>SUMIF(51:51,E8,52:52)-SUMIF(51:51,C8,52:52)+100</f>
        <v>0</v>
      </c>
      <c r="G8" s="412"/>
      <c r="H8" s="409">
        <f>SUMIF(51:51,G8,52:52)-SUMIF(51:51,C8,52:52)+100</f>
        <v>0</v>
      </c>
      <c r="I8" s="412"/>
      <c r="J8" s="409">
        <f>SUMIF(51:51,I8,52:52)-SUMIF(51:51,C8,52:52)+100</f>
        <v>0</v>
      </c>
      <c r="K8" s="609"/>
      <c r="L8" s="1130"/>
      <c r="M8" s="1131"/>
      <c r="N8" s="1131"/>
      <c r="O8" s="1131"/>
      <c r="P8" s="3260" t="s">
        <v>2536</v>
      </c>
      <c r="Q8" s="3261"/>
      <c r="R8" s="766" t="s">
        <v>17</v>
      </c>
      <c r="S8" s="767">
        <f t="shared" si="0"/>
        <v>0</v>
      </c>
      <c r="T8" s="766" t="s">
        <v>17</v>
      </c>
      <c r="U8" s="767">
        <f t="shared" si="1"/>
        <v>0</v>
      </c>
      <c r="V8" s="766" t="s">
        <v>17</v>
      </c>
      <c r="W8" s="767">
        <f t="shared" si="2"/>
        <v>0</v>
      </c>
      <c r="X8" s="768"/>
      <c r="Y8" s="3260" t="s">
        <v>2536</v>
      </c>
      <c r="Z8" s="3261"/>
      <c r="AA8" s="769" t="e">
        <f t="shared" ref="AA8:AA36" si="3">D8/F8</f>
        <v>#DIV/0!</v>
      </c>
      <c r="AB8" s="769" t="e">
        <f t="shared" ref="AB8:AB36" si="4">D8/H8</f>
        <v>#DIV/0!</v>
      </c>
      <c r="AC8" s="769" t="e">
        <f t="shared" ref="AC8:AC36" si="5">D8/J8</f>
        <v>#DIV/0!</v>
      </c>
    </row>
    <row r="9" spans="1:29" s="116" customFormat="1">
      <c r="A9" s="68" t="s">
        <v>2537</v>
      </c>
      <c r="B9" s="638" t="s">
        <v>2538</v>
      </c>
      <c r="C9" s="414"/>
      <c r="D9" s="133">
        <v>100</v>
      </c>
      <c r="E9" s="417"/>
      <c r="F9" s="133">
        <f>SUMIF(53:53,E9,54:54)-SUMIF(53:53,C9,54:54)+100</f>
        <v>100</v>
      </c>
      <c r="G9" s="415"/>
      <c r="H9" s="133">
        <f>SUMIF(53:53,G9,54:54)-SUMIF(53:53,C9,54:54)+100</f>
        <v>100</v>
      </c>
      <c r="I9" s="415"/>
      <c r="J9" s="133">
        <f>SUMIF(53:53,I9,54:54)-SUMIF(53:53,C9,54:54)+100</f>
        <v>100</v>
      </c>
      <c r="K9" s="609"/>
      <c r="L9" s="1130"/>
      <c r="M9" s="1131"/>
      <c r="N9" s="1131"/>
      <c r="O9" s="1131"/>
      <c r="P9" s="3274" t="s">
        <v>2539</v>
      </c>
      <c r="Q9" s="1790" t="str">
        <f t="shared" ref="Q9:Q14" si="6">B9</f>
        <v>用途</v>
      </c>
      <c r="R9" s="766" t="s">
        <v>17</v>
      </c>
      <c r="S9" s="767">
        <f t="shared" si="0"/>
        <v>100</v>
      </c>
      <c r="T9" s="766" t="s">
        <v>17</v>
      </c>
      <c r="U9" s="767">
        <f t="shared" si="1"/>
        <v>100</v>
      </c>
      <c r="V9" s="766" t="s">
        <v>17</v>
      </c>
      <c r="W9" s="767">
        <f t="shared" si="2"/>
        <v>100</v>
      </c>
      <c r="X9" s="768"/>
      <c r="Y9" s="3134" t="s">
        <v>2540</v>
      </c>
      <c r="Z9" s="55" t="str">
        <f t="shared" ref="Z9:Z14" si="7">Q9</f>
        <v>用途</v>
      </c>
      <c r="AA9" s="769">
        <f t="shared" si="3"/>
        <v>1</v>
      </c>
      <c r="AB9" s="769">
        <f t="shared" si="4"/>
        <v>1</v>
      </c>
      <c r="AC9" s="769">
        <f t="shared" si="5"/>
        <v>1</v>
      </c>
    </row>
    <row r="10" spans="1:29" s="425" customFormat="1" ht="27">
      <c r="A10" s="639"/>
      <c r="B10" s="640" t="s">
        <v>2541</v>
      </c>
      <c r="C10" s="421"/>
      <c r="D10" s="134">
        <v>100</v>
      </c>
      <c r="E10" s="421"/>
      <c r="F10" s="134">
        <f>SUMIF(55:55,E10,56:56)-SUMIF(55:55,C10,56:56)+100</f>
        <v>100</v>
      </c>
      <c r="G10" s="422"/>
      <c r="H10" s="134">
        <f>SUMIF(55:55,G10,56:56)-SUMIF(55:55,C10,56:56)+100</f>
        <v>100</v>
      </c>
      <c r="I10" s="421"/>
      <c r="J10" s="134">
        <f>SUMIF(55:55,I10,56:56)-SUMIF(55:55,C10,56:56)+100</f>
        <v>100</v>
      </c>
      <c r="K10" s="610"/>
      <c r="L10" s="1133"/>
      <c r="M10" s="1134"/>
      <c r="N10" s="1134"/>
      <c r="O10" s="1134"/>
      <c r="P10" s="3274"/>
      <c r="Q10" s="1790" t="str">
        <f t="shared" si="6"/>
        <v>土地使用年限（年）</v>
      </c>
      <c r="R10" s="766" t="s">
        <v>17</v>
      </c>
      <c r="S10" s="767">
        <f t="shared" si="0"/>
        <v>100</v>
      </c>
      <c r="T10" s="766" t="s">
        <v>17</v>
      </c>
      <c r="U10" s="767">
        <f t="shared" si="1"/>
        <v>100</v>
      </c>
      <c r="V10" s="766" t="s">
        <v>17</v>
      </c>
      <c r="W10" s="767">
        <f t="shared" si="2"/>
        <v>100</v>
      </c>
      <c r="X10" s="768"/>
      <c r="Y10" s="3134"/>
      <c r="Z10" s="55" t="str">
        <f t="shared" si="7"/>
        <v>土地使用年限（年）</v>
      </c>
      <c r="AA10" s="769">
        <f t="shared" si="3"/>
        <v>1</v>
      </c>
      <c r="AB10" s="769">
        <f t="shared" si="4"/>
        <v>1</v>
      </c>
      <c r="AC10" s="769">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6"/>
      <c r="M11" s="1129"/>
      <c r="N11" s="1129"/>
      <c r="O11" s="1129"/>
      <c r="P11" s="3274"/>
      <c r="Q11" s="1790">
        <f t="shared" si="6"/>
        <v>111</v>
      </c>
      <c r="R11" s="766" t="s">
        <v>17</v>
      </c>
      <c r="S11" s="767">
        <f t="shared" si="0"/>
        <v>100</v>
      </c>
      <c r="T11" s="766" t="s">
        <v>17</v>
      </c>
      <c r="U11" s="767">
        <f t="shared" si="1"/>
        <v>100</v>
      </c>
      <c r="V11" s="766" t="s">
        <v>17</v>
      </c>
      <c r="W11" s="767">
        <f t="shared" si="2"/>
        <v>100</v>
      </c>
      <c r="X11" s="768"/>
      <c r="Y11" s="3134"/>
      <c r="Z11" s="55">
        <f t="shared" si="7"/>
        <v>111</v>
      </c>
      <c r="AA11" s="769">
        <f t="shared" si="3"/>
        <v>1</v>
      </c>
      <c r="AB11" s="769">
        <f t="shared" si="4"/>
        <v>1</v>
      </c>
      <c r="AC11" s="769">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0"/>
      <c r="M12" s="1131"/>
      <c r="N12" s="1131"/>
      <c r="O12" s="1131"/>
      <c r="P12" s="3274"/>
      <c r="Q12" s="1790">
        <f t="shared" si="6"/>
        <v>111</v>
      </c>
      <c r="R12" s="766" t="s">
        <v>17</v>
      </c>
      <c r="S12" s="767">
        <f t="shared" si="0"/>
        <v>100</v>
      </c>
      <c r="T12" s="766" t="s">
        <v>17</v>
      </c>
      <c r="U12" s="767">
        <f t="shared" si="1"/>
        <v>100</v>
      </c>
      <c r="V12" s="766" t="s">
        <v>17</v>
      </c>
      <c r="W12" s="767">
        <f t="shared" si="2"/>
        <v>100</v>
      </c>
      <c r="X12" s="768"/>
      <c r="Y12" s="3134"/>
      <c r="Z12" s="55">
        <f t="shared" si="7"/>
        <v>111</v>
      </c>
      <c r="AA12" s="769">
        <f>D12/F12</f>
        <v>1</v>
      </c>
      <c r="AB12" s="769">
        <f>D12/H12</f>
        <v>1</v>
      </c>
      <c r="AC12" s="769">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8"/>
      <c r="M13" s="1129"/>
      <c r="N13" s="1129"/>
      <c r="O13" s="1129"/>
      <c r="P13" s="3274"/>
      <c r="Q13" s="1790">
        <f t="shared" si="6"/>
        <v>111</v>
      </c>
      <c r="R13" s="766" t="s">
        <v>17</v>
      </c>
      <c r="S13" s="767">
        <f t="shared" si="0"/>
        <v>100</v>
      </c>
      <c r="T13" s="766" t="s">
        <v>17</v>
      </c>
      <c r="U13" s="767">
        <f t="shared" si="1"/>
        <v>100</v>
      </c>
      <c r="V13" s="766" t="s">
        <v>17</v>
      </c>
      <c r="W13" s="767">
        <f t="shared" si="2"/>
        <v>100</v>
      </c>
      <c r="X13" s="768"/>
      <c r="Y13" s="3134"/>
      <c r="Z13" s="55">
        <f t="shared" si="7"/>
        <v>111</v>
      </c>
      <c r="AA13" s="769">
        <f t="shared" si="3"/>
        <v>1</v>
      </c>
      <c r="AB13" s="769">
        <f t="shared" si="4"/>
        <v>1</v>
      </c>
      <c r="AC13" s="769">
        <f t="shared" si="5"/>
        <v>1</v>
      </c>
    </row>
    <row r="14" spans="1:29" ht="15">
      <c r="A14" s="399" t="s">
        <v>2543</v>
      </c>
      <c r="B14" s="627" t="s">
        <v>2693</v>
      </c>
      <c r="C14" s="2680">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289" t="s">
        <v>2544</v>
      </c>
      <c r="Q14" s="1805" t="str">
        <f t="shared" si="6"/>
        <v>交通便捷度</v>
      </c>
      <c r="R14" s="770" t="s">
        <v>17</v>
      </c>
      <c r="S14" s="771">
        <f t="shared" si="0"/>
        <v>100</v>
      </c>
      <c r="T14" s="770" t="s">
        <v>17</v>
      </c>
      <c r="U14" s="771">
        <f t="shared" si="1"/>
        <v>100</v>
      </c>
      <c r="V14" s="770" t="s">
        <v>17</v>
      </c>
      <c r="W14" s="771">
        <f t="shared" si="2"/>
        <v>100</v>
      </c>
      <c r="X14" s="1808"/>
      <c r="Y14" s="3289" t="s">
        <v>2544</v>
      </c>
      <c r="Z14" s="1809" t="str">
        <f t="shared" si="7"/>
        <v>交通便捷度</v>
      </c>
      <c r="AA14" s="1806">
        <f t="shared" si="3"/>
        <v>1</v>
      </c>
      <c r="AB14" s="1806">
        <f t="shared" si="4"/>
        <v>1</v>
      </c>
      <c r="AC14" s="1806">
        <f t="shared" si="5"/>
        <v>1</v>
      </c>
    </row>
    <row r="15" spans="1:29" ht="15">
      <c r="A15" s="402"/>
      <c r="B15" s="645"/>
      <c r="C15" s="445"/>
      <c r="D15" s="446"/>
      <c r="E15" s="445"/>
      <c r="F15" s="447"/>
      <c r="G15" s="445"/>
      <c r="H15" s="448"/>
      <c r="I15" s="445"/>
      <c r="J15" s="446"/>
      <c r="K15" s="613"/>
      <c r="L15" s="1138"/>
      <c r="M15" s="1129"/>
      <c r="N15" s="1129"/>
      <c r="O15" s="1129"/>
      <c r="P15" s="3290"/>
      <c r="Q15" s="1805"/>
      <c r="R15" s="770"/>
      <c r="S15" s="771"/>
      <c r="T15" s="770"/>
      <c r="U15" s="771"/>
      <c r="V15" s="770"/>
      <c r="W15" s="771"/>
      <c r="X15" s="1808"/>
      <c r="Y15" s="3290"/>
      <c r="Z15" s="1809"/>
      <c r="AA15" s="1806">
        <v>1</v>
      </c>
      <c r="AB15" s="1806">
        <v>1</v>
      </c>
      <c r="AC15" s="1806">
        <v>1</v>
      </c>
    </row>
    <row r="16" spans="1:29" ht="15">
      <c r="A16" s="402"/>
      <c r="B16" s="629" t="s">
        <v>2672</v>
      </c>
      <c r="C16" s="2594">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290"/>
      <c r="Q16" s="1805" t="str">
        <f>B16</f>
        <v>公共配套设施</v>
      </c>
      <c r="R16" s="770" t="s">
        <v>17</v>
      </c>
      <c r="S16" s="771">
        <f>F16</f>
        <v>100</v>
      </c>
      <c r="T16" s="770" t="s">
        <v>17</v>
      </c>
      <c r="U16" s="771">
        <f>H16</f>
        <v>100</v>
      </c>
      <c r="V16" s="770" t="s">
        <v>17</v>
      </c>
      <c r="W16" s="771">
        <f>J16</f>
        <v>100</v>
      </c>
      <c r="X16" s="1808"/>
      <c r="Y16" s="3290"/>
      <c r="Z16" s="1809" t="str">
        <f>Q16</f>
        <v>公共配套设施</v>
      </c>
      <c r="AA16" s="1806">
        <f t="shared" si="3"/>
        <v>1</v>
      </c>
      <c r="AB16" s="1806">
        <f t="shared" si="4"/>
        <v>1</v>
      </c>
      <c r="AC16" s="1806">
        <f t="shared" si="5"/>
        <v>1</v>
      </c>
    </row>
    <row r="17" spans="1:29" ht="15">
      <c r="A17" s="402"/>
      <c r="B17" s="630"/>
      <c r="C17" s="2595"/>
      <c r="D17" s="446"/>
      <c r="E17" s="445"/>
      <c r="F17" s="447"/>
      <c r="G17" s="445"/>
      <c r="H17" s="446"/>
      <c r="I17" s="445"/>
      <c r="J17" s="446"/>
      <c r="K17" s="613"/>
      <c r="L17" s="1138"/>
      <c r="M17" s="1129"/>
      <c r="N17" s="1129"/>
      <c r="O17" s="1129"/>
      <c r="P17" s="3290"/>
      <c r="Q17" s="1805"/>
      <c r="R17" s="770"/>
      <c r="S17" s="771"/>
      <c r="T17" s="770"/>
      <c r="U17" s="771"/>
      <c r="V17" s="770"/>
      <c r="W17" s="771"/>
      <c r="X17" s="1808"/>
      <c r="Y17" s="3290"/>
      <c r="Z17" s="1809"/>
      <c r="AA17" s="1806">
        <v>1</v>
      </c>
      <c r="AB17" s="1806">
        <v>1</v>
      </c>
      <c r="AC17" s="1806">
        <v>1</v>
      </c>
    </row>
    <row r="18" spans="1:29" ht="15">
      <c r="A18" s="402"/>
      <c r="B18" s="631" t="s">
        <v>2673</v>
      </c>
      <c r="C18" s="2594">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290"/>
      <c r="Q18" s="1805" t="str">
        <f>B18</f>
        <v>基础设施水平</v>
      </c>
      <c r="R18" s="770" t="s">
        <v>17</v>
      </c>
      <c r="S18" s="771">
        <f>F18</f>
        <v>100</v>
      </c>
      <c r="T18" s="770" t="s">
        <v>17</v>
      </c>
      <c r="U18" s="771">
        <f>H18</f>
        <v>100</v>
      </c>
      <c r="V18" s="770" t="s">
        <v>17</v>
      </c>
      <c r="W18" s="771">
        <f>J18</f>
        <v>100</v>
      </c>
      <c r="X18" s="1808"/>
      <c r="Y18" s="3290"/>
      <c r="Z18" s="1809" t="str">
        <f>Q18</f>
        <v>基础设施水平</v>
      </c>
      <c r="AA18" s="1806">
        <f t="shared" ref="AA18" si="8">D18/F18</f>
        <v>1</v>
      </c>
      <c r="AB18" s="1806">
        <f t="shared" ref="AB18" si="9">D18/H18</f>
        <v>1</v>
      </c>
      <c r="AC18" s="1806">
        <f t="shared" ref="AC18" si="10">D18/J18</f>
        <v>1</v>
      </c>
    </row>
    <row r="19" spans="1:29" ht="15">
      <c r="A19" s="402"/>
      <c r="B19" s="631"/>
      <c r="C19" s="2595"/>
      <c r="D19" s="448"/>
      <c r="E19" s="2595"/>
      <c r="F19" s="451"/>
      <c r="G19" s="2595"/>
      <c r="H19" s="446"/>
      <c r="I19" s="445"/>
      <c r="J19" s="446"/>
      <c r="K19" s="1379"/>
      <c r="L19" s="1138"/>
      <c r="M19" s="1129"/>
      <c r="N19" s="1129"/>
      <c r="O19" s="1129"/>
      <c r="P19" s="3290"/>
      <c r="Q19" s="1805"/>
      <c r="R19" s="770"/>
      <c r="S19" s="771"/>
      <c r="T19" s="770"/>
      <c r="U19" s="771"/>
      <c r="V19" s="770"/>
      <c r="W19" s="771"/>
      <c r="X19" s="1808"/>
      <c r="Y19" s="3290"/>
      <c r="Z19" s="1809"/>
      <c r="AA19" s="1806">
        <v>1</v>
      </c>
      <c r="AB19" s="1806">
        <v>1</v>
      </c>
      <c r="AC19" s="1806">
        <v>1</v>
      </c>
    </row>
    <row r="20" spans="1:29" ht="15">
      <c r="A20" s="402"/>
      <c r="B20" s="629" t="s">
        <v>2694</v>
      </c>
      <c r="C20" s="2594">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290"/>
      <c r="Q20" s="1805" t="str">
        <f>B20</f>
        <v>自然及人文环境</v>
      </c>
      <c r="R20" s="770" t="s">
        <v>17</v>
      </c>
      <c r="S20" s="771">
        <f>F20</f>
        <v>100</v>
      </c>
      <c r="T20" s="770" t="s">
        <v>17</v>
      </c>
      <c r="U20" s="771">
        <f>H20</f>
        <v>100</v>
      </c>
      <c r="V20" s="770" t="s">
        <v>17</v>
      </c>
      <c r="W20" s="771">
        <f>J20</f>
        <v>100</v>
      </c>
      <c r="X20" s="1808"/>
      <c r="Y20" s="3290"/>
      <c r="Z20" s="1809" t="str">
        <f>Q20</f>
        <v>自然及人文环境</v>
      </c>
      <c r="AA20" s="1806">
        <f t="shared" si="3"/>
        <v>1</v>
      </c>
      <c r="AB20" s="1806">
        <f t="shared" si="4"/>
        <v>1</v>
      </c>
      <c r="AC20" s="1806">
        <f t="shared" si="5"/>
        <v>1</v>
      </c>
    </row>
    <row r="21" spans="1:29" ht="15">
      <c r="A21" s="402"/>
      <c r="B21" s="630"/>
      <c r="C21" s="445"/>
      <c r="D21" s="446"/>
      <c r="E21" s="445"/>
      <c r="F21" s="447"/>
      <c r="G21" s="445"/>
      <c r="H21" s="446"/>
      <c r="I21" s="445"/>
      <c r="J21" s="446"/>
      <c r="K21" s="613"/>
      <c r="L21" s="1138"/>
      <c r="M21" s="1129"/>
      <c r="N21" s="1129"/>
      <c r="O21" s="1129"/>
      <c r="P21" s="3290"/>
      <c r="Q21" s="1805"/>
      <c r="R21" s="770"/>
      <c r="S21" s="771"/>
      <c r="T21" s="770"/>
      <c r="U21" s="771"/>
      <c r="V21" s="770"/>
      <c r="W21" s="771"/>
      <c r="X21" s="1808"/>
      <c r="Y21" s="3290"/>
      <c r="Z21" s="1809"/>
      <c r="AA21" s="1806">
        <v>1</v>
      </c>
      <c r="AB21" s="1806">
        <v>1</v>
      </c>
      <c r="AC21" s="1806">
        <v>1</v>
      </c>
    </row>
    <row r="22" spans="1:29" ht="15">
      <c r="A22" s="402"/>
      <c r="B22" s="629" t="s">
        <v>2695</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290"/>
      <c r="Q22" s="1805" t="str">
        <f>B22</f>
        <v>楼层</v>
      </c>
      <c r="R22" s="770" t="s">
        <v>17</v>
      </c>
      <c r="S22" s="771">
        <f>F22</f>
        <v>100</v>
      </c>
      <c r="T22" s="770" t="s">
        <v>17</v>
      </c>
      <c r="U22" s="771">
        <f>H22</f>
        <v>100</v>
      </c>
      <c r="V22" s="770" t="s">
        <v>17</v>
      </c>
      <c r="W22" s="771">
        <f>J22</f>
        <v>100</v>
      </c>
      <c r="X22" s="1808"/>
      <c r="Y22" s="3290"/>
      <c r="Z22" s="1809" t="str">
        <f>Q22</f>
        <v>楼层</v>
      </c>
      <c r="AA22" s="1806">
        <f t="shared" si="3"/>
        <v>1</v>
      </c>
      <c r="AB22" s="1806">
        <f t="shared" si="4"/>
        <v>1</v>
      </c>
      <c r="AC22" s="1806">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290"/>
      <c r="Q23" s="1805">
        <f>B23</f>
        <v>111</v>
      </c>
      <c r="R23" s="770" t="s">
        <v>17</v>
      </c>
      <c r="S23" s="771">
        <f>F23</f>
        <v>100</v>
      </c>
      <c r="T23" s="770" t="s">
        <v>17</v>
      </c>
      <c r="U23" s="771">
        <f>H23</f>
        <v>100</v>
      </c>
      <c r="V23" s="770" t="s">
        <v>17</v>
      </c>
      <c r="W23" s="771">
        <f>J23</f>
        <v>100</v>
      </c>
      <c r="X23" s="1808"/>
      <c r="Y23" s="3290"/>
      <c r="Z23" s="1809">
        <f>Q23</f>
        <v>111</v>
      </c>
      <c r="AA23" s="1806">
        <f t="shared" si="3"/>
        <v>1</v>
      </c>
      <c r="AB23" s="1806">
        <f t="shared" si="4"/>
        <v>1</v>
      </c>
      <c r="AC23" s="1806">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290"/>
      <c r="Q24" s="1805">
        <f t="shared" ref="Q24:Q36" si="11">B24</f>
        <v>111</v>
      </c>
      <c r="R24" s="770" t="s">
        <v>17</v>
      </c>
      <c r="S24" s="771">
        <f>F24</f>
        <v>100</v>
      </c>
      <c r="T24" s="770" t="s">
        <v>17</v>
      </c>
      <c r="U24" s="771">
        <f>H24</f>
        <v>100</v>
      </c>
      <c r="V24" s="770" t="s">
        <v>17</v>
      </c>
      <c r="W24" s="771">
        <f>J24</f>
        <v>100</v>
      </c>
      <c r="X24" s="1808"/>
      <c r="Y24" s="3290"/>
      <c r="Z24" s="1809">
        <f>Q24</f>
        <v>111</v>
      </c>
      <c r="AA24" s="1806">
        <f t="shared" si="3"/>
        <v>1</v>
      </c>
      <c r="AB24" s="1806">
        <f t="shared" si="4"/>
        <v>1</v>
      </c>
      <c r="AC24" s="1806">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290"/>
      <c r="Q25" s="1790">
        <f t="shared" si="11"/>
        <v>111</v>
      </c>
      <c r="R25" s="766" t="s">
        <v>17</v>
      </c>
      <c r="S25" s="767">
        <f>F25</f>
        <v>100</v>
      </c>
      <c r="T25" s="766" t="s">
        <v>17</v>
      </c>
      <c r="U25" s="767">
        <f>H25</f>
        <v>100</v>
      </c>
      <c r="V25" s="766" t="s">
        <v>17</v>
      </c>
      <c r="W25" s="767">
        <f>J25</f>
        <v>100</v>
      </c>
      <c r="X25" s="768"/>
      <c r="Y25" s="3290"/>
      <c r="Z25" s="55">
        <f>Q25</f>
        <v>111</v>
      </c>
      <c r="AA25" s="1806">
        <f>D25/F25</f>
        <v>1</v>
      </c>
      <c r="AB25" s="1806">
        <f>D25/H25</f>
        <v>1</v>
      </c>
      <c r="AC25" s="1806">
        <f>D25/J25</f>
        <v>1</v>
      </c>
    </row>
    <row r="26" spans="1:29" ht="15">
      <c r="A26" s="650" t="s">
        <v>2547</v>
      </c>
      <c r="B26" s="70" t="s">
        <v>2696</v>
      </c>
      <c r="C26" s="2681">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291" t="s">
        <v>2549</v>
      </c>
      <c r="Q26" s="1805" t="str">
        <f t="shared" si="11"/>
        <v>配套类型</v>
      </c>
      <c r="R26" s="770" t="s">
        <v>17</v>
      </c>
      <c r="S26" s="771">
        <f t="shared" ref="S26:S36" si="12">F26</f>
        <v>100</v>
      </c>
      <c r="T26" s="770" t="s">
        <v>17</v>
      </c>
      <c r="U26" s="771">
        <f t="shared" ref="U26:U36" si="13">H26</f>
        <v>100</v>
      </c>
      <c r="V26" s="770" t="s">
        <v>17</v>
      </c>
      <c r="W26" s="771">
        <f t="shared" ref="W26:W36" si="14">J26</f>
        <v>100</v>
      </c>
      <c r="X26" s="1808"/>
      <c r="Y26" s="3292" t="s">
        <v>2549</v>
      </c>
      <c r="Z26" s="1809" t="str">
        <f t="shared" ref="Z26:Z36" si="15">Q26</f>
        <v>配套类型</v>
      </c>
      <c r="AA26" s="1806">
        <f t="shared" si="3"/>
        <v>1</v>
      </c>
      <c r="AB26" s="1806">
        <f t="shared" si="4"/>
        <v>1</v>
      </c>
      <c r="AC26" s="1806">
        <f t="shared" si="5"/>
        <v>1</v>
      </c>
    </row>
    <row r="27" spans="1:29" s="469" customFormat="1" ht="15">
      <c r="A27" s="651"/>
      <c r="B27" s="652" t="s">
        <v>2697</v>
      </c>
      <c r="C27" s="653"/>
      <c r="D27" s="134">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292"/>
      <c r="Q27" s="772" t="str">
        <f t="shared" si="11"/>
        <v>项目停车位配比</v>
      </c>
      <c r="R27" s="773" t="s">
        <v>17</v>
      </c>
      <c r="S27" s="774">
        <f t="shared" si="12"/>
        <v>100</v>
      </c>
      <c r="T27" s="773" t="s">
        <v>17</v>
      </c>
      <c r="U27" s="774">
        <f t="shared" si="13"/>
        <v>100</v>
      </c>
      <c r="V27" s="773" t="s">
        <v>17</v>
      </c>
      <c r="W27" s="774">
        <f t="shared" si="14"/>
        <v>100</v>
      </c>
      <c r="X27" s="775"/>
      <c r="Y27" s="3292"/>
      <c r="Z27" s="776" t="str">
        <f t="shared" si="15"/>
        <v>项目停车位配比</v>
      </c>
      <c r="AA27" s="1806">
        <f t="shared" si="3"/>
        <v>1</v>
      </c>
      <c r="AB27" s="1806">
        <f t="shared" si="4"/>
        <v>1</v>
      </c>
      <c r="AC27" s="1806">
        <f t="shared" si="5"/>
        <v>1</v>
      </c>
    </row>
    <row r="28" spans="1:29" ht="15">
      <c r="A28" s="654"/>
      <c r="B28" s="652" t="s">
        <v>2698</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292"/>
      <c r="Q28" s="1805" t="str">
        <f t="shared" si="11"/>
        <v>公共部分装修</v>
      </c>
      <c r="R28" s="770" t="s">
        <v>17</v>
      </c>
      <c r="S28" s="771">
        <f t="shared" si="12"/>
        <v>100</v>
      </c>
      <c r="T28" s="770" t="s">
        <v>17</v>
      </c>
      <c r="U28" s="771">
        <f t="shared" si="13"/>
        <v>100</v>
      </c>
      <c r="V28" s="770" t="s">
        <v>17</v>
      </c>
      <c r="W28" s="771">
        <f t="shared" si="14"/>
        <v>100</v>
      </c>
      <c r="X28" s="1808"/>
      <c r="Y28" s="3292"/>
      <c r="Z28" s="1809" t="str">
        <f t="shared" si="15"/>
        <v>公共部分装修</v>
      </c>
      <c r="AA28" s="1806">
        <f t="shared" si="3"/>
        <v>1</v>
      </c>
      <c r="AB28" s="1806">
        <f t="shared" si="4"/>
        <v>1</v>
      </c>
      <c r="AC28" s="1806">
        <f t="shared" si="5"/>
        <v>1</v>
      </c>
    </row>
    <row r="29" spans="1:29" ht="15">
      <c r="A29" s="654"/>
      <c r="B29" s="652" t="s">
        <v>2699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292"/>
      <c r="Q29" s="1805" t="str">
        <f t="shared" si="11"/>
        <v>成新率</v>
      </c>
      <c r="R29" s="770" t="s">
        <v>17</v>
      </c>
      <c r="S29" s="771" t="e">
        <f t="shared" si="12"/>
        <v>#N/A</v>
      </c>
      <c r="T29" s="770" t="s">
        <v>17</v>
      </c>
      <c r="U29" s="771" t="e">
        <f t="shared" si="13"/>
        <v>#N/A</v>
      </c>
      <c r="V29" s="770" t="s">
        <v>17</v>
      </c>
      <c r="W29" s="771" t="e">
        <f t="shared" si="14"/>
        <v>#N/A</v>
      </c>
      <c r="X29" s="1808"/>
      <c r="Y29" s="3292"/>
      <c r="Z29" s="1809" t="str">
        <f t="shared" si="15"/>
        <v>成新率</v>
      </c>
      <c r="AA29" s="1806" t="e">
        <f t="shared" si="3"/>
        <v>#N/A</v>
      </c>
      <c r="AB29" s="1806" t="e">
        <f t="shared" si="4"/>
        <v>#N/A</v>
      </c>
      <c r="AC29" s="1806" t="e">
        <f t="shared" si="5"/>
        <v>#N/A</v>
      </c>
    </row>
    <row r="30" spans="1:29" ht="15">
      <c r="A30" s="654"/>
      <c r="B30" s="652" t="s">
        <v>2700</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292"/>
      <c r="Q30" s="1805" t="str">
        <f t="shared" si="11"/>
        <v>物业等级</v>
      </c>
      <c r="R30" s="770" t="s">
        <v>17</v>
      </c>
      <c r="S30" s="771">
        <f t="shared" si="12"/>
        <v>100</v>
      </c>
      <c r="T30" s="770" t="s">
        <v>17</v>
      </c>
      <c r="U30" s="771">
        <f t="shared" si="13"/>
        <v>100</v>
      </c>
      <c r="V30" s="770" t="s">
        <v>17</v>
      </c>
      <c r="W30" s="771">
        <f t="shared" si="14"/>
        <v>100</v>
      </c>
      <c r="X30" s="1808"/>
      <c r="Y30" s="3292"/>
      <c r="Z30" s="1809" t="str">
        <f t="shared" si="15"/>
        <v>物业等级</v>
      </c>
      <c r="AA30" s="1806">
        <f t="shared" si="3"/>
        <v>1</v>
      </c>
      <c r="AB30" s="1806">
        <f t="shared" si="4"/>
        <v>1</v>
      </c>
      <c r="AC30" s="1806">
        <f t="shared" si="5"/>
        <v>1</v>
      </c>
    </row>
    <row r="31" spans="1:29" s="116" customFormat="1" ht="15">
      <c r="A31" s="656"/>
      <c r="B31" s="652" t="s">
        <v>2701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292"/>
      <c r="Q31" s="1790" t="str">
        <f t="shared" si="11"/>
        <v>停车位面积</v>
      </c>
      <c r="R31" s="766" t="s">
        <v>17</v>
      </c>
      <c r="S31" s="767" t="e">
        <f t="shared" si="12"/>
        <v>#N/A</v>
      </c>
      <c r="T31" s="766" t="s">
        <v>17</v>
      </c>
      <c r="U31" s="767" t="e">
        <f t="shared" si="13"/>
        <v>#N/A</v>
      </c>
      <c r="V31" s="766" t="s">
        <v>17</v>
      </c>
      <c r="W31" s="767" t="e">
        <f t="shared" si="14"/>
        <v>#N/A</v>
      </c>
      <c r="X31" s="768"/>
      <c r="Y31" s="3292"/>
      <c r="Z31" s="55" t="str">
        <f t="shared" si="15"/>
        <v>停车位面积</v>
      </c>
      <c r="AA31" s="769" t="e">
        <f t="shared" si="3"/>
        <v>#N/A</v>
      </c>
      <c r="AB31" s="769" t="e">
        <f t="shared" si="4"/>
        <v>#N/A</v>
      </c>
      <c r="AC31" s="769" t="e">
        <f t="shared" si="5"/>
        <v>#N/A</v>
      </c>
    </row>
    <row r="32" spans="1:29" ht="15">
      <c r="A32" s="654"/>
      <c r="B32" s="652" t="s">
        <v>2702</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292" t="s">
        <v>2549</v>
      </c>
      <c r="Q32" s="1805" t="str">
        <f t="shared" si="11"/>
        <v>车位类型</v>
      </c>
      <c r="R32" s="770" t="s">
        <v>17</v>
      </c>
      <c r="S32" s="771">
        <f t="shared" si="12"/>
        <v>100</v>
      </c>
      <c r="T32" s="770" t="s">
        <v>17</v>
      </c>
      <c r="U32" s="771">
        <f t="shared" si="13"/>
        <v>100</v>
      </c>
      <c r="V32" s="770" t="s">
        <v>17</v>
      </c>
      <c r="W32" s="771">
        <f t="shared" si="14"/>
        <v>100</v>
      </c>
      <c r="X32" s="1808"/>
      <c r="Y32" s="3292" t="s">
        <v>2549</v>
      </c>
      <c r="Z32" s="1809" t="str">
        <f t="shared" si="15"/>
        <v>车位类型</v>
      </c>
      <c r="AA32" s="1806">
        <f t="shared" si="3"/>
        <v>1</v>
      </c>
      <c r="AB32" s="1806">
        <f t="shared" si="4"/>
        <v>1</v>
      </c>
      <c r="AC32" s="1806">
        <f t="shared" si="5"/>
        <v>1</v>
      </c>
    </row>
    <row r="33" spans="1:29" ht="15">
      <c r="A33" s="654"/>
      <c r="B33" s="652" t="s">
        <v>2703</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292"/>
      <c r="Q33" s="1805" t="str">
        <f t="shared" si="11"/>
        <v>是否直接入户</v>
      </c>
      <c r="R33" s="770" t="s">
        <v>17</v>
      </c>
      <c r="S33" s="771">
        <f t="shared" si="12"/>
        <v>100</v>
      </c>
      <c r="T33" s="770" t="s">
        <v>17</v>
      </c>
      <c r="U33" s="771">
        <f t="shared" si="13"/>
        <v>100</v>
      </c>
      <c r="V33" s="770" t="s">
        <v>17</v>
      </c>
      <c r="W33" s="771">
        <f t="shared" si="14"/>
        <v>100</v>
      </c>
      <c r="X33" s="1808"/>
      <c r="Y33" s="3292"/>
      <c r="Z33" s="1809" t="str">
        <f t="shared" si="15"/>
        <v>是否直接入户</v>
      </c>
      <c r="AA33" s="1806">
        <f t="shared" si="3"/>
        <v>1</v>
      </c>
      <c r="AB33" s="1806">
        <f t="shared" si="4"/>
        <v>1</v>
      </c>
      <c r="AC33" s="1806">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292"/>
      <c r="Q34" s="1805">
        <f t="shared" si="11"/>
        <v>111</v>
      </c>
      <c r="R34" s="770" t="s">
        <v>17</v>
      </c>
      <c r="S34" s="771">
        <f t="shared" si="12"/>
        <v>100</v>
      </c>
      <c r="T34" s="770" t="s">
        <v>17</v>
      </c>
      <c r="U34" s="771">
        <f t="shared" si="13"/>
        <v>100</v>
      </c>
      <c r="V34" s="770" t="s">
        <v>17</v>
      </c>
      <c r="W34" s="771">
        <f t="shared" si="14"/>
        <v>100</v>
      </c>
      <c r="X34" s="1808"/>
      <c r="Y34" s="3292"/>
      <c r="Z34" s="1809">
        <f t="shared" si="15"/>
        <v>111</v>
      </c>
      <c r="AA34" s="1806">
        <f t="shared" si="3"/>
        <v>1</v>
      </c>
      <c r="AB34" s="1806">
        <f t="shared" si="4"/>
        <v>1</v>
      </c>
      <c r="AC34" s="1806">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292"/>
      <c r="Q35" s="772">
        <f t="shared" si="11"/>
        <v>111</v>
      </c>
      <c r="R35" s="773" t="s">
        <v>17</v>
      </c>
      <c r="S35" s="774">
        <f t="shared" si="12"/>
        <v>100</v>
      </c>
      <c r="T35" s="773" t="s">
        <v>17</v>
      </c>
      <c r="U35" s="774">
        <f t="shared" si="13"/>
        <v>100</v>
      </c>
      <c r="V35" s="773" t="s">
        <v>17</v>
      </c>
      <c r="W35" s="774">
        <f t="shared" si="14"/>
        <v>100</v>
      </c>
      <c r="X35" s="775"/>
      <c r="Y35" s="3292"/>
      <c r="Z35" s="776">
        <f t="shared" si="15"/>
        <v>111</v>
      </c>
      <c r="AA35" s="1806">
        <f t="shared" si="3"/>
        <v>1</v>
      </c>
      <c r="AB35" s="1806">
        <f t="shared" si="4"/>
        <v>1</v>
      </c>
      <c r="AC35" s="1806">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292"/>
      <c r="Q36" s="1805">
        <f t="shared" si="11"/>
        <v>111</v>
      </c>
      <c r="R36" s="770" t="s">
        <v>17</v>
      </c>
      <c r="S36" s="771">
        <f t="shared" si="12"/>
        <v>100</v>
      </c>
      <c r="T36" s="770" t="s">
        <v>17</v>
      </c>
      <c r="U36" s="771">
        <f t="shared" si="13"/>
        <v>100</v>
      </c>
      <c r="V36" s="770" t="s">
        <v>17</v>
      </c>
      <c r="W36" s="771">
        <f t="shared" si="14"/>
        <v>100</v>
      </c>
      <c r="X36" s="1808"/>
      <c r="Y36" s="3292"/>
      <c r="Z36" s="1809">
        <f t="shared" si="15"/>
        <v>111</v>
      </c>
      <c r="AA36" s="1806">
        <f t="shared" si="3"/>
        <v>1</v>
      </c>
      <c r="AB36" s="1806">
        <f t="shared" si="4"/>
        <v>1</v>
      </c>
      <c r="AC36" s="1806">
        <f t="shared" si="5"/>
        <v>1</v>
      </c>
    </row>
    <row r="37" spans="1:29" ht="15">
      <c r="A37" s="477" t="s">
        <v>2704</v>
      </c>
      <c r="B37" s="2682" t="s">
        <v>2705</v>
      </c>
      <c r="C37" s="1403" t="s">
        <v>1</v>
      </c>
      <c r="D37" s="1404"/>
      <c r="E37" s="1405"/>
      <c r="F37" s="1406"/>
      <c r="G37" s="1407"/>
      <c r="H37" s="1408"/>
      <c r="I37" s="1405"/>
      <c r="J37" s="1408"/>
      <c r="K37" s="617"/>
      <c r="L37" s="1141"/>
      <c r="M37" s="1142"/>
      <c r="N37" s="1129"/>
      <c r="O37" s="1142"/>
      <c r="P37" s="3274" t="str">
        <f>A37</f>
        <v>成交单价</v>
      </c>
      <c r="Q37" s="3274"/>
      <c r="R37" s="3301">
        <f>E37</f>
        <v>0</v>
      </c>
      <c r="S37" s="3301"/>
      <c r="T37" s="3301">
        <f>G37</f>
        <v>0</v>
      </c>
      <c r="U37" s="3301"/>
      <c r="V37" s="3301">
        <f>I37</f>
        <v>0</v>
      </c>
      <c r="W37" s="3301"/>
      <c r="X37" s="755"/>
      <c r="Y37" s="777"/>
      <c r="Z37" s="755"/>
      <c r="AA37" s="755"/>
      <c r="AB37" s="755"/>
      <c r="AC37" s="755"/>
    </row>
    <row r="38" spans="1:29" ht="15.75" thickBot="1">
      <c r="A38" s="484" t="s">
        <v>2706</v>
      </c>
      <c r="B38" s="485" t="str">
        <f>B37</f>
        <v>元/车位</v>
      </c>
      <c r="C38" s="1409" t="e">
        <f>R39</f>
        <v>#DIV/0!</v>
      </c>
      <c r="D38" s="1410"/>
      <c r="E38" s="1411" t="e">
        <f>R38</f>
        <v>#DIV/0!</v>
      </c>
      <c r="F38" s="1411"/>
      <c r="G38" s="1409" t="e">
        <f>T38</f>
        <v>#DIV/0!</v>
      </c>
      <c r="H38" s="1410"/>
      <c r="I38" s="1411" t="e">
        <f>V38</f>
        <v>#DIV/0!</v>
      </c>
      <c r="J38" s="1410"/>
      <c r="K38" s="618"/>
      <c r="L38" s="1141"/>
      <c r="M38" s="1142"/>
      <c r="N38" s="1142"/>
      <c r="O38" s="1142"/>
      <c r="P38" s="3274" t="str">
        <f>A38</f>
        <v>比较价值（元/平方米）</v>
      </c>
      <c r="Q38" s="3274"/>
      <c r="R38" s="3301" t="e">
        <f>IF(F1="售价",ROUND(PRODUCT(R37,AA7:AA36),0),ROUND(PRODUCT(R37,AA7:AA36),1))</f>
        <v>#DIV/0!</v>
      </c>
      <c r="S38" s="3301"/>
      <c r="T38" s="3301" t="e">
        <f>IF(F1="售价",ROUND(PRODUCT(T37,AB7:AB36),0),ROUND(PRODUCT(T37,AB7:AB36),1))</f>
        <v>#DIV/0!</v>
      </c>
      <c r="U38" s="3301"/>
      <c r="V38" s="3301" t="e">
        <f>IF(F1="售价",ROUND(PRODUCT(V37,AC7:AC36),0),ROUND(PRODUCT(V37,AC7:AC36),1))</f>
        <v>#DIV/0!</v>
      </c>
      <c r="W38" s="3301"/>
      <c r="X38" s="755"/>
      <c r="Y38" s="755"/>
      <c r="Z38" s="755"/>
      <c r="AA38" s="755"/>
      <c r="AB38" s="755"/>
      <c r="AC38" s="755"/>
    </row>
    <row r="39" spans="1:29" ht="15.75" thickBot="1">
      <c r="A39" s="490" t="s">
        <v>2707</v>
      </c>
      <c r="B39" s="491"/>
      <c r="C39" s="1413" t="e">
        <f>R39</f>
        <v>#DIV/0!</v>
      </c>
      <c r="D39" s="1413"/>
      <c r="E39" s="1413"/>
      <c r="F39" s="1413"/>
      <c r="G39" s="1413"/>
      <c r="H39" s="1413"/>
      <c r="I39" s="1413"/>
      <c r="J39" s="1413"/>
      <c r="K39" s="619"/>
      <c r="L39" s="1141"/>
      <c r="M39" s="1142"/>
      <c r="N39" s="1142"/>
      <c r="O39" s="1142"/>
      <c r="P39" s="3294" t="str">
        <f>A39</f>
        <v>估价对象XX用房的比较价值（楼面单价，元/平方米）</v>
      </c>
      <c r="Q39" s="3295"/>
      <c r="R39" s="3302" t="e">
        <f>IF(F1="售价",ROUND(AVERAGE(R38:V38),0),ROUND(AVERAGE(R38:V38),1))</f>
        <v>#DIV/0!</v>
      </c>
      <c r="S39" s="3302"/>
      <c r="T39" s="3302"/>
      <c r="U39" s="3302"/>
      <c r="V39" s="3302"/>
      <c r="W39" s="3302"/>
      <c r="X39" s="755"/>
      <c r="Y39" s="755"/>
      <c r="Z39" s="755"/>
      <c r="AA39" s="755"/>
      <c r="AB39" s="755"/>
      <c r="AC39" s="755"/>
    </row>
    <row r="40" spans="1:29">
      <c r="A40" s="1142"/>
      <c r="B40" s="1142"/>
      <c r="C40" s="1142"/>
      <c r="D40" s="1142"/>
      <c r="E40" s="1142"/>
      <c r="F40" s="1142"/>
      <c r="G40" s="1145"/>
      <c r="H40" s="1142"/>
      <c r="I40" s="1142"/>
      <c r="J40" s="1142"/>
      <c r="K40" s="1103"/>
      <c r="L40" s="1104"/>
      <c r="M40" s="1142"/>
      <c r="N40" s="1142"/>
      <c r="O40" s="1142"/>
      <c r="P40" s="1416"/>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6"/>
      <c r="Q41" s="1142"/>
      <c r="R41" s="1142"/>
      <c r="S41" s="1142"/>
      <c r="T41" s="1142"/>
      <c r="U41" s="1142"/>
      <c r="V41" s="1142"/>
      <c r="W41" s="1142"/>
      <c r="X41" s="1142"/>
      <c r="Y41" s="1142"/>
      <c r="Z41" s="1142"/>
      <c r="AA41" s="1142"/>
      <c r="AB41" s="1142"/>
      <c r="AC41" s="1142"/>
    </row>
    <row r="42" spans="1:29" ht="13.5" customHeight="1">
      <c r="A42" s="1142"/>
      <c r="B42" s="1142"/>
      <c r="C42" s="495" t="s">
        <v>2708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6"/>
      <c r="Q42" s="1142"/>
      <c r="R42" s="1142"/>
      <c r="S42" s="1142"/>
      <c r="T42" s="1142"/>
      <c r="U42" s="1142"/>
      <c r="V42" s="1142"/>
      <c r="W42" s="1142"/>
      <c r="X42" s="1142"/>
      <c r="Y42" s="1142"/>
      <c r="Z42" s="1142"/>
      <c r="AA42" s="1142"/>
      <c r="AB42" s="1142"/>
      <c r="AC42" s="1142"/>
    </row>
    <row r="43" spans="1:29" ht="13.5" customHeight="1">
      <c r="A43" s="1142"/>
      <c r="B43" s="1142"/>
      <c r="C43" s="495" t="s">
        <v>2709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6"/>
      <c r="Q43" s="1142"/>
      <c r="R43" s="1142"/>
      <c r="S43" s="1142"/>
      <c r="T43" s="1142"/>
      <c r="U43" s="1142"/>
      <c r="V43" s="1142"/>
      <c r="W43" s="1142"/>
      <c r="X43" s="1142"/>
      <c r="Y43" s="1142"/>
      <c r="Z43" s="1142"/>
      <c r="AA43" s="1142"/>
      <c r="AB43" s="1142"/>
      <c r="AC43" s="1142"/>
    </row>
    <row r="44" spans="1:29" s="500" customFormat="1" ht="13.5" customHeight="1">
      <c r="A44" s="1143"/>
      <c r="B44" s="1143"/>
      <c r="C44" s="495" t="s">
        <v>2710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7"/>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7"/>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6"/>
      <c r="Q46" s="1142"/>
      <c r="R46" s="1142"/>
      <c r="S46" s="1142"/>
      <c r="T46" s="1142"/>
      <c r="U46" s="1142"/>
      <c r="V46" s="1142"/>
      <c r="W46" s="1142"/>
      <c r="X46" s="1142"/>
      <c r="Y46" s="1142"/>
      <c r="Z46" s="1142"/>
      <c r="AA46" s="1142"/>
      <c r="AB46" s="1142"/>
      <c r="AC46" s="1142"/>
    </row>
    <row r="47" spans="1:29" ht="21.75" thickBot="1">
      <c r="A47" s="1420" t="s">
        <v>2711</v>
      </c>
      <c r="B47" s="1142"/>
      <c r="C47" s="1157"/>
      <c r="D47" s="1157"/>
      <c r="E47" s="1157"/>
      <c r="F47" s="1421"/>
      <c r="G47" s="1421"/>
      <c r="H47" s="1157"/>
      <c r="I47" s="1157"/>
      <c r="J47" s="1157"/>
      <c r="K47" s="1158"/>
      <c r="L47" s="1159"/>
      <c r="M47" s="1157"/>
      <c r="N47" s="1157"/>
      <c r="O47" s="1157"/>
      <c r="P47" s="1418"/>
      <c r="Q47" s="1419"/>
      <c r="R47" s="1142"/>
      <c r="S47" s="1142"/>
      <c r="T47" s="1142"/>
      <c r="U47" s="1142"/>
      <c r="V47" s="1142"/>
      <c r="W47" s="1142"/>
      <c r="X47" s="1142"/>
      <c r="Y47" s="1142"/>
      <c r="Z47" s="1142"/>
      <c r="AA47" s="1142"/>
      <c r="AB47" s="1142"/>
      <c r="AC47" s="1142"/>
    </row>
    <row r="48" spans="1:29" s="506" customFormat="1" ht="15">
      <c r="A48" s="503" t="s">
        <v>2712</v>
      </c>
      <c r="B48" s="504"/>
      <c r="C48" s="1569" t="str">
        <f>YEAR(C7)&amp;"-"&amp;MONTH(C7)</f>
        <v>2018-4</v>
      </c>
      <c r="D48" s="1570">
        <f>EDATE(C48,-1)</f>
        <v>43160</v>
      </c>
      <c r="E48" s="1570">
        <f t="shared" ref="E48:O48" si="16">EDATE(D48,-1)</f>
        <v>43132</v>
      </c>
      <c r="F48" s="1570">
        <f t="shared" si="16"/>
        <v>43101</v>
      </c>
      <c r="G48" s="1570">
        <f t="shared" si="16"/>
        <v>43070</v>
      </c>
      <c r="H48" s="1570">
        <f t="shared" si="16"/>
        <v>43040</v>
      </c>
      <c r="I48" s="1570">
        <f t="shared" si="16"/>
        <v>43009</v>
      </c>
      <c r="J48" s="1570">
        <f t="shared" si="16"/>
        <v>42979</v>
      </c>
      <c r="K48" s="1570">
        <f t="shared" si="16"/>
        <v>42948</v>
      </c>
      <c r="L48" s="1570">
        <f t="shared" si="16"/>
        <v>42917</v>
      </c>
      <c r="M48" s="1570">
        <f t="shared" si="16"/>
        <v>42887</v>
      </c>
      <c r="N48" s="1570">
        <f t="shared" si="16"/>
        <v>42856</v>
      </c>
      <c r="O48" s="1570">
        <f t="shared" si="16"/>
        <v>42826</v>
      </c>
      <c r="P48" s="1434"/>
      <c r="Q48" s="1435"/>
      <c r="R48" s="1435"/>
      <c r="S48" s="1435"/>
      <c r="T48" s="1435"/>
      <c r="U48" s="1435"/>
      <c r="V48" s="1435"/>
      <c r="W48" s="1435"/>
      <c r="X48" s="1435"/>
      <c r="Y48" s="1435"/>
      <c r="Z48" s="1435"/>
      <c r="AA48" s="1435"/>
      <c r="AB48" s="1435"/>
      <c r="AC48" s="1435"/>
    </row>
    <row r="49" spans="1:29" s="116" customFormat="1" ht="15">
      <c r="A49" s="507"/>
      <c r="B49" s="508"/>
      <c r="C49" s="1562">
        <v>100</v>
      </c>
      <c r="D49" s="510"/>
      <c r="E49" s="510"/>
      <c r="F49" s="510"/>
      <c r="G49" s="510"/>
      <c r="H49" s="510"/>
      <c r="I49" s="510"/>
      <c r="J49" s="510"/>
      <c r="K49" s="510"/>
      <c r="L49" s="510"/>
      <c r="M49" s="511"/>
      <c r="N49" s="510"/>
      <c r="O49" s="511"/>
      <c r="P49" s="1424"/>
      <c r="Q49" s="1423"/>
      <c r="R49" s="1423"/>
      <c r="S49" s="1423"/>
      <c r="T49" s="1423"/>
      <c r="U49" s="1423"/>
      <c r="V49" s="1423"/>
      <c r="W49" s="1423"/>
      <c r="X49" s="1423"/>
      <c r="Y49" s="1423"/>
      <c r="Z49" s="1423"/>
      <c r="AA49" s="1423"/>
      <c r="AB49" s="1423"/>
      <c r="AC49" s="1423"/>
    </row>
    <row r="50" spans="1:29" s="116" customFormat="1" ht="15.75" thickBot="1">
      <c r="A50" s="513" t="s">
        <v>2569</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6" customFormat="1" ht="15">
      <c r="A51" s="519" t="s">
        <v>2534</v>
      </c>
      <c r="B51" s="508"/>
      <c r="C51" s="520" t="s">
        <v>2636</v>
      </c>
      <c r="D51" s="521"/>
      <c r="E51" s="521"/>
      <c r="F51" s="521"/>
      <c r="G51" s="521"/>
      <c r="H51" s="521"/>
      <c r="I51" s="521"/>
      <c r="J51" s="521"/>
      <c r="K51" s="521"/>
      <c r="L51" s="522"/>
      <c r="M51" s="523"/>
      <c r="N51" s="1149"/>
      <c r="O51" s="1149"/>
      <c r="P51" s="1422"/>
      <c r="Q51" s="1419"/>
      <c r="R51" s="1423"/>
      <c r="S51" s="1423"/>
      <c r="T51" s="1423"/>
      <c r="U51" s="1423"/>
      <c r="V51" s="1423"/>
      <c r="W51" s="1423"/>
      <c r="X51" s="1423"/>
      <c r="Y51" s="1423"/>
      <c r="Z51" s="1423"/>
      <c r="AA51" s="1423"/>
      <c r="AB51" s="1423"/>
      <c r="AC51" s="1423"/>
    </row>
    <row r="52" spans="1:29" s="116" customFormat="1" ht="15.75" thickBot="1">
      <c r="A52" s="519"/>
      <c r="B52" s="508"/>
      <c r="C52" s="637">
        <v>100</v>
      </c>
      <c r="D52" s="510"/>
      <c r="E52" s="510"/>
      <c r="F52" s="510"/>
      <c r="G52" s="510"/>
      <c r="H52" s="510"/>
      <c r="I52" s="510"/>
      <c r="J52" s="510"/>
      <c r="K52" s="510"/>
      <c r="L52" s="510"/>
      <c r="M52" s="512"/>
      <c r="N52" s="1149"/>
      <c r="O52" s="1149"/>
      <c r="P52" s="1424"/>
      <c r="Q52" s="1419"/>
      <c r="R52" s="1423"/>
      <c r="S52" s="1423"/>
      <c r="T52" s="1423"/>
      <c r="U52" s="1423"/>
      <c r="V52" s="1423"/>
      <c r="W52" s="1423"/>
      <c r="X52" s="1423"/>
      <c r="Y52" s="1423"/>
      <c r="Z52" s="1423"/>
      <c r="AA52" s="1423"/>
      <c r="AB52" s="1423"/>
      <c r="AC52" s="1423"/>
    </row>
    <row r="53" spans="1:29">
      <c r="A53" s="525" t="s">
        <v>2572</v>
      </c>
      <c r="B53" s="526" t="s">
        <v>2538</v>
      </c>
      <c r="C53" s="527">
        <f>C9</f>
        <v>0</v>
      </c>
      <c r="D53" s="528"/>
      <c r="E53" s="528"/>
      <c r="F53" s="528"/>
      <c r="G53" s="528"/>
      <c r="H53" s="528"/>
      <c r="I53" s="528"/>
      <c r="J53" s="528"/>
      <c r="K53" s="529"/>
      <c r="L53" s="530"/>
      <c r="M53" s="531"/>
      <c r="N53" s="1150"/>
      <c r="O53" s="1150"/>
      <c r="P53" s="1425"/>
      <c r="Q53" s="1419"/>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5"/>
      <c r="Q54" s="1419"/>
      <c r="R54" s="1142"/>
      <c r="S54" s="1142"/>
      <c r="T54" s="1142"/>
      <c r="U54" s="1142"/>
      <c r="V54" s="1142"/>
      <c r="W54" s="1142"/>
      <c r="X54" s="1142"/>
      <c r="Y54" s="1142"/>
      <c r="Z54" s="1142"/>
      <c r="AA54" s="1142"/>
      <c r="AB54" s="1142"/>
      <c r="AC54" s="1142"/>
    </row>
    <row r="55" spans="1:29" ht="27.75" thickTop="1">
      <c r="A55" s="532"/>
      <c r="B55" s="536" t="s">
        <v>2541</v>
      </c>
      <c r="C55" s="537" t="s">
        <v>2573</v>
      </c>
      <c r="D55" s="537" t="s">
        <v>2574</v>
      </c>
      <c r="E55" s="537" t="s">
        <v>2575</v>
      </c>
      <c r="F55" s="537" t="s">
        <v>2576</v>
      </c>
      <c r="G55" s="537" t="s">
        <v>2577</v>
      </c>
      <c r="H55" s="537" t="s">
        <v>2578</v>
      </c>
      <c r="I55" s="537" t="s">
        <v>2579</v>
      </c>
      <c r="J55" s="537"/>
      <c r="K55" s="538"/>
      <c r="L55" s="539"/>
      <c r="M55" s="540"/>
      <c r="N55" s="1150"/>
      <c r="O55" s="1150"/>
      <c r="P55" s="1425"/>
      <c r="Q55" s="1419"/>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5"/>
      <c r="Q56" s="1419"/>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5"/>
      <c r="Q57" s="1419"/>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5"/>
      <c r="Q58" s="1419"/>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6"/>
      <c r="Q59" s="1427"/>
      <c r="R59" s="1428"/>
      <c r="S59" s="1428"/>
      <c r="T59" s="1428"/>
      <c r="U59" s="1428"/>
      <c r="V59" s="1428"/>
      <c r="W59" s="1428"/>
      <c r="X59" s="1428"/>
      <c r="Y59" s="1428"/>
      <c r="Z59" s="1428"/>
      <c r="AA59" s="1428"/>
      <c r="AB59" s="1428"/>
      <c r="AC59" s="1428"/>
    </row>
    <row r="60" spans="1:29" s="469" customFormat="1" ht="15.75" thickBot="1">
      <c r="A60" s="551"/>
      <c r="B60" s="541"/>
      <c r="C60" s="558"/>
      <c r="D60" s="534"/>
      <c r="E60" s="534"/>
      <c r="F60" s="534"/>
      <c r="G60" s="534"/>
      <c r="H60" s="534"/>
      <c r="I60" s="534"/>
      <c r="J60" s="534"/>
      <c r="K60" s="534"/>
      <c r="L60" s="534"/>
      <c r="M60" s="535"/>
      <c r="N60" s="1151"/>
      <c r="O60" s="1151"/>
      <c r="P60" s="1426"/>
      <c r="Q60" s="1427"/>
      <c r="R60" s="1428"/>
      <c r="S60" s="1428"/>
      <c r="T60" s="1428"/>
      <c r="U60" s="1428"/>
      <c r="V60" s="1428"/>
      <c r="W60" s="1428"/>
      <c r="X60" s="1428"/>
      <c r="Y60" s="1428"/>
      <c r="Z60" s="1428"/>
      <c r="AA60" s="1428"/>
      <c r="AB60" s="1428"/>
      <c r="AC60" s="1428"/>
    </row>
    <row r="61" spans="1:29" s="469" customFormat="1" ht="15.75" thickTop="1">
      <c r="A61" s="551"/>
      <c r="B61" s="536">
        <f>B13</f>
        <v>111</v>
      </c>
      <c r="C61" s="552"/>
      <c r="D61" s="552"/>
      <c r="E61" s="552"/>
      <c r="F61" s="552"/>
      <c r="G61" s="552"/>
      <c r="H61" s="553"/>
      <c r="I61" s="553"/>
      <c r="J61" s="553"/>
      <c r="K61" s="553"/>
      <c r="L61" s="554"/>
      <c r="M61" s="555"/>
      <c r="N61" s="1152"/>
      <c r="O61" s="1152"/>
      <c r="P61" s="1429"/>
      <c r="Q61" s="1430"/>
      <c r="R61" s="1428"/>
      <c r="S61" s="1428"/>
      <c r="T61" s="1428"/>
      <c r="U61" s="1428"/>
      <c r="V61" s="1428"/>
      <c r="W61" s="1428"/>
      <c r="X61" s="1428"/>
      <c r="Y61" s="1428"/>
      <c r="Z61" s="1428"/>
      <c r="AA61" s="1428"/>
      <c r="AB61" s="1428"/>
      <c r="AC61" s="1428"/>
    </row>
    <row r="62" spans="1:29" s="469" customFormat="1" ht="15.75" thickBot="1">
      <c r="A62" s="551"/>
      <c r="B62" s="541"/>
      <c r="C62" s="558"/>
      <c r="D62" s="558"/>
      <c r="E62" s="558"/>
      <c r="F62" s="558"/>
      <c r="G62" s="558"/>
      <c r="H62" s="560"/>
      <c r="I62" s="560"/>
      <c r="J62" s="560"/>
      <c r="K62" s="560"/>
      <c r="L62" s="560"/>
      <c r="M62" s="561"/>
      <c r="N62" s="1152"/>
      <c r="O62" s="1152"/>
      <c r="P62" s="1426"/>
      <c r="Q62" s="1427"/>
      <c r="R62" s="1428"/>
      <c r="S62" s="1428"/>
      <c r="T62" s="1428"/>
      <c r="U62" s="1428"/>
      <c r="V62" s="1428"/>
      <c r="W62" s="1428"/>
      <c r="X62" s="1428"/>
      <c r="Y62" s="1428"/>
      <c r="Z62" s="1428"/>
      <c r="AA62" s="1428"/>
      <c r="AB62" s="1428"/>
      <c r="AC62" s="1428"/>
    </row>
    <row r="63" spans="1:29" ht="15" thickTop="1">
      <c r="A63" s="525" t="s">
        <v>2543</v>
      </c>
      <c r="B63" s="526" t="s">
        <v>2586</v>
      </c>
      <c r="C63" s="571" t="s">
        <v>2581</v>
      </c>
      <c r="D63" s="571" t="s">
        <v>2582</v>
      </c>
      <c r="E63" s="571" t="s">
        <v>2583</v>
      </c>
      <c r="F63" s="571" t="s">
        <v>2584</v>
      </c>
      <c r="G63" s="571" t="s">
        <v>2585</v>
      </c>
      <c r="H63" s="527"/>
      <c r="I63" s="527"/>
      <c r="J63" s="527"/>
      <c r="K63" s="572"/>
      <c r="L63" s="573"/>
      <c r="M63" s="574"/>
      <c r="N63" s="1150"/>
      <c r="O63" s="1150"/>
      <c r="P63" s="1431"/>
      <c r="Q63" s="1419"/>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5"/>
      <c r="Q64" s="1419"/>
      <c r="R64" s="1142"/>
      <c r="S64" s="1142"/>
      <c r="T64" s="1142"/>
      <c r="U64" s="1142"/>
      <c r="V64" s="1142"/>
      <c r="W64" s="1142"/>
      <c r="X64" s="1142"/>
      <c r="Y64" s="1142"/>
      <c r="Z64" s="1142"/>
      <c r="AA64" s="1142"/>
      <c r="AB64" s="1142"/>
      <c r="AC64" s="1142"/>
    </row>
    <row r="65" spans="1:29" ht="15.75" thickTop="1">
      <c r="A65" s="532"/>
      <c r="B65" s="536" t="s">
        <v>2587</v>
      </c>
      <c r="C65" s="576" t="s">
        <v>2581</v>
      </c>
      <c r="D65" s="576" t="s">
        <v>2582</v>
      </c>
      <c r="E65" s="576" t="s">
        <v>2583</v>
      </c>
      <c r="F65" s="576" t="s">
        <v>2584</v>
      </c>
      <c r="G65" s="576" t="s">
        <v>2585</v>
      </c>
      <c r="H65" s="537"/>
      <c r="I65" s="537"/>
      <c r="J65" s="537"/>
      <c r="K65" s="538"/>
      <c r="L65" s="539"/>
      <c r="M65" s="540"/>
      <c r="N65" s="1150"/>
      <c r="O65" s="1150"/>
      <c r="P65" s="1425"/>
      <c r="Q65" s="1419"/>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5"/>
      <c r="Q66" s="1419"/>
      <c r="R66" s="1142"/>
      <c r="S66" s="1142"/>
      <c r="T66" s="1142"/>
      <c r="U66" s="1142"/>
      <c r="V66" s="1142"/>
      <c r="W66" s="1142"/>
      <c r="X66" s="1142"/>
      <c r="Y66" s="1142"/>
      <c r="Z66" s="1142"/>
      <c r="AA66" s="1142"/>
      <c r="AB66" s="1142"/>
      <c r="AC66" s="1142"/>
    </row>
    <row r="67" spans="1:29" ht="15.75" thickTop="1">
      <c r="A67" s="532"/>
      <c r="B67" s="544" t="s">
        <v>2673</v>
      </c>
      <c r="C67" s="658" t="s">
        <v>2659</v>
      </c>
      <c r="D67" s="658" t="s">
        <v>2660</v>
      </c>
      <c r="E67" s="658" t="s">
        <v>2661</v>
      </c>
      <c r="F67" s="658" t="s">
        <v>2662</v>
      </c>
      <c r="G67" s="658" t="s">
        <v>2663</v>
      </c>
      <c r="H67" s="537"/>
      <c r="I67" s="537"/>
      <c r="J67" s="537"/>
      <c r="K67" s="537"/>
      <c r="L67" s="537"/>
      <c r="M67" s="1378"/>
      <c r="N67" s="1151"/>
      <c r="O67" s="1151"/>
      <c r="P67" s="1425"/>
      <c r="Q67" s="1419"/>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5"/>
      <c r="Q68" s="1419"/>
      <c r="R68" s="1142"/>
      <c r="S68" s="1142"/>
      <c r="T68" s="1142"/>
      <c r="U68" s="1142"/>
      <c r="V68" s="1142"/>
      <c r="W68" s="1142"/>
      <c r="X68" s="1142"/>
      <c r="Y68" s="1142"/>
      <c r="Z68" s="1142"/>
      <c r="AA68" s="1142"/>
      <c r="AB68" s="1142"/>
      <c r="AC68" s="1142"/>
    </row>
    <row r="69" spans="1:29" ht="15.75" thickTop="1">
      <c r="A69" s="532"/>
      <c r="B69" s="536" t="s">
        <v>2593</v>
      </c>
      <c r="C69" s="576" t="s">
        <v>2581</v>
      </c>
      <c r="D69" s="576" t="s">
        <v>2582</v>
      </c>
      <c r="E69" s="576" t="s">
        <v>2583</v>
      </c>
      <c r="F69" s="576" t="s">
        <v>2584</v>
      </c>
      <c r="G69" s="576" t="s">
        <v>2585</v>
      </c>
      <c r="H69" s="537"/>
      <c r="I69" s="537"/>
      <c r="J69" s="537"/>
      <c r="K69" s="538"/>
      <c r="L69" s="539"/>
      <c r="M69" s="540"/>
      <c r="N69" s="1150"/>
      <c r="O69" s="1150"/>
      <c r="P69" s="1425"/>
      <c r="Q69" s="1419"/>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5"/>
      <c r="Q70" s="1419"/>
      <c r="R70" s="1142"/>
      <c r="S70" s="1142"/>
      <c r="T70" s="1142"/>
      <c r="U70" s="1142"/>
      <c r="V70" s="1142"/>
      <c r="W70" s="1142"/>
      <c r="X70" s="1142"/>
      <c r="Y70" s="1142"/>
      <c r="Z70" s="1142"/>
      <c r="AA70" s="1142"/>
      <c r="AB70" s="1142"/>
      <c r="AC70" s="1142"/>
    </row>
    <row r="71" spans="1:29" ht="15.75" thickTop="1">
      <c r="A71" s="532"/>
      <c r="B71" s="536" t="s">
        <v>2713</v>
      </c>
      <c r="C71" s="552"/>
      <c r="D71" s="552"/>
      <c r="E71" s="552"/>
      <c r="F71" s="552"/>
      <c r="G71" s="552"/>
      <c r="H71" s="581"/>
      <c r="I71" s="581"/>
      <c r="J71" s="581"/>
      <c r="K71" s="582"/>
      <c r="L71" s="583"/>
      <c r="M71" s="584"/>
      <c r="N71" s="1150"/>
      <c r="O71" s="1150"/>
      <c r="P71" s="1425"/>
      <c r="Q71" s="1419"/>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5"/>
      <c r="Q72" s="1419"/>
      <c r="R72" s="1142"/>
      <c r="S72" s="1142"/>
      <c r="T72" s="1142"/>
      <c r="U72" s="1142"/>
      <c r="V72" s="1142"/>
      <c r="W72" s="1142"/>
      <c r="X72" s="1142"/>
      <c r="Y72" s="1142"/>
      <c r="Z72" s="1142"/>
      <c r="AA72" s="1142"/>
      <c r="AB72" s="1142"/>
      <c r="AC72" s="1142"/>
    </row>
    <row r="73" spans="1:29" s="116" customFormat="1" ht="15.75" thickTop="1">
      <c r="A73" s="577"/>
      <c r="B73" s="536">
        <f>B23</f>
        <v>111</v>
      </c>
      <c r="C73" s="547"/>
      <c r="D73" s="547"/>
      <c r="E73" s="547"/>
      <c r="F73" s="547"/>
      <c r="G73" s="552"/>
      <c r="H73" s="552"/>
      <c r="I73" s="552"/>
      <c r="J73" s="552"/>
      <c r="K73" s="552"/>
      <c r="L73" s="578"/>
      <c r="M73" s="579"/>
      <c r="N73" s="1149"/>
      <c r="O73" s="1149"/>
      <c r="P73" s="1425"/>
      <c r="Q73" s="1419"/>
      <c r="R73" s="1423"/>
      <c r="S73" s="1423"/>
      <c r="T73" s="1423"/>
      <c r="U73" s="1423"/>
      <c r="V73" s="1423"/>
      <c r="W73" s="1423"/>
      <c r="X73" s="1423"/>
      <c r="Y73" s="1423"/>
      <c r="Z73" s="1423"/>
      <c r="AA73" s="1423"/>
      <c r="AB73" s="1423"/>
      <c r="AC73" s="1423"/>
    </row>
    <row r="74" spans="1:29" s="116" customFormat="1" ht="15.75" thickBot="1">
      <c r="A74" s="577"/>
      <c r="B74" s="541"/>
      <c r="C74" s="558"/>
      <c r="D74" s="534"/>
      <c r="E74" s="534"/>
      <c r="F74" s="534"/>
      <c r="G74" s="534"/>
      <c r="H74" s="534"/>
      <c r="I74" s="534"/>
      <c r="J74" s="534"/>
      <c r="K74" s="534"/>
      <c r="L74" s="534"/>
      <c r="M74" s="535"/>
      <c r="N74" s="1151"/>
      <c r="O74" s="1151"/>
      <c r="P74" s="1425"/>
      <c r="Q74" s="1419"/>
      <c r="R74" s="1423"/>
      <c r="S74" s="1423"/>
      <c r="T74" s="1423"/>
      <c r="U74" s="1423"/>
      <c r="V74" s="1423"/>
      <c r="W74" s="1423"/>
      <c r="X74" s="1423"/>
      <c r="Y74" s="1423"/>
      <c r="Z74" s="1423"/>
      <c r="AA74" s="1423"/>
      <c r="AB74" s="1423"/>
      <c r="AC74" s="1423"/>
    </row>
    <row r="75" spans="1:29" s="116" customFormat="1" ht="15.75" thickTop="1">
      <c r="A75" s="577"/>
      <c r="B75" s="536">
        <f>B24</f>
        <v>111</v>
      </c>
      <c r="C75" s="547"/>
      <c r="D75" s="547"/>
      <c r="E75" s="547"/>
      <c r="F75" s="547"/>
      <c r="G75" s="552"/>
      <c r="H75" s="552"/>
      <c r="I75" s="552"/>
      <c r="J75" s="552"/>
      <c r="K75" s="552"/>
      <c r="L75" s="552"/>
      <c r="M75" s="579"/>
      <c r="N75" s="1149"/>
      <c r="O75" s="1149"/>
      <c r="P75" s="1425"/>
      <c r="Q75" s="1419"/>
      <c r="R75" s="1423"/>
      <c r="S75" s="1423"/>
      <c r="T75" s="1423"/>
      <c r="U75" s="1423"/>
      <c r="V75" s="1423"/>
      <c r="W75" s="1423"/>
      <c r="X75" s="1423"/>
      <c r="Y75" s="1423"/>
      <c r="Z75" s="1423"/>
      <c r="AA75" s="1423"/>
      <c r="AB75" s="1423"/>
      <c r="AC75" s="1423"/>
    </row>
    <row r="76" spans="1:29" s="116" customFormat="1" ht="15.75" thickBot="1">
      <c r="A76" s="577"/>
      <c r="B76" s="541"/>
      <c r="C76" s="558"/>
      <c r="D76" s="534"/>
      <c r="E76" s="534"/>
      <c r="F76" s="534"/>
      <c r="G76" s="534"/>
      <c r="H76" s="534"/>
      <c r="I76" s="534"/>
      <c r="J76" s="534"/>
      <c r="K76" s="534"/>
      <c r="L76" s="534"/>
      <c r="M76" s="535"/>
      <c r="N76" s="1151"/>
      <c r="O76" s="1151"/>
      <c r="P76" s="1425"/>
      <c r="Q76" s="1419"/>
      <c r="R76" s="1423"/>
      <c r="S76" s="1423"/>
      <c r="T76" s="1423"/>
      <c r="U76" s="1423"/>
      <c r="V76" s="1423"/>
      <c r="W76" s="1423"/>
      <c r="X76" s="1423"/>
      <c r="Y76" s="1423"/>
      <c r="Z76" s="1423"/>
      <c r="AA76" s="1423"/>
      <c r="AB76" s="1423"/>
      <c r="AC76" s="1423"/>
    </row>
    <row r="77" spans="1:29" s="469" customFormat="1" ht="15.75" thickTop="1">
      <c r="A77" s="551"/>
      <c r="B77" s="536">
        <f>B25</f>
        <v>111</v>
      </c>
      <c r="C77" s="552"/>
      <c r="D77" s="552"/>
      <c r="E77" s="552"/>
      <c r="F77" s="552"/>
      <c r="G77" s="552"/>
      <c r="H77" s="553"/>
      <c r="I77" s="553"/>
      <c r="J77" s="553"/>
      <c r="K77" s="553"/>
      <c r="L77" s="554"/>
      <c r="M77" s="555"/>
      <c r="N77" s="1152"/>
      <c r="O77" s="1152"/>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2"/>
      <c r="O78" s="1152"/>
      <c r="P78" s="1426"/>
      <c r="Q78" s="1427"/>
      <c r="R78" s="1428"/>
      <c r="S78" s="1428"/>
      <c r="T78" s="1428"/>
      <c r="U78" s="1428"/>
      <c r="V78" s="1428"/>
      <c r="W78" s="1428"/>
      <c r="X78" s="1428"/>
      <c r="Y78" s="1428"/>
      <c r="Z78" s="1428"/>
      <c r="AA78" s="1428"/>
      <c r="AB78" s="1428"/>
      <c r="AC78" s="1428"/>
    </row>
    <row r="79" spans="1:29" ht="27.75" thickTop="1">
      <c r="A79" s="525" t="s">
        <v>2547</v>
      </c>
      <c r="B79" s="526" t="s">
        <v>2714</v>
      </c>
      <c r="C79" s="527">
        <f>C26</f>
        <v>0</v>
      </c>
      <c r="D79" s="528"/>
      <c r="E79" s="528"/>
      <c r="F79" s="528"/>
      <c r="G79" s="528"/>
      <c r="H79" s="528"/>
      <c r="I79" s="528"/>
      <c r="J79" s="528"/>
      <c r="K79" s="529"/>
      <c r="L79" s="530"/>
      <c r="M79" s="531"/>
      <c r="N79" s="1150"/>
      <c r="O79" s="1150"/>
      <c r="P79" s="1425"/>
      <c r="Q79" s="1419"/>
      <c r="R79" s="1142"/>
      <c r="S79" s="1142"/>
      <c r="T79" s="1142"/>
      <c r="U79" s="1142"/>
      <c r="V79" s="1142"/>
      <c r="W79" s="1142"/>
      <c r="X79" s="1142"/>
      <c r="Y79" s="1142"/>
      <c r="Z79" s="1142"/>
      <c r="AA79" s="1142"/>
      <c r="AB79" s="1142"/>
      <c r="AC79" s="1142"/>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5"/>
      <c r="Q80" s="1419"/>
      <c r="R80" s="1142"/>
      <c r="S80" s="1142"/>
      <c r="T80" s="1142"/>
      <c r="U80" s="1142"/>
      <c r="V80" s="1142"/>
      <c r="W80" s="1142"/>
      <c r="X80" s="1142"/>
      <c r="Y80" s="1142"/>
      <c r="Z80" s="1142"/>
      <c r="AA80" s="1142"/>
      <c r="AB80" s="1142"/>
      <c r="AC80" s="1142"/>
    </row>
    <row r="81" spans="1:29" ht="15.75" thickTop="1">
      <c r="A81" s="532"/>
      <c r="B81" s="536" t="s">
        <v>2715</v>
      </c>
      <c r="C81" s="659"/>
      <c r="D81" s="659"/>
      <c r="E81" s="659"/>
      <c r="F81" s="659"/>
      <c r="G81" s="659"/>
      <c r="H81" s="659"/>
      <c r="I81" s="659"/>
      <c r="J81" s="659"/>
      <c r="K81" s="660"/>
      <c r="L81" s="661"/>
      <c r="M81" s="662"/>
      <c r="N81" s="1149"/>
      <c r="O81" s="1149"/>
      <c r="P81" s="1425"/>
      <c r="Q81" s="1419"/>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6"/>
      <c r="Q82" s="1427"/>
      <c r="R82" s="1428"/>
      <c r="S82" s="1428"/>
      <c r="T82" s="1428"/>
      <c r="U82" s="1428"/>
      <c r="V82" s="1428"/>
      <c r="W82" s="1428"/>
      <c r="X82" s="1428"/>
      <c r="Y82" s="1428"/>
      <c r="Z82" s="1428"/>
      <c r="AA82" s="1428"/>
      <c r="AB82" s="1428"/>
      <c r="AC82" s="1428"/>
    </row>
    <row r="83" spans="1:29" ht="15" thickTop="1">
      <c r="A83" s="597"/>
      <c r="B83" s="536" t="s">
        <v>2600</v>
      </c>
      <c r="C83" s="552"/>
      <c r="D83" s="552"/>
      <c r="E83" s="581"/>
      <c r="F83" s="581"/>
      <c r="G83" s="581"/>
      <c r="H83" s="581"/>
      <c r="I83" s="581"/>
      <c r="J83" s="581"/>
      <c r="K83" s="582"/>
      <c r="L83" s="583"/>
      <c r="M83" s="584"/>
      <c r="N83" s="1150"/>
      <c r="O83" s="1150"/>
      <c r="P83" s="1425"/>
      <c r="Q83" s="1419"/>
      <c r="R83" s="1142"/>
      <c r="S83" s="1142"/>
      <c r="T83" s="1142"/>
      <c r="U83" s="1142"/>
      <c r="V83" s="1142"/>
      <c r="W83" s="1142"/>
      <c r="X83" s="1142"/>
      <c r="Y83" s="1142"/>
      <c r="Z83" s="1142"/>
      <c r="AA83" s="1142"/>
      <c r="AB83" s="1142"/>
      <c r="AC83" s="1142"/>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5"/>
      <c r="Q84" s="1419"/>
      <c r="R84" s="1142"/>
      <c r="S84" s="1142"/>
      <c r="T84" s="1142"/>
      <c r="U84" s="1142"/>
      <c r="V84" s="1142"/>
      <c r="W84" s="1142"/>
      <c r="X84" s="1142"/>
      <c r="Y84" s="1142"/>
      <c r="Z84" s="1142"/>
      <c r="AA84" s="1142"/>
      <c r="AB84" s="1142"/>
      <c r="AC84" s="1142"/>
    </row>
    <row r="85" spans="1:29" ht="15" thickTop="1">
      <c r="A85" s="597"/>
      <c r="B85" s="536" t="s">
        <v>2716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5"/>
      <c r="Q85" s="1419"/>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5"/>
      <c r="Q86" s="1419"/>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5"/>
      <c r="Q87" s="1419"/>
      <c r="R87" s="1142"/>
      <c r="S87" s="1142"/>
      <c r="T87" s="1142"/>
      <c r="U87" s="1142"/>
      <c r="V87" s="1142"/>
      <c r="W87" s="1142"/>
      <c r="X87" s="1142"/>
      <c r="Y87" s="1142"/>
      <c r="Z87" s="1142"/>
      <c r="AA87" s="1142"/>
      <c r="AB87" s="1142"/>
      <c r="AC87" s="1142"/>
    </row>
    <row r="88" spans="1:29" ht="15" thickTop="1">
      <c r="A88" s="597"/>
      <c r="B88" s="544" t="s">
        <v>2717</v>
      </c>
      <c r="C88" s="528"/>
      <c r="D88" s="528"/>
      <c r="E88" s="528"/>
      <c r="F88" s="528"/>
      <c r="G88" s="528"/>
      <c r="H88" s="528"/>
      <c r="I88" s="528"/>
      <c r="J88" s="528"/>
      <c r="K88" s="529"/>
      <c r="L88" s="530"/>
      <c r="M88" s="531"/>
      <c r="N88" s="1150"/>
      <c r="O88" s="1150"/>
      <c r="P88" s="1425"/>
      <c r="Q88" s="1419"/>
      <c r="R88" s="1142"/>
      <c r="S88" s="1142"/>
      <c r="T88" s="1142"/>
      <c r="U88" s="1142"/>
      <c r="V88" s="1142"/>
      <c r="W88" s="1142"/>
      <c r="X88" s="1142"/>
      <c r="Y88" s="1142"/>
      <c r="Z88" s="1142"/>
      <c r="AA88" s="1142"/>
      <c r="AB88" s="1142"/>
      <c r="AC88" s="1142"/>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5"/>
      <c r="Q89" s="1419"/>
      <c r="R89" s="1142"/>
      <c r="S89" s="1142"/>
      <c r="T89" s="1142"/>
      <c r="U89" s="1142"/>
      <c r="V89" s="1142"/>
      <c r="W89" s="1142"/>
      <c r="X89" s="1142"/>
      <c r="Y89" s="1142"/>
      <c r="Z89" s="1142"/>
      <c r="AA89" s="1142"/>
      <c r="AB89" s="1142"/>
      <c r="AC89" s="1142"/>
    </row>
    <row r="90" spans="1:29" s="469" customFormat="1" ht="15" thickTop="1">
      <c r="A90" s="591"/>
      <c r="B90" s="536" t="s">
        <v>2718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6"/>
      <c r="Q90" s="1427"/>
      <c r="R90" s="1428"/>
      <c r="S90" s="1428"/>
      <c r="T90" s="1428"/>
      <c r="U90" s="1428"/>
      <c r="V90" s="1428"/>
      <c r="W90" s="1428"/>
      <c r="X90" s="1428"/>
      <c r="Y90" s="1428"/>
      <c r="Z90" s="1428"/>
      <c r="AA90" s="1428"/>
      <c r="AB90" s="1428"/>
      <c r="AC90" s="1428"/>
    </row>
    <row r="91" spans="1:29" s="469" customFormat="1">
      <c r="A91" s="591"/>
      <c r="B91" s="544"/>
      <c r="C91" s="593"/>
      <c r="D91" s="593"/>
      <c r="E91" s="593"/>
      <c r="F91" s="593"/>
      <c r="G91" s="593"/>
      <c r="H91" s="593"/>
      <c r="I91" s="593"/>
      <c r="J91" s="594"/>
      <c r="K91" s="594"/>
      <c r="L91" s="595"/>
      <c r="M91" s="596"/>
      <c r="N91" s="1152"/>
      <c r="O91" s="1152"/>
      <c r="P91" s="1426"/>
      <c r="Q91" s="1427"/>
      <c r="R91" s="1428"/>
      <c r="S91" s="1428"/>
      <c r="T91" s="1428"/>
      <c r="U91" s="1428"/>
      <c r="V91" s="1428"/>
      <c r="W91" s="1428"/>
      <c r="X91" s="1428"/>
      <c r="Y91" s="1428"/>
      <c r="Z91" s="1428"/>
      <c r="AA91" s="1428"/>
      <c r="AB91" s="1428"/>
      <c r="AC91" s="1428"/>
    </row>
    <row r="92" spans="1:29" s="469" customFormat="1" ht="15.75" thickBot="1">
      <c r="A92" s="551"/>
      <c r="B92" s="541"/>
      <c r="C92" s="558"/>
      <c r="D92" s="534"/>
      <c r="E92" s="534"/>
      <c r="F92" s="534"/>
      <c r="G92" s="534"/>
      <c r="H92" s="534"/>
      <c r="I92" s="534"/>
      <c r="J92" s="534"/>
      <c r="K92" s="534"/>
      <c r="L92" s="534"/>
      <c r="M92" s="535"/>
      <c r="N92" s="1152"/>
      <c r="O92" s="1152"/>
      <c r="P92" s="1426"/>
      <c r="Q92" s="1427"/>
      <c r="R92" s="1428"/>
      <c r="S92" s="1428"/>
      <c r="T92" s="1428"/>
      <c r="U92" s="1428"/>
      <c r="V92" s="1428"/>
      <c r="W92" s="1428"/>
      <c r="X92" s="1428"/>
      <c r="Y92" s="1428"/>
      <c r="Z92" s="1428"/>
      <c r="AA92" s="1428"/>
      <c r="AB92" s="1428"/>
      <c r="AC92" s="1428"/>
    </row>
    <row r="93" spans="1:29" ht="15" thickTop="1">
      <c r="A93" s="597"/>
      <c r="B93" s="536" t="s">
        <v>2719</v>
      </c>
      <c r="C93" s="552"/>
      <c r="D93" s="552"/>
      <c r="E93" s="581"/>
      <c r="F93" s="581"/>
      <c r="G93" s="581"/>
      <c r="H93" s="581"/>
      <c r="I93" s="581"/>
      <c r="J93" s="581"/>
      <c r="K93" s="582"/>
      <c r="L93" s="583"/>
      <c r="M93" s="584"/>
      <c r="N93" s="1150"/>
      <c r="O93" s="1150"/>
      <c r="P93" s="1425"/>
      <c r="Q93" s="1419"/>
      <c r="R93" s="1142"/>
      <c r="S93" s="1142"/>
      <c r="T93" s="1142"/>
      <c r="U93" s="1142"/>
      <c r="V93" s="1142"/>
      <c r="W93" s="1142"/>
      <c r="X93" s="1142"/>
      <c r="Y93" s="1142"/>
      <c r="Z93" s="1142"/>
      <c r="AA93" s="1142"/>
      <c r="AB93" s="1142"/>
      <c r="AC93" s="1142"/>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5"/>
      <c r="Q94" s="1419"/>
      <c r="R94" s="1142"/>
      <c r="S94" s="1142"/>
      <c r="T94" s="1142"/>
      <c r="U94" s="1142"/>
      <c r="V94" s="1142"/>
      <c r="W94" s="1142"/>
      <c r="X94" s="1142"/>
      <c r="Y94" s="1142"/>
      <c r="Z94" s="1142"/>
      <c r="AA94" s="1142"/>
      <c r="AB94" s="1142"/>
      <c r="AC94" s="1142"/>
    </row>
    <row r="95" spans="1:29" ht="15" thickTop="1">
      <c r="A95" s="597"/>
      <c r="B95" s="536" t="s">
        <v>2720</v>
      </c>
      <c r="C95" s="528"/>
      <c r="D95" s="528"/>
      <c r="E95" s="528"/>
      <c r="F95" s="528"/>
      <c r="G95" s="528"/>
      <c r="H95" s="528"/>
      <c r="I95" s="528"/>
      <c r="J95" s="528"/>
      <c r="K95" s="529"/>
      <c r="L95" s="530"/>
      <c r="M95" s="531"/>
      <c r="N95" s="1150"/>
      <c r="O95" s="1150"/>
      <c r="P95" s="1425"/>
      <c r="Q95" s="1419"/>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5"/>
      <c r="Q96" s="1419"/>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32"/>
      <c r="Q97" s="1433"/>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5"/>
      <c r="Q98" s="1419"/>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2"/>
      <c r="O100" s="1152"/>
      <c r="P100" s="1426"/>
      <c r="Q100" s="1427"/>
      <c r="R100" s="1428"/>
      <c r="S100" s="1428"/>
      <c r="T100" s="1428"/>
      <c r="U100" s="1428"/>
      <c r="V100" s="1428"/>
      <c r="W100" s="1428"/>
      <c r="X100" s="1428"/>
      <c r="Y100" s="1428"/>
      <c r="Z100" s="1428"/>
      <c r="AA100" s="1428"/>
      <c r="AB100" s="1428"/>
      <c r="AC100" s="1428"/>
    </row>
    <row r="101" spans="1:29" ht="15" thickTop="1">
      <c r="A101" s="597"/>
      <c r="B101" s="536">
        <f>B36</f>
        <v>111</v>
      </c>
      <c r="C101" s="552"/>
      <c r="D101" s="552"/>
      <c r="E101" s="552"/>
      <c r="F101" s="552"/>
      <c r="G101" s="552"/>
      <c r="H101" s="553"/>
      <c r="I101" s="553"/>
      <c r="J101" s="553"/>
      <c r="K101" s="553"/>
      <c r="L101" s="554"/>
      <c r="M101" s="555"/>
      <c r="N101" s="1150"/>
      <c r="O101" s="1150"/>
      <c r="P101" s="1425"/>
      <c r="Q101" s="1419"/>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5"/>
      <c r="Q102" s="1419"/>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E16" sqref="E1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2691</v>
      </c>
      <c r="B1" s="1614"/>
      <c r="C1" s="1615" t="s">
        <v>2514</v>
      </c>
      <c r="D1" s="1616"/>
      <c r="E1" s="1625"/>
      <c r="F1" s="2571"/>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2314</v>
      </c>
      <c r="B2" s="1414" t="e">
        <f ca="1">IF(C2="——",ROUND(C37*D3/10000,0),ROUND(C37*D3/10000,0)-D2)</f>
        <v>#DIV/0!</v>
      </c>
      <c r="C2" s="2573"/>
      <c r="D2" s="1122" t="e">
        <f ca="1">SUMIF(INDIRECT("'"&amp;F2&amp;"'"&amp;"!A:A"),"承租人权益价值",INDIRECT("'"&amp;F2&amp;"'"&amp;"!c:c"))</f>
        <v>#REF!</v>
      </c>
      <c r="E2" s="2574" t="s">
        <v>2315</v>
      </c>
      <c r="F2" s="2575"/>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6" customFormat="1" ht="28.5" customHeight="1" thickBot="1">
      <c r="A3" s="245" t="s">
        <v>2316</v>
      </c>
      <c r="B3" s="607" t="e">
        <f ca="1">IF(C2="——",C37,ROUND(B2*10000/D3,0))</f>
        <v>#DIV/0!</v>
      </c>
      <c r="C3" s="398" t="s">
        <v>2628</v>
      </c>
      <c r="D3" s="397">
        <f>SUMIF('数据-汇总表'!$C19:$C33,D1,'数据-汇总表'!$E19:$E33)</f>
        <v>0</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9" t="s">
        <v>2629</v>
      </c>
      <c r="B4" s="400"/>
      <c r="C4" s="3275" t="s">
        <v>2630</v>
      </c>
      <c r="D4" s="3276"/>
      <c r="E4" s="3277" t="s">
        <v>2631</v>
      </c>
      <c r="F4" s="3278"/>
      <c r="G4" s="3275" t="s">
        <v>2632</v>
      </c>
      <c r="H4" s="3276"/>
      <c r="I4" s="3275" t="s">
        <v>2633</v>
      </c>
      <c r="J4" s="3276"/>
      <c r="K4" s="608" t="s">
        <v>2634</v>
      </c>
      <c r="L4" s="1128"/>
      <c r="M4" s="1129"/>
      <c r="N4" s="1129"/>
      <c r="O4" s="1129"/>
      <c r="P4" s="3279" t="s">
        <v>2635</v>
      </c>
      <c r="Q4" s="3280"/>
      <c r="R4" s="3262" t="s">
        <v>2631</v>
      </c>
      <c r="S4" s="3263"/>
      <c r="T4" s="3262" t="s">
        <v>2632</v>
      </c>
      <c r="U4" s="3263"/>
      <c r="V4" s="3287" t="s">
        <v>2633</v>
      </c>
      <c r="W4" s="3287"/>
      <c r="X4" s="1808"/>
      <c r="Y4" s="3262" t="s">
        <v>2635</v>
      </c>
      <c r="Z4" s="3263"/>
      <c r="AA4" s="3257" t="s">
        <v>2631</v>
      </c>
      <c r="AB4" s="3258" t="s">
        <v>2632</v>
      </c>
      <c r="AC4" s="3257" t="s">
        <v>2633</v>
      </c>
    </row>
    <row r="5" spans="1:29" ht="15">
      <c r="A5" s="402"/>
      <c r="B5" s="403"/>
      <c r="C5" s="3268" t="s">
        <v>2526</v>
      </c>
      <c r="D5" s="3269"/>
      <c r="E5" s="3266" t="s">
        <v>2527</v>
      </c>
      <c r="F5" s="3267"/>
      <c r="G5" s="3268" t="s">
        <v>2528</v>
      </c>
      <c r="H5" s="3269"/>
      <c r="I5" s="3268" t="s">
        <v>2529</v>
      </c>
      <c r="J5" s="3269"/>
      <c r="K5" s="608"/>
      <c r="L5" s="1128"/>
      <c r="M5" s="1129"/>
      <c r="N5" s="1129"/>
      <c r="O5" s="1129"/>
      <c r="P5" s="3281"/>
      <c r="Q5" s="3282"/>
      <c r="R5" s="3264"/>
      <c r="S5" s="3265"/>
      <c r="T5" s="3264"/>
      <c r="U5" s="3265"/>
      <c r="V5" s="3287"/>
      <c r="W5" s="3287"/>
      <c r="X5" s="1808"/>
      <c r="Y5" s="3264"/>
      <c r="Z5" s="3265"/>
      <c r="AA5" s="3258"/>
      <c r="AB5" s="3258"/>
      <c r="AC5" s="3258"/>
    </row>
    <row r="6" spans="1:29" ht="15.75" thickBot="1">
      <c r="A6" s="404"/>
      <c r="B6" s="405"/>
      <c r="C6" s="3270" t="s">
        <v>2530</v>
      </c>
      <c r="D6" s="3271"/>
      <c r="E6" s="3272" t="s">
        <v>2530</v>
      </c>
      <c r="F6" s="3273"/>
      <c r="G6" s="3270" t="s">
        <v>2530</v>
      </c>
      <c r="H6" s="3271"/>
      <c r="I6" s="3270" t="s">
        <v>2530</v>
      </c>
      <c r="J6" s="3271"/>
      <c r="K6" s="608" t="s">
        <v>2531</v>
      </c>
      <c r="L6" s="1128"/>
      <c r="M6" s="1129"/>
      <c r="N6" s="1129"/>
      <c r="O6" s="1129"/>
      <c r="P6" s="3283"/>
      <c r="Q6" s="3284"/>
      <c r="R6" s="3264"/>
      <c r="S6" s="3265"/>
      <c r="T6" s="3285"/>
      <c r="U6" s="3286"/>
      <c r="V6" s="3287"/>
      <c r="W6" s="3287"/>
      <c r="X6" s="1808"/>
      <c r="Y6" s="3285"/>
      <c r="Z6" s="3286"/>
      <c r="AA6" s="3259"/>
      <c r="AB6" s="3259"/>
      <c r="AC6" s="3259"/>
    </row>
    <row r="7" spans="1:29" s="116" customFormat="1" ht="15.75" thickBot="1">
      <c r="A7" s="406" t="s">
        <v>2532</v>
      </c>
      <c r="B7" s="407"/>
      <c r="C7" s="408">
        <f>'数据-取费表'!B2</f>
        <v>43207</v>
      </c>
      <c r="D7" s="409">
        <v>100</v>
      </c>
      <c r="E7" s="410"/>
      <c r="F7" s="411">
        <f>SUMIF(46:46,YEAR(E7)&amp;"-"&amp;MONTH(E7),47:47)</f>
        <v>0</v>
      </c>
      <c r="G7" s="2683"/>
      <c r="H7" s="409">
        <f>SUMIF(46:46,YEAR(G7)&amp;"-"&amp;MONTH(G7),47:47)</f>
        <v>0</v>
      </c>
      <c r="I7" s="410"/>
      <c r="J7" s="409">
        <f>SUMIF(46:46,YEAR(I7)&amp;"-"&amp;MONTH(I7),47:47)</f>
        <v>0</v>
      </c>
      <c r="K7" s="609"/>
      <c r="L7" s="1130"/>
      <c r="M7" s="1131"/>
      <c r="N7" s="1131"/>
      <c r="O7" s="1131"/>
      <c r="P7" s="3260" t="s">
        <v>2533</v>
      </c>
      <c r="Q7" s="3288"/>
      <c r="R7" s="766" t="s">
        <v>17</v>
      </c>
      <c r="S7" s="767">
        <f t="shared" ref="S7:S14" si="0">F7</f>
        <v>0</v>
      </c>
      <c r="T7" s="766" t="s">
        <v>17</v>
      </c>
      <c r="U7" s="767">
        <f t="shared" ref="U7:U14" si="1">H7</f>
        <v>0</v>
      </c>
      <c r="V7" s="766" t="s">
        <v>17</v>
      </c>
      <c r="W7" s="767">
        <f t="shared" ref="W7:W14" si="2">J7</f>
        <v>0</v>
      </c>
      <c r="X7" s="768"/>
      <c r="Y7" s="3260" t="s">
        <v>2533</v>
      </c>
      <c r="Z7" s="3261"/>
      <c r="AA7" s="769" t="e">
        <f>D7/F7</f>
        <v>#DIV/0!</v>
      </c>
      <c r="AB7" s="769" t="e">
        <f>D7/H7</f>
        <v>#DIV/0!</v>
      </c>
      <c r="AC7" s="769" t="e">
        <f>D7/J7</f>
        <v>#DIV/0!</v>
      </c>
    </row>
    <row r="8" spans="1:29" s="116" customFormat="1" ht="15.75" thickBot="1">
      <c r="A8" s="406" t="s">
        <v>2534</v>
      </c>
      <c r="B8" s="407"/>
      <c r="C8" s="412" t="s">
        <v>2636</v>
      </c>
      <c r="D8" s="409">
        <v>100</v>
      </c>
      <c r="E8" s="412"/>
      <c r="F8" s="411">
        <f>SUMIF(49:49,E8,50:50)-SUMIF(49:49,C8,50:50)+100</f>
        <v>0</v>
      </c>
      <c r="G8" s="412"/>
      <c r="H8" s="409">
        <f>SUMIF(49:49,G8,50:50)-SUMIF(49:49,C8,50:50)+100</f>
        <v>0</v>
      </c>
      <c r="I8" s="412"/>
      <c r="J8" s="409">
        <f>SUMIF(49:49,I8,50:50)-SUMIF(49:49,C8,50:50)+100</f>
        <v>0</v>
      </c>
      <c r="K8" s="609"/>
      <c r="L8" s="1130"/>
      <c r="M8" s="1131"/>
      <c r="N8" s="1131"/>
      <c r="O8" s="1131"/>
      <c r="P8" s="3260" t="s">
        <v>2536</v>
      </c>
      <c r="Q8" s="3261"/>
      <c r="R8" s="766" t="s">
        <v>17</v>
      </c>
      <c r="S8" s="767">
        <f t="shared" si="0"/>
        <v>0</v>
      </c>
      <c r="T8" s="766" t="s">
        <v>17</v>
      </c>
      <c r="U8" s="767">
        <f t="shared" si="1"/>
        <v>0</v>
      </c>
      <c r="V8" s="766" t="s">
        <v>17</v>
      </c>
      <c r="W8" s="767">
        <f t="shared" si="2"/>
        <v>0</v>
      </c>
      <c r="X8" s="768"/>
      <c r="Y8" s="3260" t="s">
        <v>2536</v>
      </c>
      <c r="Z8" s="3261"/>
      <c r="AA8" s="769" t="e">
        <f t="shared" ref="AA8:AA34" si="3">D8/F8</f>
        <v>#DIV/0!</v>
      </c>
      <c r="AB8" s="769" t="e">
        <f t="shared" ref="AB8:AB34" si="4">D8/H8</f>
        <v>#DIV/0!</v>
      </c>
      <c r="AC8" s="769" t="e">
        <f t="shared" ref="AC8:AC34" si="5">D8/J8</f>
        <v>#DIV/0!</v>
      </c>
    </row>
    <row r="9" spans="1:29" s="116" customFormat="1">
      <c r="A9" s="413" t="s">
        <v>2537</v>
      </c>
      <c r="B9" s="71" t="s">
        <v>2538</v>
      </c>
      <c r="C9" s="414"/>
      <c r="D9" s="133">
        <v>100</v>
      </c>
      <c r="E9" s="417"/>
      <c r="F9" s="416">
        <f>SUMIF(51:51,E9,52:52)-SUMIF(51:51,C9,52:52)+100</f>
        <v>100</v>
      </c>
      <c r="G9" s="417"/>
      <c r="H9" s="133">
        <f>SUMIF(51:51,G9,52:52)-SUMIF(51:51,C9,52:52)+100</f>
        <v>100</v>
      </c>
      <c r="I9" s="417"/>
      <c r="J9" s="133">
        <f>SUMIF(51:51,I9,52:52)-SUMIF(51:51,C9,52:52)+100</f>
        <v>100</v>
      </c>
      <c r="K9" s="609"/>
      <c r="L9" s="1130"/>
      <c r="M9" s="1131"/>
      <c r="N9" s="1131"/>
      <c r="O9" s="1132"/>
      <c r="P9" s="3274" t="s">
        <v>2539</v>
      </c>
      <c r="Q9" s="1790" t="str">
        <f t="shared" ref="Q9:Q14" si="6">B9</f>
        <v>用途</v>
      </c>
      <c r="R9" s="766" t="s">
        <v>17</v>
      </c>
      <c r="S9" s="767">
        <f t="shared" si="0"/>
        <v>100</v>
      </c>
      <c r="T9" s="766" t="s">
        <v>17</v>
      </c>
      <c r="U9" s="767">
        <f t="shared" si="1"/>
        <v>100</v>
      </c>
      <c r="V9" s="766" t="s">
        <v>17</v>
      </c>
      <c r="W9" s="767">
        <f t="shared" si="2"/>
        <v>100</v>
      </c>
      <c r="X9" s="768"/>
      <c r="Y9" s="3134" t="s">
        <v>2540</v>
      </c>
      <c r="Z9" s="55" t="str">
        <f t="shared" ref="Z9:Z14" si="7">Q9</f>
        <v>用途</v>
      </c>
      <c r="AA9" s="769">
        <f t="shared" si="3"/>
        <v>1</v>
      </c>
      <c r="AB9" s="769">
        <f t="shared" si="4"/>
        <v>1</v>
      </c>
      <c r="AC9" s="769">
        <f t="shared" si="5"/>
        <v>1</v>
      </c>
    </row>
    <row r="10" spans="1:29" s="425" customFormat="1" ht="27">
      <c r="A10" s="419"/>
      <c r="B10" s="420" t="s">
        <v>2541</v>
      </c>
      <c r="C10" s="421"/>
      <c r="D10" s="134">
        <v>100</v>
      </c>
      <c r="E10" s="421"/>
      <c r="F10" s="423">
        <f>SUMIF(53:53,E10,54:54)-SUMIF(53:53,C10,54:54)+100</f>
        <v>100</v>
      </c>
      <c r="G10" s="421"/>
      <c r="H10" s="134">
        <f>SUMIF(53:53,G10,54:54)-SUMIF(53:53,C10,54:54)+100</f>
        <v>100</v>
      </c>
      <c r="I10" s="421"/>
      <c r="J10" s="134">
        <f>SUMIF(53:53,I10,54:54)-SUMIF(53:53,C10,54:54)+100</f>
        <v>100</v>
      </c>
      <c r="K10" s="610"/>
      <c r="L10" s="1133"/>
      <c r="M10" s="1134"/>
      <c r="N10" s="1134"/>
      <c r="O10" s="1135"/>
      <c r="P10" s="3274"/>
      <c r="Q10" s="1790" t="str">
        <f t="shared" si="6"/>
        <v>土地使用年限（年）</v>
      </c>
      <c r="R10" s="766" t="s">
        <v>17</v>
      </c>
      <c r="S10" s="767">
        <f t="shared" si="0"/>
        <v>100</v>
      </c>
      <c r="T10" s="766" t="s">
        <v>17</v>
      </c>
      <c r="U10" s="767">
        <f t="shared" si="1"/>
        <v>100</v>
      </c>
      <c r="V10" s="766" t="s">
        <v>17</v>
      </c>
      <c r="W10" s="767">
        <f t="shared" si="2"/>
        <v>100</v>
      </c>
      <c r="X10" s="768"/>
      <c r="Y10" s="3134"/>
      <c r="Z10" s="55" t="str">
        <f t="shared" si="7"/>
        <v>土地使用年限（年）</v>
      </c>
      <c r="AA10" s="769">
        <f t="shared" si="3"/>
        <v>1</v>
      </c>
      <c r="AB10" s="769">
        <f t="shared" si="4"/>
        <v>1</v>
      </c>
      <c r="AC10" s="769">
        <f t="shared" si="5"/>
        <v>1</v>
      </c>
    </row>
    <row r="11" spans="1:29" ht="15">
      <c r="A11" s="426"/>
      <c r="B11" s="2587">
        <v>111</v>
      </c>
      <c r="C11" s="430"/>
      <c r="D11" s="134">
        <v>100</v>
      </c>
      <c r="E11" s="467"/>
      <c r="F11" s="423">
        <f>SUMIF(55:55,E11,56:56)-SUMIF(55:55,C11,56:56)+100</f>
        <v>100</v>
      </c>
      <c r="G11" s="467"/>
      <c r="H11" s="134">
        <f>SUMIF(55:55,G11,56:56)-SUMIF(55:55,C11,56:56)+100</f>
        <v>100</v>
      </c>
      <c r="I11" s="467"/>
      <c r="J11" s="134">
        <f>SUMIF(55:55,I11,56:56)-SUMIF(55:55,C11,56:56)+100</f>
        <v>100</v>
      </c>
      <c r="K11" s="611"/>
      <c r="L11" s="1136"/>
      <c r="M11" s="1129"/>
      <c r="N11" s="1129"/>
      <c r="O11" s="1137"/>
      <c r="P11" s="3274"/>
      <c r="Q11" s="1790">
        <f t="shared" si="6"/>
        <v>111</v>
      </c>
      <c r="R11" s="766" t="s">
        <v>17</v>
      </c>
      <c r="S11" s="767">
        <f t="shared" si="0"/>
        <v>100</v>
      </c>
      <c r="T11" s="766" t="s">
        <v>17</v>
      </c>
      <c r="U11" s="767">
        <f t="shared" si="1"/>
        <v>100</v>
      </c>
      <c r="V11" s="766" t="s">
        <v>17</v>
      </c>
      <c r="W11" s="767">
        <f t="shared" si="2"/>
        <v>100</v>
      </c>
      <c r="X11" s="768"/>
      <c r="Y11" s="3134"/>
      <c r="Z11" s="55">
        <f t="shared" si="7"/>
        <v>111</v>
      </c>
      <c r="AA11" s="769">
        <f t="shared" si="3"/>
        <v>1</v>
      </c>
      <c r="AB11" s="769">
        <f t="shared" si="4"/>
        <v>1</v>
      </c>
      <c r="AC11" s="769">
        <f t="shared" si="5"/>
        <v>1</v>
      </c>
    </row>
    <row r="12" spans="1:29" s="116" customFormat="1" ht="15">
      <c r="A12" s="429"/>
      <c r="B12" s="2587">
        <v>111</v>
      </c>
      <c r="C12" s="430"/>
      <c r="D12" s="431">
        <v>100</v>
      </c>
      <c r="E12" s="467"/>
      <c r="F12" s="423">
        <f>SUMIF(57:57,E12,58:58)-SUMIF(57:57,C12,58:58)+100</f>
        <v>100</v>
      </c>
      <c r="G12" s="467"/>
      <c r="H12" s="134">
        <f>SUMIF(57:57,G12,58:58)-SUMIF(57:57,C12,58:58)+100</f>
        <v>100</v>
      </c>
      <c r="I12" s="467"/>
      <c r="J12" s="134">
        <f>SUMIF(57:57,I12,58:58)-SUMIF(57:57,C12,58:58)+100</f>
        <v>100</v>
      </c>
      <c r="K12" s="611"/>
      <c r="L12" s="1130"/>
      <c r="M12" s="1131"/>
      <c r="N12" s="1131"/>
      <c r="O12" s="1132"/>
      <c r="P12" s="3274"/>
      <c r="Q12" s="1790">
        <f t="shared" si="6"/>
        <v>111</v>
      </c>
      <c r="R12" s="766" t="s">
        <v>17</v>
      </c>
      <c r="S12" s="767">
        <f t="shared" si="0"/>
        <v>100</v>
      </c>
      <c r="T12" s="766" t="s">
        <v>17</v>
      </c>
      <c r="U12" s="767">
        <f t="shared" si="1"/>
        <v>100</v>
      </c>
      <c r="V12" s="766" t="s">
        <v>17</v>
      </c>
      <c r="W12" s="767">
        <f t="shared" si="2"/>
        <v>100</v>
      </c>
      <c r="X12" s="768"/>
      <c r="Y12" s="3134"/>
      <c r="Z12" s="55">
        <f t="shared" si="7"/>
        <v>111</v>
      </c>
      <c r="AA12" s="769">
        <f>D12/F12</f>
        <v>1</v>
      </c>
      <c r="AB12" s="769">
        <f>D12/H12</f>
        <v>1</v>
      </c>
      <c r="AC12" s="769">
        <f>D12/J12</f>
        <v>1</v>
      </c>
    </row>
    <row r="13" spans="1:29" ht="15.75" thickBot="1">
      <c r="A13" s="426"/>
      <c r="B13" s="2587">
        <v>111</v>
      </c>
      <c r="C13" s="432"/>
      <c r="D13" s="433">
        <v>100</v>
      </c>
      <c r="E13" s="467"/>
      <c r="F13" s="423">
        <f>SUMIF(59:59,E13,60:60)-SUMIF(59:59,C13,60:60)+100</f>
        <v>100</v>
      </c>
      <c r="G13" s="2684"/>
      <c r="H13" s="436">
        <f>SUMIF(59:59,G13,60:60)-SUMIF(59:59,C13,60:60)+100</f>
        <v>100</v>
      </c>
      <c r="I13" s="467"/>
      <c r="J13" s="433">
        <f>SUMIF(59:59,I13,60:60)-SUMIF(59:59,C13,60:60)+100</f>
        <v>100</v>
      </c>
      <c r="K13" s="611"/>
      <c r="L13" s="1138"/>
      <c r="M13" s="1129"/>
      <c r="N13" s="1129"/>
      <c r="O13" s="1137"/>
      <c r="P13" s="3274"/>
      <c r="Q13" s="1790">
        <f t="shared" si="6"/>
        <v>111</v>
      </c>
      <c r="R13" s="766" t="s">
        <v>17</v>
      </c>
      <c r="S13" s="767">
        <f t="shared" si="0"/>
        <v>100</v>
      </c>
      <c r="T13" s="766" t="s">
        <v>17</v>
      </c>
      <c r="U13" s="767">
        <f t="shared" si="1"/>
        <v>100</v>
      </c>
      <c r="V13" s="766" t="s">
        <v>17</v>
      </c>
      <c r="W13" s="767">
        <f t="shared" si="2"/>
        <v>100</v>
      </c>
      <c r="X13" s="768"/>
      <c r="Y13" s="3134"/>
      <c r="Z13" s="55">
        <f t="shared" si="7"/>
        <v>111</v>
      </c>
      <c r="AA13" s="769">
        <f t="shared" si="3"/>
        <v>1</v>
      </c>
      <c r="AB13" s="769">
        <f t="shared" si="4"/>
        <v>1</v>
      </c>
      <c r="AC13" s="769">
        <f t="shared" si="5"/>
        <v>1</v>
      </c>
    </row>
    <row r="14" spans="1:29" ht="15">
      <c r="A14" s="438" t="s">
        <v>2543</v>
      </c>
      <c r="B14" s="69" t="s">
        <v>2693</v>
      </c>
      <c r="C14" s="2680">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289" t="s">
        <v>2544</v>
      </c>
      <c r="Q14" s="1805" t="str">
        <f t="shared" si="6"/>
        <v>交通便捷度</v>
      </c>
      <c r="R14" s="770" t="s">
        <v>17</v>
      </c>
      <c r="S14" s="771">
        <f t="shared" si="0"/>
        <v>100</v>
      </c>
      <c r="T14" s="770" t="s">
        <v>17</v>
      </c>
      <c r="U14" s="771">
        <f t="shared" si="1"/>
        <v>100</v>
      </c>
      <c r="V14" s="770" t="s">
        <v>17</v>
      </c>
      <c r="W14" s="771">
        <f t="shared" si="2"/>
        <v>100</v>
      </c>
      <c r="X14" s="1808"/>
      <c r="Y14" s="3289" t="s">
        <v>2544</v>
      </c>
      <c r="Z14" s="1809" t="str">
        <f t="shared" si="7"/>
        <v>交通便捷度</v>
      </c>
      <c r="AA14" s="1806">
        <f t="shared" si="3"/>
        <v>1</v>
      </c>
      <c r="AB14" s="1806">
        <f t="shared" si="4"/>
        <v>1</v>
      </c>
      <c r="AC14" s="1806">
        <f t="shared" si="5"/>
        <v>1</v>
      </c>
    </row>
    <row r="15" spans="1:29" ht="15">
      <c r="A15" s="426"/>
      <c r="B15" s="444"/>
      <c r="C15" s="445"/>
      <c r="D15" s="446"/>
      <c r="E15" s="445"/>
      <c r="F15" s="447"/>
      <c r="G15" s="445"/>
      <c r="H15" s="448"/>
      <c r="I15" s="445"/>
      <c r="J15" s="446"/>
      <c r="K15" s="613"/>
      <c r="L15" s="1138"/>
      <c r="M15" s="1129"/>
      <c r="N15" s="1129"/>
      <c r="O15" s="1137"/>
      <c r="P15" s="3290"/>
      <c r="Q15" s="1805"/>
      <c r="R15" s="770"/>
      <c r="S15" s="771"/>
      <c r="T15" s="770"/>
      <c r="U15" s="771"/>
      <c r="V15" s="770"/>
      <c r="W15" s="771"/>
      <c r="X15" s="1808"/>
      <c r="Y15" s="3290"/>
      <c r="Z15" s="1809"/>
      <c r="AA15" s="1806">
        <v>1</v>
      </c>
      <c r="AB15" s="1806">
        <v>1</v>
      </c>
      <c r="AC15" s="1806">
        <v>1</v>
      </c>
    </row>
    <row r="16" spans="1:29" ht="15">
      <c r="A16" s="426"/>
      <c r="B16" s="449" t="s">
        <v>2672</v>
      </c>
      <c r="C16" s="2594">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290"/>
      <c r="Q16" s="1805" t="str">
        <f>B16</f>
        <v>公共配套设施</v>
      </c>
      <c r="R16" s="770" t="s">
        <v>17</v>
      </c>
      <c r="S16" s="771">
        <f>F16</f>
        <v>100</v>
      </c>
      <c r="T16" s="770" t="s">
        <v>17</v>
      </c>
      <c r="U16" s="771">
        <f>H16</f>
        <v>100</v>
      </c>
      <c r="V16" s="770" t="s">
        <v>17</v>
      </c>
      <c r="W16" s="771">
        <f>J16</f>
        <v>100</v>
      </c>
      <c r="X16" s="1808"/>
      <c r="Y16" s="3290"/>
      <c r="Z16" s="1809" t="str">
        <f>Q16</f>
        <v>公共配套设施</v>
      </c>
      <c r="AA16" s="1806">
        <f t="shared" si="3"/>
        <v>1</v>
      </c>
      <c r="AB16" s="1806">
        <f t="shared" si="4"/>
        <v>1</v>
      </c>
      <c r="AC16" s="1806">
        <f t="shared" si="5"/>
        <v>1</v>
      </c>
    </row>
    <row r="17" spans="1:29" ht="15">
      <c r="A17" s="426"/>
      <c r="B17" s="454"/>
      <c r="C17" s="2595"/>
      <c r="D17" s="446"/>
      <c r="E17" s="445"/>
      <c r="F17" s="447"/>
      <c r="G17" s="445"/>
      <c r="H17" s="446"/>
      <c r="I17" s="445"/>
      <c r="J17" s="446"/>
      <c r="K17" s="613"/>
      <c r="L17" s="1138"/>
      <c r="M17" s="1129"/>
      <c r="N17" s="1129"/>
      <c r="O17" s="1137"/>
      <c r="P17" s="3290"/>
      <c r="Q17" s="1805"/>
      <c r="R17" s="770"/>
      <c r="S17" s="771"/>
      <c r="T17" s="770"/>
      <c r="U17" s="771"/>
      <c r="V17" s="770"/>
      <c r="W17" s="771"/>
      <c r="X17" s="1808"/>
      <c r="Y17" s="3290"/>
      <c r="Z17" s="1809"/>
      <c r="AA17" s="1806">
        <v>1</v>
      </c>
      <c r="AB17" s="1806">
        <v>1</v>
      </c>
      <c r="AC17" s="1806">
        <v>1</v>
      </c>
    </row>
    <row r="18" spans="1:29" ht="15">
      <c r="A18" s="426"/>
      <c r="B18" s="1380" t="s">
        <v>2673</v>
      </c>
      <c r="C18" s="2594">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290"/>
      <c r="Q18" s="1805" t="str">
        <f>B18</f>
        <v>基础设施水平</v>
      </c>
      <c r="R18" s="770" t="s">
        <v>17</v>
      </c>
      <c r="S18" s="771">
        <f>F18</f>
        <v>100</v>
      </c>
      <c r="T18" s="770" t="s">
        <v>17</v>
      </c>
      <c r="U18" s="771">
        <f>H18</f>
        <v>100</v>
      </c>
      <c r="V18" s="770" t="s">
        <v>17</v>
      </c>
      <c r="W18" s="771">
        <f>J18</f>
        <v>100</v>
      </c>
      <c r="X18" s="1808"/>
      <c r="Y18" s="3290"/>
      <c r="Z18" s="1809" t="str">
        <f>Q18</f>
        <v>基础设施水平</v>
      </c>
      <c r="AA18" s="1806">
        <f t="shared" ref="AA18" si="8">D18/F18</f>
        <v>1</v>
      </c>
      <c r="AB18" s="1806">
        <f t="shared" ref="AB18" si="9">D18/H18</f>
        <v>1</v>
      </c>
      <c r="AC18" s="1806">
        <f t="shared" ref="AC18" si="10">D18/J18</f>
        <v>1</v>
      </c>
    </row>
    <row r="19" spans="1:29" ht="15">
      <c r="A19" s="426"/>
      <c r="B19" s="1380"/>
      <c r="C19" s="2595"/>
      <c r="D19" s="448"/>
      <c r="E19" s="2595"/>
      <c r="F19" s="451"/>
      <c r="G19" s="2595"/>
      <c r="H19" s="446"/>
      <c r="I19" s="445"/>
      <c r="J19" s="446"/>
      <c r="K19" s="1379"/>
      <c r="L19" s="1138"/>
      <c r="M19" s="1129"/>
      <c r="N19" s="1129"/>
      <c r="O19" s="1137"/>
      <c r="P19" s="3290"/>
      <c r="Q19" s="1805"/>
      <c r="R19" s="770"/>
      <c r="S19" s="771"/>
      <c r="T19" s="770"/>
      <c r="U19" s="771"/>
      <c r="V19" s="770"/>
      <c r="W19" s="771"/>
      <c r="X19" s="1808"/>
      <c r="Y19" s="3290"/>
      <c r="Z19" s="1809"/>
      <c r="AA19" s="1806">
        <v>1</v>
      </c>
      <c r="AB19" s="1806">
        <v>1</v>
      </c>
      <c r="AC19" s="1806">
        <v>1</v>
      </c>
    </row>
    <row r="20" spans="1:29" ht="15">
      <c r="A20" s="426"/>
      <c r="B20" s="449" t="s">
        <v>2694</v>
      </c>
      <c r="C20" s="2594">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290"/>
      <c r="Q20" s="1805" t="str">
        <f>B20</f>
        <v>自然及人文环境</v>
      </c>
      <c r="R20" s="770" t="s">
        <v>17</v>
      </c>
      <c r="S20" s="771">
        <f>F20</f>
        <v>100</v>
      </c>
      <c r="T20" s="770" t="s">
        <v>17</v>
      </c>
      <c r="U20" s="771">
        <f>H20</f>
        <v>100</v>
      </c>
      <c r="V20" s="770" t="s">
        <v>17</v>
      </c>
      <c r="W20" s="771">
        <f>J20</f>
        <v>100</v>
      </c>
      <c r="X20" s="1808"/>
      <c r="Y20" s="3290"/>
      <c r="Z20" s="1809" t="str">
        <f>Q20</f>
        <v>自然及人文环境</v>
      </c>
      <c r="AA20" s="1806">
        <f t="shared" si="3"/>
        <v>1</v>
      </c>
      <c r="AB20" s="1806">
        <f t="shared" si="4"/>
        <v>1</v>
      </c>
      <c r="AC20" s="1806">
        <f t="shared" si="5"/>
        <v>1</v>
      </c>
    </row>
    <row r="21" spans="1:29" ht="15">
      <c r="A21" s="426"/>
      <c r="B21" s="454"/>
      <c r="C21" s="445"/>
      <c r="D21" s="446"/>
      <c r="E21" s="445"/>
      <c r="F21" s="447"/>
      <c r="G21" s="445"/>
      <c r="H21" s="446"/>
      <c r="I21" s="445"/>
      <c r="J21" s="446"/>
      <c r="K21" s="613"/>
      <c r="L21" s="1138"/>
      <c r="M21" s="1129"/>
      <c r="N21" s="1129"/>
      <c r="O21" s="1137"/>
      <c r="P21" s="3290"/>
      <c r="Q21" s="1805"/>
      <c r="R21" s="770"/>
      <c r="S21" s="771"/>
      <c r="T21" s="770"/>
      <c r="U21" s="771"/>
      <c r="V21" s="770"/>
      <c r="W21" s="771"/>
      <c r="X21" s="1808"/>
      <c r="Y21" s="3290"/>
      <c r="Z21" s="1809"/>
      <c r="AA21" s="1806">
        <v>1</v>
      </c>
      <c r="AB21" s="1806">
        <v>1</v>
      </c>
      <c r="AC21" s="1806">
        <v>1</v>
      </c>
    </row>
    <row r="22" spans="1:29" ht="15">
      <c r="A22" s="426"/>
      <c r="B22" s="449" t="s">
        <v>2695</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290"/>
      <c r="Q22" s="1805" t="str">
        <f>B22</f>
        <v>楼层</v>
      </c>
      <c r="R22" s="770" t="s">
        <v>17</v>
      </c>
      <c r="S22" s="771">
        <f>F22</f>
        <v>100</v>
      </c>
      <c r="T22" s="770" t="s">
        <v>17</v>
      </c>
      <c r="U22" s="771">
        <f>H22</f>
        <v>100</v>
      </c>
      <c r="V22" s="770" t="s">
        <v>17</v>
      </c>
      <c r="W22" s="771">
        <f>J22</f>
        <v>100</v>
      </c>
      <c r="X22" s="1808"/>
      <c r="Y22" s="3290"/>
      <c r="Z22" s="1809" t="str">
        <f>Q22</f>
        <v>楼层</v>
      </c>
      <c r="AA22" s="1806">
        <f t="shared" si="3"/>
        <v>1</v>
      </c>
      <c r="AB22" s="1806">
        <f t="shared" si="4"/>
        <v>1</v>
      </c>
      <c r="AC22" s="1806">
        <f t="shared" si="5"/>
        <v>1</v>
      </c>
    </row>
    <row r="23" spans="1:29" ht="15">
      <c r="A23" s="402"/>
      <c r="B23" s="2587">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290"/>
      <c r="Q23" s="1805">
        <f>B23</f>
        <v>111</v>
      </c>
      <c r="R23" s="770" t="s">
        <v>17</v>
      </c>
      <c r="S23" s="771">
        <f>F23</f>
        <v>100</v>
      </c>
      <c r="T23" s="770" t="s">
        <v>17</v>
      </c>
      <c r="U23" s="771">
        <f>H23</f>
        <v>100</v>
      </c>
      <c r="V23" s="770" t="s">
        <v>17</v>
      </c>
      <c r="W23" s="771">
        <f>J23</f>
        <v>100</v>
      </c>
      <c r="X23" s="1808"/>
      <c r="Y23" s="3290"/>
      <c r="Z23" s="1809">
        <f>Q23</f>
        <v>111</v>
      </c>
      <c r="AA23" s="1806">
        <f t="shared" si="3"/>
        <v>1</v>
      </c>
      <c r="AB23" s="1806">
        <f t="shared" si="4"/>
        <v>1</v>
      </c>
      <c r="AC23" s="1806">
        <f t="shared" si="5"/>
        <v>1</v>
      </c>
    </row>
    <row r="24" spans="1:29" ht="15">
      <c r="A24" s="426"/>
      <c r="B24" s="2587">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290"/>
      <c r="Q24" s="1805">
        <f t="shared" ref="Q24:Q34" si="11">B24</f>
        <v>111</v>
      </c>
      <c r="R24" s="770" t="s">
        <v>17</v>
      </c>
      <c r="S24" s="771">
        <f>F24</f>
        <v>100</v>
      </c>
      <c r="T24" s="770" t="s">
        <v>17</v>
      </c>
      <c r="U24" s="771">
        <f>H24</f>
        <v>100</v>
      </c>
      <c r="V24" s="770" t="s">
        <v>17</v>
      </c>
      <c r="W24" s="771">
        <f>J24</f>
        <v>100</v>
      </c>
      <c r="X24" s="1808"/>
      <c r="Y24" s="3290"/>
      <c r="Z24" s="1809">
        <f>Q24</f>
        <v>111</v>
      </c>
      <c r="AA24" s="1806">
        <f t="shared" si="3"/>
        <v>1</v>
      </c>
      <c r="AB24" s="1806">
        <f t="shared" si="4"/>
        <v>1</v>
      </c>
      <c r="AC24" s="1806">
        <f t="shared" si="5"/>
        <v>1</v>
      </c>
    </row>
    <row r="25" spans="1:29" s="116" customFormat="1" ht="15.75" thickBot="1">
      <c r="A25" s="429"/>
      <c r="B25" s="2587">
        <v>111</v>
      </c>
      <c r="C25" s="2685"/>
      <c r="D25" s="663">
        <v>100</v>
      </c>
      <c r="E25" s="2685"/>
      <c r="F25" s="664">
        <f>SUMIF(75:75,E25,76:76)-SUMIF(75:75,C25,76:76)+100</f>
        <v>100</v>
      </c>
      <c r="G25" s="2685"/>
      <c r="H25" s="663">
        <f>SUMIF(75:75,G25,76:76)-SUMIF(75:75,C25,76:76)+100</f>
        <v>100</v>
      </c>
      <c r="I25" s="2685"/>
      <c r="J25" s="663">
        <f>SUMIF(75:75,I25,76:76)-SUMIF(75:75,C25,76:76)+100</f>
        <v>100</v>
      </c>
      <c r="K25" s="611"/>
      <c r="L25" s="1130"/>
      <c r="M25" s="1131"/>
      <c r="N25" s="1131"/>
      <c r="O25" s="1132"/>
      <c r="P25" s="3290"/>
      <c r="Q25" s="1790">
        <f t="shared" si="11"/>
        <v>111</v>
      </c>
      <c r="R25" s="766" t="s">
        <v>17</v>
      </c>
      <c r="S25" s="767">
        <f>F25</f>
        <v>100</v>
      </c>
      <c r="T25" s="766" t="s">
        <v>17</v>
      </c>
      <c r="U25" s="767">
        <f>H25</f>
        <v>100</v>
      </c>
      <c r="V25" s="766" t="s">
        <v>17</v>
      </c>
      <c r="W25" s="767">
        <f>J25</f>
        <v>100</v>
      </c>
      <c r="X25" s="768"/>
      <c r="Y25" s="3290"/>
      <c r="Z25" s="55">
        <f>Q25</f>
        <v>111</v>
      </c>
      <c r="AA25" s="1806">
        <f>D25/F25</f>
        <v>1</v>
      </c>
      <c r="AB25" s="1806">
        <f>D25/H25</f>
        <v>1</v>
      </c>
      <c r="AC25" s="1806">
        <f>D25/J25</f>
        <v>1</v>
      </c>
    </row>
    <row r="26" spans="1:29" ht="15">
      <c r="A26" s="464" t="s">
        <v>2547</v>
      </c>
      <c r="B26" s="71" t="s">
        <v>2698</v>
      </c>
      <c r="C26" s="2666"/>
      <c r="D26" s="465">
        <v>100</v>
      </c>
      <c r="E26" s="2666"/>
      <c r="F26" s="665">
        <f>SUMIF(77:77,E26,78:78)-SUMIF(77:77,C26,78:78)+100</f>
        <v>100</v>
      </c>
      <c r="G26" s="2666"/>
      <c r="H26" s="465">
        <f>SUMIF(77:77,G26,78:78)-SUMIF(77:77,C26,78:78)+100</f>
        <v>100</v>
      </c>
      <c r="I26" s="2666"/>
      <c r="J26" s="465">
        <f>SUMIF(77:77,I26,78:78)-SUMIF(77:77,C26,78:78)+100</f>
        <v>100</v>
      </c>
      <c r="K26" s="610"/>
      <c r="L26" s="1138"/>
      <c r="M26" s="1129"/>
      <c r="N26" s="1129"/>
      <c r="O26" s="1137"/>
      <c r="P26" s="3291" t="s">
        <v>2549</v>
      </c>
      <c r="Q26" s="1805" t="str">
        <f t="shared" si="11"/>
        <v>公共部分装修</v>
      </c>
      <c r="R26" s="770" t="s">
        <v>17</v>
      </c>
      <c r="S26" s="771">
        <f t="shared" ref="S26:S34" si="12">F26</f>
        <v>100</v>
      </c>
      <c r="T26" s="770" t="s">
        <v>17</v>
      </c>
      <c r="U26" s="771">
        <f t="shared" ref="U26:U34" si="13">H26</f>
        <v>100</v>
      </c>
      <c r="V26" s="770" t="s">
        <v>17</v>
      </c>
      <c r="W26" s="771">
        <f t="shared" ref="W26:W34" si="14">J26</f>
        <v>100</v>
      </c>
      <c r="X26" s="1808"/>
      <c r="Y26" s="3292" t="s">
        <v>2549</v>
      </c>
      <c r="Z26" s="1809" t="str">
        <f t="shared" ref="Z26:Z34" si="15">Q26</f>
        <v>公共部分装修</v>
      </c>
      <c r="AA26" s="1806">
        <f t="shared" si="3"/>
        <v>1</v>
      </c>
      <c r="AB26" s="1806">
        <f t="shared" si="4"/>
        <v>1</v>
      </c>
      <c r="AC26" s="1806">
        <f t="shared" si="5"/>
        <v>1</v>
      </c>
    </row>
    <row r="27" spans="1:29" s="469" customFormat="1" ht="15">
      <c r="A27" s="466"/>
      <c r="B27" s="420" t="s">
        <v>2699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292"/>
      <c r="Q27" s="772" t="str">
        <f t="shared" si="11"/>
        <v>成新率</v>
      </c>
      <c r="R27" s="773" t="s">
        <v>17</v>
      </c>
      <c r="S27" s="774" t="e">
        <f t="shared" si="12"/>
        <v>#N/A</v>
      </c>
      <c r="T27" s="773" t="s">
        <v>17</v>
      </c>
      <c r="U27" s="774" t="e">
        <f t="shared" si="13"/>
        <v>#N/A</v>
      </c>
      <c r="V27" s="773" t="s">
        <v>17</v>
      </c>
      <c r="W27" s="774" t="e">
        <f t="shared" si="14"/>
        <v>#N/A</v>
      </c>
      <c r="X27" s="775"/>
      <c r="Y27" s="3292"/>
      <c r="Z27" s="776" t="str">
        <f t="shared" si="15"/>
        <v>成新率</v>
      </c>
      <c r="AA27" s="1806" t="e">
        <f t="shared" si="3"/>
        <v>#N/A</v>
      </c>
      <c r="AB27" s="1806" t="e">
        <f t="shared" si="4"/>
        <v>#N/A</v>
      </c>
      <c r="AC27" s="1806" t="e">
        <f t="shared" si="5"/>
        <v>#N/A</v>
      </c>
    </row>
    <row r="28" spans="1:29" ht="15">
      <c r="A28" s="470"/>
      <c r="B28" s="420" t="s">
        <v>2700</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292"/>
      <c r="Q28" s="1805" t="str">
        <f t="shared" si="11"/>
        <v>物业等级</v>
      </c>
      <c r="R28" s="770" t="s">
        <v>17</v>
      </c>
      <c r="S28" s="771">
        <f t="shared" si="12"/>
        <v>100</v>
      </c>
      <c r="T28" s="770" t="s">
        <v>17</v>
      </c>
      <c r="U28" s="771">
        <f t="shared" si="13"/>
        <v>100</v>
      </c>
      <c r="V28" s="770" t="s">
        <v>17</v>
      </c>
      <c r="W28" s="771">
        <f t="shared" si="14"/>
        <v>100</v>
      </c>
      <c r="X28" s="1808"/>
      <c r="Y28" s="3292"/>
      <c r="Z28" s="1809" t="str">
        <f t="shared" si="15"/>
        <v>物业等级</v>
      </c>
      <c r="AA28" s="1806">
        <f t="shared" si="3"/>
        <v>1</v>
      </c>
      <c r="AB28" s="1806">
        <f t="shared" si="4"/>
        <v>1</v>
      </c>
      <c r="AC28" s="1806">
        <f t="shared" si="5"/>
        <v>1</v>
      </c>
    </row>
    <row r="29" spans="1:29" ht="15">
      <c r="A29" s="470"/>
      <c r="B29" s="420" t="s">
        <v>2721</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292"/>
      <c r="Q29" s="1805" t="str">
        <f t="shared" si="11"/>
        <v>有无电梯</v>
      </c>
      <c r="R29" s="770" t="s">
        <v>17</v>
      </c>
      <c r="S29" s="771">
        <f t="shared" si="12"/>
        <v>100</v>
      </c>
      <c r="T29" s="770" t="s">
        <v>17</v>
      </c>
      <c r="U29" s="771">
        <f t="shared" si="13"/>
        <v>100</v>
      </c>
      <c r="V29" s="770" t="s">
        <v>17</v>
      </c>
      <c r="W29" s="771">
        <f t="shared" si="14"/>
        <v>100</v>
      </c>
      <c r="X29" s="1808"/>
      <c r="Y29" s="3292"/>
      <c r="Z29" s="1809" t="str">
        <f t="shared" si="15"/>
        <v>有无电梯</v>
      </c>
      <c r="AA29" s="1806">
        <f t="shared" si="3"/>
        <v>1</v>
      </c>
      <c r="AB29" s="1806">
        <f t="shared" si="4"/>
        <v>1</v>
      </c>
      <c r="AC29" s="1806">
        <f t="shared" si="5"/>
        <v>1</v>
      </c>
    </row>
    <row r="30" spans="1:29" ht="15">
      <c r="A30" s="470"/>
      <c r="B30" s="420" t="s">
        <v>2722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292"/>
      <c r="Q30" s="1805" t="str">
        <f t="shared" si="11"/>
        <v>建筑面积</v>
      </c>
      <c r="R30" s="770" t="s">
        <v>17</v>
      </c>
      <c r="S30" s="771" t="e">
        <f t="shared" si="12"/>
        <v>#N/A</v>
      </c>
      <c r="T30" s="770" t="s">
        <v>17</v>
      </c>
      <c r="U30" s="771" t="e">
        <f t="shared" si="13"/>
        <v>#N/A</v>
      </c>
      <c r="V30" s="770" t="s">
        <v>17</v>
      </c>
      <c r="W30" s="771" t="e">
        <f t="shared" si="14"/>
        <v>#N/A</v>
      </c>
      <c r="X30" s="1808"/>
      <c r="Y30" s="3292"/>
      <c r="Z30" s="1809" t="str">
        <f t="shared" si="15"/>
        <v>建筑面积</v>
      </c>
      <c r="AA30" s="1806" t="e">
        <f t="shared" si="3"/>
        <v>#N/A</v>
      </c>
      <c r="AB30" s="1806" t="e">
        <f t="shared" si="4"/>
        <v>#N/A</v>
      </c>
      <c r="AC30" s="1806" t="e">
        <f t="shared" si="5"/>
        <v>#N/A</v>
      </c>
    </row>
    <row r="31" spans="1:29" s="116" customFormat="1" ht="15">
      <c r="A31" s="471"/>
      <c r="B31" s="420" t="s">
        <v>2723</v>
      </c>
      <c r="C31" s="655"/>
      <c r="D31" s="134">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292"/>
      <c r="Q31" s="1790" t="str">
        <f t="shared" si="11"/>
        <v>是否封闭</v>
      </c>
      <c r="R31" s="766" t="s">
        <v>17</v>
      </c>
      <c r="S31" s="767">
        <f t="shared" si="12"/>
        <v>100</v>
      </c>
      <c r="T31" s="766" t="s">
        <v>17</v>
      </c>
      <c r="U31" s="767">
        <f t="shared" si="13"/>
        <v>100</v>
      </c>
      <c r="V31" s="766" t="s">
        <v>17</v>
      </c>
      <c r="W31" s="767">
        <f t="shared" si="14"/>
        <v>100</v>
      </c>
      <c r="X31" s="768"/>
      <c r="Y31" s="3292"/>
      <c r="Z31" s="55" t="str">
        <f t="shared" si="15"/>
        <v>是否封闭</v>
      </c>
      <c r="AA31" s="769">
        <f t="shared" si="3"/>
        <v>1</v>
      </c>
      <c r="AB31" s="769">
        <f t="shared" si="4"/>
        <v>1</v>
      </c>
      <c r="AC31" s="769">
        <f t="shared" si="5"/>
        <v>1</v>
      </c>
    </row>
    <row r="32" spans="1:29" ht="15">
      <c r="A32" s="470"/>
      <c r="B32" s="2587">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292" t="s">
        <v>2549</v>
      </c>
      <c r="Q32" s="1805">
        <f t="shared" si="11"/>
        <v>111</v>
      </c>
      <c r="R32" s="770" t="s">
        <v>17</v>
      </c>
      <c r="S32" s="771">
        <f t="shared" si="12"/>
        <v>100</v>
      </c>
      <c r="T32" s="770" t="s">
        <v>17</v>
      </c>
      <c r="U32" s="771">
        <f t="shared" si="13"/>
        <v>100</v>
      </c>
      <c r="V32" s="770" t="s">
        <v>17</v>
      </c>
      <c r="W32" s="771">
        <f t="shared" si="14"/>
        <v>100</v>
      </c>
      <c r="X32" s="1808"/>
      <c r="Y32" s="3292" t="s">
        <v>2549</v>
      </c>
      <c r="Z32" s="1809">
        <f t="shared" si="15"/>
        <v>111</v>
      </c>
      <c r="AA32" s="1806">
        <f t="shared" si="3"/>
        <v>1</v>
      </c>
      <c r="AB32" s="1806">
        <f t="shared" si="4"/>
        <v>1</v>
      </c>
      <c r="AC32" s="1806">
        <f t="shared" si="5"/>
        <v>1</v>
      </c>
    </row>
    <row r="33" spans="1:29" ht="15">
      <c r="A33" s="470"/>
      <c r="B33" s="2587">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292"/>
      <c r="Q33" s="1805">
        <f t="shared" si="11"/>
        <v>111</v>
      </c>
      <c r="R33" s="770" t="s">
        <v>17</v>
      </c>
      <c r="S33" s="771">
        <f t="shared" si="12"/>
        <v>100</v>
      </c>
      <c r="T33" s="770" t="s">
        <v>17</v>
      </c>
      <c r="U33" s="771">
        <f t="shared" si="13"/>
        <v>100</v>
      </c>
      <c r="V33" s="770" t="s">
        <v>17</v>
      </c>
      <c r="W33" s="771">
        <f t="shared" si="14"/>
        <v>100</v>
      </c>
      <c r="X33" s="1808"/>
      <c r="Y33" s="3292"/>
      <c r="Z33" s="1809">
        <f t="shared" si="15"/>
        <v>111</v>
      </c>
      <c r="AA33" s="1806">
        <f t="shared" si="3"/>
        <v>1</v>
      </c>
      <c r="AB33" s="1806">
        <f t="shared" si="4"/>
        <v>1</v>
      </c>
      <c r="AC33" s="1806">
        <f t="shared" si="5"/>
        <v>1</v>
      </c>
    </row>
    <row r="34" spans="1:29" ht="15.75" thickBot="1">
      <c r="A34" s="476"/>
      <c r="B34" s="2589">
        <v>111</v>
      </c>
      <c r="C34" s="435"/>
      <c r="D34" s="436">
        <v>100</v>
      </c>
      <c r="E34" s="2684"/>
      <c r="F34" s="437">
        <f>SUMIF(95:95,E34,96:96)-SUMIF(95:95,C34,96:96)+100</f>
        <v>100</v>
      </c>
      <c r="G34" s="2684"/>
      <c r="H34" s="436">
        <f>SUMIF(95:95,G34,96:96)-SUMIF(95:95,C34,96:96)+100</f>
        <v>100</v>
      </c>
      <c r="I34" s="2684"/>
      <c r="J34" s="436">
        <f>SUMIF(95:95,I34,96:96)-SUMIF(95:95,C34,96:96)+100</f>
        <v>100</v>
      </c>
      <c r="K34" s="611"/>
      <c r="L34" s="1138"/>
      <c r="M34" s="1129"/>
      <c r="N34" s="1129"/>
      <c r="O34" s="1137"/>
      <c r="P34" s="3292"/>
      <c r="Q34" s="1805">
        <f t="shared" si="11"/>
        <v>111</v>
      </c>
      <c r="R34" s="770" t="s">
        <v>17</v>
      </c>
      <c r="S34" s="771">
        <f t="shared" si="12"/>
        <v>100</v>
      </c>
      <c r="T34" s="770" t="s">
        <v>17</v>
      </c>
      <c r="U34" s="771">
        <f t="shared" si="13"/>
        <v>100</v>
      </c>
      <c r="V34" s="770" t="s">
        <v>17</v>
      </c>
      <c r="W34" s="771">
        <f t="shared" si="14"/>
        <v>100</v>
      </c>
      <c r="X34" s="1808"/>
      <c r="Y34" s="3292"/>
      <c r="Z34" s="1809">
        <f t="shared" si="15"/>
        <v>111</v>
      </c>
      <c r="AA34" s="1806">
        <f t="shared" si="3"/>
        <v>1</v>
      </c>
      <c r="AB34" s="1806">
        <f t="shared" si="4"/>
        <v>1</v>
      </c>
      <c r="AC34" s="1806">
        <f t="shared" si="5"/>
        <v>1</v>
      </c>
    </row>
    <row r="35" spans="1:29" ht="15">
      <c r="A35" s="477" t="s">
        <v>2561</v>
      </c>
      <c r="B35" s="478"/>
      <c r="C35" s="1403" t="s">
        <v>1</v>
      </c>
      <c r="D35" s="1404"/>
      <c r="E35" s="1405"/>
      <c r="F35" s="1406"/>
      <c r="G35" s="1407"/>
      <c r="H35" s="1408"/>
      <c r="I35" s="1405"/>
      <c r="J35" s="1408"/>
      <c r="K35" s="779"/>
      <c r="L35" s="1141"/>
      <c r="M35" s="1142"/>
      <c r="N35" s="1129"/>
      <c r="O35" s="1142"/>
      <c r="P35" s="3274" t="str">
        <f>A35</f>
        <v>成交单价（元/平方米）</v>
      </c>
      <c r="Q35" s="3274"/>
      <c r="R35" s="3301">
        <f>E35</f>
        <v>0</v>
      </c>
      <c r="S35" s="3301"/>
      <c r="T35" s="3301">
        <f>G35</f>
        <v>0</v>
      </c>
      <c r="U35" s="3301"/>
      <c r="V35" s="3301">
        <f>I35</f>
        <v>0</v>
      </c>
      <c r="W35" s="3301"/>
      <c r="X35" s="755"/>
      <c r="Y35" s="777"/>
      <c r="Z35" s="755"/>
      <c r="AA35" s="755"/>
      <c r="AB35" s="755"/>
      <c r="AC35" s="755"/>
    </row>
    <row r="36" spans="1:29" ht="15.75" thickBot="1">
      <c r="A36" s="484" t="s">
        <v>2653</v>
      </c>
      <c r="B36" s="485"/>
      <c r="C36" s="1409" t="e">
        <f>R37</f>
        <v>#DIV/0!</v>
      </c>
      <c r="D36" s="1410"/>
      <c r="E36" s="1411" t="e">
        <f>R36</f>
        <v>#DIV/0!</v>
      </c>
      <c r="F36" s="1411"/>
      <c r="G36" s="1409" t="e">
        <f>T36</f>
        <v>#DIV/0!</v>
      </c>
      <c r="H36" s="1410"/>
      <c r="I36" s="1411" t="e">
        <f>V36</f>
        <v>#DIV/0!</v>
      </c>
      <c r="J36" s="1410"/>
      <c r="K36" s="780"/>
      <c r="L36" s="1141"/>
      <c r="M36" s="1142"/>
      <c r="N36" s="1129"/>
      <c r="O36" s="1142"/>
      <c r="P36" s="3274" t="str">
        <f>A36</f>
        <v>比较价值（元/平方米）</v>
      </c>
      <c r="Q36" s="3274"/>
      <c r="R36" s="3301" t="e">
        <f>IF(F1="售价",ROUND(PRODUCT(R35,AA7:AA34),0),ROUND(PRODUCT(R35,AA7:AA34),1))</f>
        <v>#DIV/0!</v>
      </c>
      <c r="S36" s="3301"/>
      <c r="T36" s="3301" t="e">
        <f>IF(F1="售价",ROUND(PRODUCT(T35,AB7:AB34),0),ROUND(PRODUCT(T35,AB7:AB34),1))</f>
        <v>#DIV/0!</v>
      </c>
      <c r="U36" s="3301"/>
      <c r="V36" s="3301" t="e">
        <f>IF(F1="售价",ROUND(PRODUCT(V35,AC7:AC34),0),ROUND(PRODUCT(V35,AC7:AC34),1))</f>
        <v>#DIV/0!</v>
      </c>
      <c r="W36" s="3301"/>
      <c r="X36" s="755"/>
      <c r="Y36" s="755"/>
      <c r="Z36" s="755"/>
      <c r="AA36" s="755"/>
      <c r="AB36" s="755"/>
      <c r="AC36" s="755"/>
    </row>
    <row r="37" spans="1:29" ht="15.75" thickBot="1">
      <c r="A37" s="490" t="s">
        <v>2654</v>
      </c>
      <c r="B37" s="491"/>
      <c r="C37" s="1413" t="e">
        <f>R37</f>
        <v>#DIV/0!</v>
      </c>
      <c r="D37" s="1413"/>
      <c r="E37" s="1413"/>
      <c r="F37" s="1413"/>
      <c r="G37" s="1413"/>
      <c r="H37" s="1413"/>
      <c r="I37" s="1413"/>
      <c r="J37" s="1413"/>
      <c r="K37" s="781"/>
      <c r="L37" s="1141"/>
      <c r="M37" s="1142"/>
      <c r="N37" s="1142"/>
      <c r="O37" s="1142"/>
      <c r="P37" s="3294" t="str">
        <f>A37</f>
        <v>估价对象XX用房的比较价值（楼面单价，元/平方米）</v>
      </c>
      <c r="Q37" s="3295"/>
      <c r="R37" s="3302" t="e">
        <f>IF(F1="售价",ROUND(AVERAGE(R36:V36),0),ROUND(AVERAGE(R36:V36),1))</f>
        <v>#DIV/0!</v>
      </c>
      <c r="S37" s="3302"/>
      <c r="T37" s="3302"/>
      <c r="U37" s="3302"/>
      <c r="V37" s="3302"/>
      <c r="W37" s="3302"/>
      <c r="X37" s="755"/>
      <c r="Y37" s="755"/>
      <c r="Z37" s="755"/>
      <c r="AA37" s="755"/>
      <c r="AB37" s="755"/>
      <c r="AC37" s="755"/>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2655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2656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2657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9" t="s">
        <v>2658</v>
      </c>
      <c r="B45" s="755"/>
      <c r="C45" s="760"/>
      <c r="D45" s="760"/>
      <c r="E45" s="760"/>
      <c r="F45" s="761"/>
      <c r="G45" s="761"/>
      <c r="H45" s="760"/>
      <c r="I45" s="760"/>
      <c r="J45" s="760"/>
      <c r="K45" s="762"/>
      <c r="L45" s="763"/>
      <c r="M45" s="760"/>
      <c r="N45" s="760"/>
      <c r="O45" s="760"/>
      <c r="P45" s="501"/>
      <c r="Q45" s="502"/>
    </row>
    <row r="46" spans="1:29" s="506" customFormat="1" ht="15">
      <c r="A46" s="503" t="s">
        <v>2532</v>
      </c>
      <c r="B46" s="504"/>
      <c r="C46" s="1569" t="str">
        <f>YEAR(C7)&amp;"-"&amp;MONTH(C7)</f>
        <v>2018-4</v>
      </c>
      <c r="D46" s="1570">
        <f>EDATE(C46,-1)</f>
        <v>43160</v>
      </c>
      <c r="E46" s="1570">
        <f t="shared" ref="E46:O46" si="16">EDATE(D46,-1)</f>
        <v>43132</v>
      </c>
      <c r="F46" s="1570">
        <f t="shared" si="16"/>
        <v>43101</v>
      </c>
      <c r="G46" s="1570">
        <f t="shared" si="16"/>
        <v>43070</v>
      </c>
      <c r="H46" s="1570">
        <f t="shared" si="16"/>
        <v>43040</v>
      </c>
      <c r="I46" s="1570">
        <f t="shared" si="16"/>
        <v>43009</v>
      </c>
      <c r="J46" s="1570">
        <f t="shared" si="16"/>
        <v>42979</v>
      </c>
      <c r="K46" s="1570">
        <f t="shared" si="16"/>
        <v>42948</v>
      </c>
      <c r="L46" s="1570">
        <f t="shared" si="16"/>
        <v>42917</v>
      </c>
      <c r="M46" s="1570">
        <f t="shared" si="16"/>
        <v>42887</v>
      </c>
      <c r="N46" s="1570">
        <f t="shared" si="16"/>
        <v>42856</v>
      </c>
      <c r="O46" s="1570">
        <f t="shared" si="16"/>
        <v>42826</v>
      </c>
      <c r="P46" s="505"/>
    </row>
    <row r="47" spans="1:29" s="116" customFormat="1" ht="15">
      <c r="A47" s="507"/>
      <c r="B47" s="508"/>
      <c r="C47" s="1568">
        <v>100</v>
      </c>
      <c r="D47" s="510"/>
      <c r="E47" s="510"/>
      <c r="F47" s="510"/>
      <c r="G47" s="510"/>
      <c r="H47" s="510"/>
      <c r="I47" s="510"/>
      <c r="J47" s="510"/>
      <c r="K47" s="510"/>
      <c r="L47" s="510"/>
      <c r="M47" s="511"/>
      <c r="N47" s="510"/>
      <c r="O47" s="512"/>
      <c r="P47" s="502"/>
    </row>
    <row r="48" spans="1:29" s="116" customFormat="1" ht="15.75" thickBot="1">
      <c r="A48" s="513" t="s">
        <v>2569</v>
      </c>
      <c r="B48" s="514"/>
      <c r="C48" s="515"/>
      <c r="D48" s="516"/>
      <c r="E48" s="516"/>
      <c r="F48" s="516"/>
      <c r="G48" s="516"/>
      <c r="H48" s="516"/>
      <c r="I48" s="516"/>
      <c r="J48" s="516"/>
      <c r="K48" s="516"/>
      <c r="L48" s="516"/>
      <c r="M48" s="517"/>
      <c r="N48" s="516"/>
      <c r="O48" s="518"/>
      <c r="P48" s="502"/>
      <c r="Q48" s="502"/>
    </row>
    <row r="49" spans="1:17" s="116" customFormat="1" ht="15">
      <c r="A49" s="519" t="s">
        <v>2534</v>
      </c>
      <c r="B49" s="508"/>
      <c r="C49" s="520" t="s">
        <v>2636</v>
      </c>
      <c r="D49" s="521"/>
      <c r="E49" s="521"/>
      <c r="F49" s="521"/>
      <c r="G49" s="521"/>
      <c r="H49" s="521"/>
      <c r="I49" s="521"/>
      <c r="J49" s="521"/>
      <c r="K49" s="521"/>
      <c r="L49" s="522"/>
      <c r="M49" s="523"/>
      <c r="N49" s="1149"/>
      <c r="O49" s="1149"/>
      <c r="P49" s="524"/>
      <c r="Q49" s="502"/>
    </row>
    <row r="50" spans="1:17" s="116"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2572</v>
      </c>
      <c r="B51" s="526" t="s">
        <v>2538</v>
      </c>
      <c r="C51" s="527">
        <f>C9</f>
        <v>0</v>
      </c>
      <c r="D51" s="528"/>
      <c r="E51" s="528"/>
      <c r="F51" s="528"/>
      <c r="G51" s="528"/>
      <c r="H51" s="528"/>
      <c r="I51" s="528"/>
      <c r="J51" s="528"/>
      <c r="K51" s="529"/>
      <c r="L51" s="530"/>
      <c r="M51" s="531"/>
      <c r="N51" s="1150"/>
      <c r="O51" s="1150"/>
      <c r="P51" s="45"/>
      <c r="Q51" s="502"/>
    </row>
    <row r="52" spans="1:17" ht="15.75" thickBot="1">
      <c r="A52" s="532"/>
      <c r="B52" s="533"/>
      <c r="C52" s="534">
        <v>100</v>
      </c>
      <c r="D52" s="534"/>
      <c r="E52" s="534"/>
      <c r="F52" s="534"/>
      <c r="G52" s="534"/>
      <c r="H52" s="534"/>
      <c r="I52" s="534"/>
      <c r="J52" s="534"/>
      <c r="K52" s="534"/>
      <c r="L52" s="534"/>
      <c r="M52" s="535"/>
      <c r="N52" s="1151"/>
      <c r="O52" s="1151"/>
      <c r="P52" s="45"/>
      <c r="Q52" s="502"/>
    </row>
    <row r="53" spans="1:17" ht="27.75" thickTop="1">
      <c r="A53" s="532"/>
      <c r="B53" s="536" t="s">
        <v>2541</v>
      </c>
      <c r="C53" s="537" t="s">
        <v>2573</v>
      </c>
      <c r="D53" s="537" t="s">
        <v>2574</v>
      </c>
      <c r="E53" s="537" t="s">
        <v>2575</v>
      </c>
      <c r="F53" s="537" t="s">
        <v>2576</v>
      </c>
      <c r="G53" s="537" t="s">
        <v>2577</v>
      </c>
      <c r="H53" s="537" t="s">
        <v>2578</v>
      </c>
      <c r="I53" s="537" t="s">
        <v>2579</v>
      </c>
      <c r="J53" s="537"/>
      <c r="K53" s="538"/>
      <c r="L53" s="539"/>
      <c r="M53" s="540"/>
      <c r="N53" s="1150"/>
      <c r="O53" s="1150"/>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5"/>
      <c r="Q54" s="502"/>
    </row>
    <row r="55" spans="1:17" ht="15.75" thickTop="1">
      <c r="A55" s="532"/>
      <c r="B55" s="658">
        <f>B11</f>
        <v>111</v>
      </c>
      <c r="C55" s="547"/>
      <c r="D55" s="547"/>
      <c r="E55" s="547"/>
      <c r="F55" s="547"/>
      <c r="G55" s="547"/>
      <c r="H55" s="547"/>
      <c r="I55" s="547"/>
      <c r="J55" s="547"/>
      <c r="K55" s="548"/>
      <c r="L55" s="549"/>
      <c r="M55" s="550"/>
      <c r="N55" s="1150"/>
      <c r="O55" s="1150"/>
      <c r="P55" s="45"/>
      <c r="Q55" s="502"/>
    </row>
    <row r="56" spans="1:17" ht="15.75" thickBot="1">
      <c r="A56" s="532"/>
      <c r="B56" s="533"/>
      <c r="C56" s="558"/>
      <c r="D56" s="534"/>
      <c r="E56" s="534"/>
      <c r="F56" s="534"/>
      <c r="G56" s="534"/>
      <c r="H56" s="534"/>
      <c r="I56" s="534"/>
      <c r="J56" s="534"/>
      <c r="K56" s="534"/>
      <c r="L56" s="534"/>
      <c r="M56" s="535"/>
      <c r="N56" s="1151"/>
      <c r="O56" s="1151"/>
      <c r="P56" s="45"/>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2543</v>
      </c>
      <c r="B61" s="526" t="s">
        <v>2586</v>
      </c>
      <c r="C61" s="571" t="s">
        <v>2581</v>
      </c>
      <c r="D61" s="571" t="s">
        <v>2582</v>
      </c>
      <c r="E61" s="571" t="s">
        <v>2583</v>
      </c>
      <c r="F61" s="571" t="s">
        <v>2584</v>
      </c>
      <c r="G61" s="571" t="s">
        <v>2585</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5"/>
      <c r="Q62" s="502"/>
    </row>
    <row r="63" spans="1:17" ht="27.75" thickTop="1">
      <c r="A63" s="532"/>
      <c r="B63" s="536" t="s">
        <v>2724</v>
      </c>
      <c r="C63" s="576" t="s">
        <v>2581</v>
      </c>
      <c r="D63" s="576" t="s">
        <v>2582</v>
      </c>
      <c r="E63" s="576" t="s">
        <v>2583</v>
      </c>
      <c r="F63" s="576" t="s">
        <v>2584</v>
      </c>
      <c r="G63" s="576" t="s">
        <v>2585</v>
      </c>
      <c r="H63" s="537"/>
      <c r="I63" s="537"/>
      <c r="J63" s="537"/>
      <c r="K63" s="538"/>
      <c r="L63" s="539"/>
      <c r="M63" s="540"/>
      <c r="N63" s="1150"/>
      <c r="O63" s="1150"/>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5"/>
      <c r="Q64" s="502"/>
    </row>
    <row r="65" spans="1:17" ht="15.75" thickTop="1">
      <c r="A65" s="532"/>
      <c r="B65" s="544" t="s">
        <v>2673</v>
      </c>
      <c r="C65" s="658" t="s">
        <v>2659</v>
      </c>
      <c r="D65" s="658" t="s">
        <v>2660</v>
      </c>
      <c r="E65" s="658" t="s">
        <v>2661</v>
      </c>
      <c r="F65" s="658" t="s">
        <v>2662</v>
      </c>
      <c r="G65" s="658" t="s">
        <v>2663</v>
      </c>
      <c r="H65" s="537"/>
      <c r="I65" s="537"/>
      <c r="J65" s="537"/>
      <c r="K65" s="537"/>
      <c r="L65" s="537"/>
      <c r="M65" s="1378"/>
      <c r="N65" s="1151"/>
      <c r="O65" s="1151"/>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5"/>
      <c r="Q66" s="502"/>
    </row>
    <row r="67" spans="1:17" ht="15.75" thickTop="1">
      <c r="A67" s="532"/>
      <c r="B67" s="536" t="s">
        <v>2593</v>
      </c>
      <c r="C67" s="576" t="s">
        <v>2581</v>
      </c>
      <c r="D67" s="576" t="s">
        <v>2582</v>
      </c>
      <c r="E67" s="576" t="s">
        <v>2583</v>
      </c>
      <c r="F67" s="576" t="s">
        <v>2584</v>
      </c>
      <c r="G67" s="576" t="s">
        <v>2585</v>
      </c>
      <c r="H67" s="537"/>
      <c r="I67" s="537"/>
      <c r="J67" s="537"/>
      <c r="K67" s="538"/>
      <c r="L67" s="539"/>
      <c r="M67" s="540"/>
      <c r="N67" s="1150"/>
      <c r="O67" s="1150"/>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5"/>
      <c r="Q68" s="502"/>
    </row>
    <row r="69" spans="1:17" ht="15.75" thickTop="1">
      <c r="A69" s="532"/>
      <c r="B69" s="536" t="s">
        <v>2713</v>
      </c>
      <c r="C69" s="552"/>
      <c r="D69" s="552"/>
      <c r="E69" s="552"/>
      <c r="F69" s="552"/>
      <c r="G69" s="552"/>
      <c r="H69" s="581"/>
      <c r="I69" s="581"/>
      <c r="J69" s="581"/>
      <c r="K69" s="582"/>
      <c r="L69" s="583"/>
      <c r="M69" s="584"/>
      <c r="N69" s="1150"/>
      <c r="O69" s="1150"/>
      <c r="P69" s="45"/>
      <c r="Q69" s="502"/>
    </row>
    <row r="70" spans="1:17" ht="15.75" thickBot="1">
      <c r="A70" s="532"/>
      <c r="B70" s="541"/>
      <c r="C70" s="542">
        <v>100</v>
      </c>
      <c r="D70" s="542">
        <f>C70-$K22</f>
        <v>100</v>
      </c>
      <c r="E70" s="542"/>
      <c r="F70" s="542"/>
      <c r="G70" s="542"/>
      <c r="H70" s="542"/>
      <c r="I70" s="542"/>
      <c r="J70" s="542"/>
      <c r="K70" s="542"/>
      <c r="L70" s="542"/>
      <c r="M70" s="543"/>
      <c r="N70" s="1151"/>
      <c r="O70" s="1151"/>
      <c r="P70" s="45"/>
      <c r="Q70" s="502"/>
    </row>
    <row r="71" spans="1:17" s="116" customFormat="1" ht="15.75" thickTop="1">
      <c r="A71" s="577"/>
      <c r="B71" s="536">
        <f>B23</f>
        <v>111</v>
      </c>
      <c r="C71" s="547"/>
      <c r="D71" s="547"/>
      <c r="E71" s="547"/>
      <c r="F71" s="547"/>
      <c r="G71" s="552"/>
      <c r="H71" s="552"/>
      <c r="I71" s="552"/>
      <c r="J71" s="552"/>
      <c r="K71" s="552"/>
      <c r="L71" s="578"/>
      <c r="M71" s="579"/>
      <c r="N71" s="1149"/>
      <c r="O71" s="1149"/>
      <c r="P71" s="45"/>
      <c r="Q71" s="502"/>
    </row>
    <row r="72" spans="1:17" s="116" customFormat="1" ht="15.75" thickBot="1">
      <c r="A72" s="577"/>
      <c r="B72" s="541"/>
      <c r="C72" s="558"/>
      <c r="D72" s="534"/>
      <c r="E72" s="534"/>
      <c r="F72" s="534"/>
      <c r="G72" s="534"/>
      <c r="H72" s="534"/>
      <c r="I72" s="534"/>
      <c r="J72" s="534"/>
      <c r="K72" s="534"/>
      <c r="L72" s="534"/>
      <c r="M72" s="535"/>
      <c r="N72" s="1151"/>
      <c r="O72" s="1151"/>
      <c r="P72" s="45"/>
      <c r="Q72" s="502"/>
    </row>
    <row r="73" spans="1:17" s="116" customFormat="1" ht="15.75" thickTop="1">
      <c r="A73" s="577"/>
      <c r="B73" s="536">
        <f>B24</f>
        <v>111</v>
      </c>
      <c r="C73" s="547"/>
      <c r="D73" s="547"/>
      <c r="E73" s="547"/>
      <c r="F73" s="547"/>
      <c r="G73" s="552"/>
      <c r="H73" s="552"/>
      <c r="I73" s="552"/>
      <c r="J73" s="552"/>
      <c r="K73" s="552"/>
      <c r="L73" s="552"/>
      <c r="M73" s="579"/>
      <c r="N73" s="1149"/>
      <c r="O73" s="1149"/>
      <c r="P73" s="45"/>
      <c r="Q73" s="502"/>
    </row>
    <row r="74" spans="1:17" s="116" customFormat="1" ht="15.75" thickBot="1">
      <c r="A74" s="577"/>
      <c r="B74" s="541"/>
      <c r="C74" s="558"/>
      <c r="D74" s="534"/>
      <c r="E74" s="534"/>
      <c r="F74" s="534"/>
      <c r="G74" s="534"/>
      <c r="H74" s="534"/>
      <c r="I74" s="534"/>
      <c r="J74" s="534"/>
      <c r="K74" s="534"/>
      <c r="L74" s="534"/>
      <c r="M74" s="535"/>
      <c r="N74" s="1151"/>
      <c r="O74" s="1151"/>
      <c r="P74" s="45"/>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2547</v>
      </c>
      <c r="B77" s="526" t="s">
        <v>2600</v>
      </c>
      <c r="C77" s="552"/>
      <c r="D77" s="552"/>
      <c r="E77" s="528"/>
      <c r="F77" s="528"/>
      <c r="G77" s="528"/>
      <c r="H77" s="528"/>
      <c r="I77" s="528"/>
      <c r="J77" s="528"/>
      <c r="K77" s="529"/>
      <c r="L77" s="530"/>
      <c r="M77" s="531"/>
      <c r="N77" s="1150"/>
      <c r="O77" s="1150"/>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5"/>
      <c r="Q78" s="502"/>
    </row>
    <row r="79" spans="1:17" ht="15.75" thickTop="1">
      <c r="A79" s="532"/>
      <c r="B79" s="536" t="s">
        <v>2716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5"/>
      <c r="Q79" s="502"/>
    </row>
    <row r="80" spans="1:17" ht="15">
      <c r="A80" s="532"/>
      <c r="B80" s="544"/>
      <c r="C80" s="601">
        <v>0.5</v>
      </c>
      <c r="D80" s="601">
        <v>0.6</v>
      </c>
      <c r="E80" s="601">
        <v>0.7</v>
      </c>
      <c r="F80" s="601">
        <v>0.8</v>
      </c>
      <c r="G80" s="601">
        <v>0.9</v>
      </c>
      <c r="H80" s="601">
        <v>1.0001</v>
      </c>
      <c r="I80" s="658"/>
      <c r="J80" s="658"/>
      <c r="K80" s="666"/>
      <c r="L80" s="667"/>
      <c r="M80" s="668"/>
      <c r="N80" s="1149"/>
      <c r="O80" s="1149"/>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2717</v>
      </c>
      <c r="C82" s="552"/>
      <c r="D82" s="552"/>
      <c r="E82" s="581"/>
      <c r="F82" s="581"/>
      <c r="G82" s="581"/>
      <c r="H82" s="581"/>
      <c r="I82" s="581"/>
      <c r="J82" s="581"/>
      <c r="K82" s="582"/>
      <c r="L82" s="583"/>
      <c r="M82" s="584"/>
      <c r="N82" s="1150"/>
      <c r="O82" s="1150"/>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5"/>
      <c r="Q83" s="502"/>
    </row>
    <row r="84" spans="1:17" ht="15" thickTop="1">
      <c r="A84" s="597"/>
      <c r="B84" s="536" t="s">
        <v>2725</v>
      </c>
      <c r="C84" s="552"/>
      <c r="D84" s="552"/>
      <c r="E84" s="552"/>
      <c r="F84" s="552"/>
      <c r="G84" s="552"/>
      <c r="H84" s="552"/>
      <c r="I84" s="581"/>
      <c r="J84" s="581"/>
      <c r="K84" s="582"/>
      <c r="L84" s="583"/>
      <c r="M84" s="584"/>
      <c r="N84" s="1150"/>
      <c r="O84" s="1150"/>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5"/>
      <c r="Q85" s="502"/>
    </row>
    <row r="86" spans="1:17" ht="15" thickTop="1">
      <c r="A86" s="597"/>
      <c r="B86" s="544" t="s">
        <v>2726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5"/>
      <c r="Q86" s="502"/>
    </row>
    <row r="87" spans="1:17">
      <c r="A87" s="597"/>
      <c r="B87" s="544"/>
      <c r="C87" s="593"/>
      <c r="D87" s="593"/>
      <c r="E87" s="593"/>
      <c r="F87" s="593"/>
      <c r="G87" s="593"/>
      <c r="H87" s="593"/>
      <c r="I87" s="593"/>
      <c r="J87" s="594"/>
      <c r="K87" s="594"/>
      <c r="L87" s="595"/>
      <c r="M87" s="596"/>
      <c r="N87" s="1150"/>
      <c r="O87" s="1150"/>
      <c r="P87" s="45"/>
      <c r="Q87" s="502"/>
    </row>
    <row r="88" spans="1:17" ht="15.75" thickBot="1">
      <c r="A88" s="532"/>
      <c r="B88" s="541"/>
      <c r="C88" s="558"/>
      <c r="D88" s="534"/>
      <c r="E88" s="534"/>
      <c r="F88" s="534"/>
      <c r="G88" s="534"/>
      <c r="H88" s="534"/>
      <c r="I88" s="534"/>
      <c r="J88" s="534"/>
      <c r="K88" s="534"/>
      <c r="L88" s="534"/>
      <c r="M88" s="534"/>
      <c r="N88" s="1151"/>
      <c r="O88" s="1151"/>
      <c r="P88" s="45"/>
      <c r="Q88" s="502"/>
    </row>
    <row r="89" spans="1:17" s="469" customFormat="1" ht="15" thickTop="1">
      <c r="A89" s="591"/>
      <c r="B89" s="536" t="s">
        <v>2727</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5"/>
      <c r="Q91" s="502"/>
    </row>
    <row r="92" spans="1:17" ht="15.75" thickBot="1">
      <c r="A92" s="532"/>
      <c r="B92" s="541"/>
      <c r="C92" s="558"/>
      <c r="D92" s="534"/>
      <c r="E92" s="534"/>
      <c r="F92" s="534"/>
      <c r="G92" s="558"/>
      <c r="H92" s="560"/>
      <c r="I92" s="560"/>
      <c r="J92" s="560"/>
      <c r="K92" s="560"/>
      <c r="L92" s="560"/>
      <c r="M92" s="561"/>
      <c r="N92" s="1151"/>
      <c r="O92" s="1151"/>
      <c r="P92" s="45"/>
      <c r="Q92" s="502"/>
    </row>
    <row r="93" spans="1:17" ht="15" thickTop="1">
      <c r="A93" s="597"/>
      <c r="B93" s="536">
        <f>B33</f>
        <v>111</v>
      </c>
      <c r="C93" s="547"/>
      <c r="D93" s="547"/>
      <c r="E93" s="547"/>
      <c r="F93" s="547"/>
      <c r="G93" s="552"/>
      <c r="H93" s="553"/>
      <c r="I93" s="553"/>
      <c r="J93" s="553"/>
      <c r="K93" s="553"/>
      <c r="L93" s="554"/>
      <c r="M93" s="555"/>
      <c r="N93" s="1150"/>
      <c r="O93" s="1150"/>
      <c r="P93" s="45"/>
      <c r="Q93" s="502"/>
    </row>
    <row r="94" spans="1:17" ht="15.75" thickBot="1">
      <c r="A94" s="532"/>
      <c r="B94" s="541"/>
      <c r="C94" s="558"/>
      <c r="D94" s="534"/>
      <c r="E94" s="534"/>
      <c r="F94" s="534"/>
      <c r="G94" s="558"/>
      <c r="H94" s="560"/>
      <c r="I94" s="560"/>
      <c r="J94" s="560"/>
      <c r="K94" s="560"/>
      <c r="L94" s="560"/>
      <c r="M94" s="561"/>
      <c r="N94" s="1151"/>
      <c r="O94" s="1151"/>
      <c r="P94" s="45"/>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5"/>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1" sqref="C31"/>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2728</v>
      </c>
      <c r="B1" s="393"/>
      <c r="C1" s="394" t="s">
        <v>2780</v>
      </c>
      <c r="D1" s="751"/>
      <c r="E1" s="751"/>
      <c r="F1" s="750" t="s">
        <v>2627</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6" customFormat="1" ht="28.5" customHeight="1">
      <c r="A2" s="243" t="s">
        <v>2314</v>
      </c>
      <c r="B2" s="669" t="e">
        <f>F61</f>
        <v>#DIV/0!</v>
      </c>
      <c r="C2" s="1123"/>
      <c r="D2" s="1123"/>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6" customFormat="1" ht="28.5" customHeight="1" thickBot="1">
      <c r="A3" s="245" t="s">
        <v>2316</v>
      </c>
      <c r="B3" s="607" t="e">
        <f>ROUND(IF(D3="",B2*10000/'数据-汇总表'!E3,B2*10000/D3),0)</f>
        <v>#DIV/0!</v>
      </c>
      <c r="C3" s="245" t="s">
        <v>2730</v>
      </c>
      <c r="D3" s="1578"/>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9" t="s">
        <v>2629</v>
      </c>
      <c r="B4" s="400"/>
      <c r="C4" s="3275" t="s">
        <v>2630</v>
      </c>
      <c r="D4" s="3276"/>
      <c r="E4" s="3277" t="s">
        <v>2631</v>
      </c>
      <c r="F4" s="3278"/>
      <c r="G4" s="3275" t="s">
        <v>2632</v>
      </c>
      <c r="H4" s="3276"/>
      <c r="I4" s="3275" t="s">
        <v>2633</v>
      </c>
      <c r="J4" s="3276"/>
      <c r="K4" s="608" t="s">
        <v>2634</v>
      </c>
      <c r="L4" s="1128"/>
      <c r="M4" s="1129"/>
      <c r="N4" s="1129"/>
      <c r="O4" s="1129"/>
      <c r="P4" s="3279" t="s">
        <v>2635</v>
      </c>
      <c r="Q4" s="3280"/>
      <c r="R4" s="3262" t="s">
        <v>2631</v>
      </c>
      <c r="S4" s="3263"/>
      <c r="T4" s="3262" t="s">
        <v>2632</v>
      </c>
      <c r="U4" s="3263"/>
      <c r="V4" s="3287" t="s">
        <v>2633</v>
      </c>
      <c r="W4" s="3287"/>
      <c r="X4" s="1808"/>
      <c r="Y4" s="3262" t="s">
        <v>2635</v>
      </c>
      <c r="Z4" s="3263"/>
      <c r="AA4" s="3257" t="s">
        <v>2631</v>
      </c>
      <c r="AB4" s="3258" t="s">
        <v>2632</v>
      </c>
      <c r="AC4" s="3257" t="s">
        <v>2633</v>
      </c>
    </row>
    <row r="5" spans="1:29" ht="15">
      <c r="A5" s="402"/>
      <c r="B5" s="403"/>
      <c r="C5" s="3268" t="s">
        <v>2526</v>
      </c>
      <c r="D5" s="3269"/>
      <c r="E5" s="3266" t="s">
        <v>2527</v>
      </c>
      <c r="F5" s="3267"/>
      <c r="G5" s="3268" t="s">
        <v>2528</v>
      </c>
      <c r="H5" s="3269"/>
      <c r="I5" s="3268" t="s">
        <v>2529</v>
      </c>
      <c r="J5" s="3269"/>
      <c r="K5" s="608"/>
      <c r="L5" s="1128"/>
      <c r="M5" s="1129"/>
      <c r="N5" s="1129"/>
      <c r="O5" s="1129"/>
      <c r="P5" s="3281"/>
      <c r="Q5" s="3282"/>
      <c r="R5" s="3264"/>
      <c r="S5" s="3265"/>
      <c r="T5" s="3264"/>
      <c r="U5" s="3265"/>
      <c r="V5" s="3287"/>
      <c r="W5" s="3287"/>
      <c r="X5" s="1808"/>
      <c r="Y5" s="3264"/>
      <c r="Z5" s="3265"/>
      <c r="AA5" s="3258"/>
      <c r="AB5" s="3258"/>
      <c r="AC5" s="3258"/>
    </row>
    <row r="6" spans="1:29" ht="15.75" thickBot="1">
      <c r="A6" s="404"/>
      <c r="B6" s="405"/>
      <c r="C6" s="3354" t="s">
        <v>2781</v>
      </c>
      <c r="D6" s="3355"/>
      <c r="E6" s="3356" t="s">
        <v>2781</v>
      </c>
      <c r="F6" s="3357"/>
      <c r="G6" s="3354" t="s">
        <v>2781</v>
      </c>
      <c r="H6" s="3355"/>
      <c r="I6" s="3354" t="s">
        <v>2781</v>
      </c>
      <c r="J6" s="3355"/>
      <c r="K6" s="608" t="s">
        <v>2531</v>
      </c>
      <c r="L6" s="1128"/>
      <c r="M6" s="1129"/>
      <c r="N6" s="1129"/>
      <c r="O6" s="1129"/>
      <c r="P6" s="3283"/>
      <c r="Q6" s="3284"/>
      <c r="R6" s="3264"/>
      <c r="S6" s="3265"/>
      <c r="T6" s="3285"/>
      <c r="U6" s="3286"/>
      <c r="V6" s="3287"/>
      <c r="W6" s="3287"/>
      <c r="X6" s="1808"/>
      <c r="Y6" s="3285"/>
      <c r="Z6" s="3286"/>
      <c r="AA6" s="3259"/>
      <c r="AB6" s="3259"/>
      <c r="AC6" s="3259"/>
    </row>
    <row r="7" spans="1:29" s="116" customFormat="1" ht="15.75" thickBot="1">
      <c r="A7" s="406" t="s">
        <v>2532</v>
      </c>
      <c r="B7" s="407"/>
      <c r="C7" s="408">
        <f>'数据-取费表'!B2</f>
        <v>43207</v>
      </c>
      <c r="D7" s="409">
        <v>100</v>
      </c>
      <c r="E7" s="410"/>
      <c r="F7" s="411">
        <f>SUMIF(65:65,YEAR(E7)&amp;"-"&amp;INT((MONTH(E7)+2)/3),66:66)</f>
        <v>0</v>
      </c>
      <c r="G7" s="2683"/>
      <c r="H7" s="409">
        <f>SUMIF(65:65,YEAR(G7)&amp;"-"&amp;INT((MONTH(G7)+2)/3),66:66)</f>
        <v>0</v>
      </c>
      <c r="I7" s="2683"/>
      <c r="J7" s="409">
        <f>SUMIF(65:65,YEAR(I7)&amp;"-"&amp;INT((MONTH(I7)+2)/3),66:66)</f>
        <v>0</v>
      </c>
      <c r="K7" s="609"/>
      <c r="L7" s="1130"/>
      <c r="M7" s="1131"/>
      <c r="N7" s="1131"/>
      <c r="O7" s="1131"/>
      <c r="P7" s="3260" t="s">
        <v>2533</v>
      </c>
      <c r="Q7" s="3288"/>
      <c r="R7" s="766" t="s">
        <v>17</v>
      </c>
      <c r="S7" s="767">
        <f t="shared" ref="S7:S15" si="0">F7</f>
        <v>0</v>
      </c>
      <c r="T7" s="766" t="s">
        <v>17</v>
      </c>
      <c r="U7" s="767">
        <f t="shared" ref="U7:U15" si="1">H7</f>
        <v>0</v>
      </c>
      <c r="V7" s="766" t="s">
        <v>17</v>
      </c>
      <c r="W7" s="767">
        <f t="shared" ref="W7:W15" si="2">J7</f>
        <v>0</v>
      </c>
      <c r="X7" s="768"/>
      <c r="Y7" s="3260" t="s">
        <v>2533</v>
      </c>
      <c r="Z7" s="3261"/>
      <c r="AA7" s="769" t="e">
        <f>D7/F7</f>
        <v>#DIV/0!</v>
      </c>
      <c r="AB7" s="769" t="e">
        <f>D7/H7</f>
        <v>#DIV/0!</v>
      </c>
      <c r="AC7" s="769" t="e">
        <f>D7/J7</f>
        <v>#DIV/0!</v>
      </c>
    </row>
    <row r="8" spans="1:29" s="116" customFormat="1" ht="15.75" thickBot="1">
      <c r="A8" s="406" t="s">
        <v>2534</v>
      </c>
      <c r="B8" s="407"/>
      <c r="C8" s="412" t="s">
        <v>2535</v>
      </c>
      <c r="D8" s="409">
        <v>100</v>
      </c>
      <c r="E8" s="412"/>
      <c r="F8" s="411">
        <f>SUMIF(68:68,E8,69:69)-SUMIF(68:68,C8,69:69)+100</f>
        <v>0</v>
      </c>
      <c r="G8" s="412"/>
      <c r="H8" s="409">
        <f>SUMIF(68:68,G8,69:69)-SUMIF(68:68,C8,69:69)+100</f>
        <v>0</v>
      </c>
      <c r="I8" s="412"/>
      <c r="J8" s="409">
        <f>SUMIF(68:68,I8,69:69)-SUMIF(68:68,C8,69:69)+100</f>
        <v>0</v>
      </c>
      <c r="K8" s="609"/>
      <c r="L8" s="1130"/>
      <c r="M8" s="1131"/>
      <c r="N8" s="1131"/>
      <c r="O8" s="1131"/>
      <c r="P8" s="3260" t="s">
        <v>2536</v>
      </c>
      <c r="Q8" s="3261"/>
      <c r="R8" s="766" t="s">
        <v>17</v>
      </c>
      <c r="S8" s="767">
        <f t="shared" si="0"/>
        <v>0</v>
      </c>
      <c r="T8" s="766" t="s">
        <v>17</v>
      </c>
      <c r="U8" s="767">
        <f t="shared" si="1"/>
        <v>0</v>
      </c>
      <c r="V8" s="766" t="s">
        <v>17</v>
      </c>
      <c r="W8" s="767">
        <f t="shared" si="2"/>
        <v>0</v>
      </c>
      <c r="X8" s="768"/>
      <c r="Y8" s="3260" t="s">
        <v>2536</v>
      </c>
      <c r="Z8" s="3261"/>
      <c r="AA8" s="769" t="e">
        <f t="shared" ref="AA8:AA40" si="3">D8/F8</f>
        <v>#DIV/0!</v>
      </c>
      <c r="AB8" s="769" t="e">
        <f t="shared" ref="AB8:AB40" si="4">D8/H8</f>
        <v>#DIV/0!</v>
      </c>
      <c r="AC8" s="769" t="e">
        <f t="shared" ref="AC8:AC40" si="5">D8/J8</f>
        <v>#DIV/0!</v>
      </c>
    </row>
    <row r="9" spans="1:29" s="116" customFormat="1">
      <c r="A9" s="413" t="s">
        <v>2537</v>
      </c>
      <c r="B9" s="71" t="s">
        <v>2538</v>
      </c>
      <c r="C9" s="2686"/>
      <c r="D9" s="133">
        <v>100</v>
      </c>
      <c r="E9" s="2686"/>
      <c r="F9" s="133">
        <f>SUMIF(70:70,E9,71:71)-SUMIF(70:70,C9,71:71)+100</f>
        <v>100</v>
      </c>
      <c r="G9" s="2686"/>
      <c r="H9" s="133">
        <f>SUMIF(70:70,G9,71:71)-SUMIF(70:70,C9,71:71)+100</f>
        <v>100</v>
      </c>
      <c r="I9" s="2686"/>
      <c r="J9" s="133">
        <f>SUMIF(70:70,I9,71:71)-SUMIF(70:70,C9,71:71)+100</f>
        <v>100</v>
      </c>
      <c r="K9" s="609"/>
      <c r="L9" s="1130"/>
      <c r="M9" s="1131"/>
      <c r="N9" s="1131"/>
      <c r="O9" s="1132"/>
      <c r="P9" s="3274" t="s">
        <v>2539</v>
      </c>
      <c r="Q9" s="1790" t="str">
        <f t="shared" ref="Q9:Q15" si="6">B9</f>
        <v>用途</v>
      </c>
      <c r="R9" s="766" t="s">
        <v>17</v>
      </c>
      <c r="S9" s="767">
        <f t="shared" si="0"/>
        <v>100</v>
      </c>
      <c r="T9" s="766" t="s">
        <v>17</v>
      </c>
      <c r="U9" s="767">
        <f t="shared" si="1"/>
        <v>100</v>
      </c>
      <c r="V9" s="766" t="s">
        <v>17</v>
      </c>
      <c r="W9" s="767">
        <f t="shared" si="2"/>
        <v>100</v>
      </c>
      <c r="X9" s="768"/>
      <c r="Y9" s="3134" t="s">
        <v>2540</v>
      </c>
      <c r="Z9" s="55" t="str">
        <f t="shared" ref="Z9:Z15" si="7">Q9</f>
        <v>用途</v>
      </c>
      <c r="AA9" s="769">
        <f t="shared" si="3"/>
        <v>1</v>
      </c>
      <c r="AB9" s="769">
        <f t="shared" si="4"/>
        <v>1</v>
      </c>
      <c r="AC9" s="769">
        <f t="shared" si="5"/>
        <v>1</v>
      </c>
    </row>
    <row r="10" spans="1:29" s="425" customFormat="1" ht="27">
      <c r="A10" s="419"/>
      <c r="B10" s="420" t="s">
        <v>2541</v>
      </c>
      <c r="C10" s="430"/>
      <c r="D10" s="134">
        <v>100</v>
      </c>
      <c r="E10" s="430"/>
      <c r="F10" s="134">
        <f>ROUND(100/'数据-取费表'!G16,0)</f>
        <v>104</v>
      </c>
      <c r="G10" s="430"/>
      <c r="H10" s="134">
        <f>ROUND(100/'数据-取费表'!G16,0)</f>
        <v>104</v>
      </c>
      <c r="I10" s="430"/>
      <c r="J10" s="134">
        <f>ROUND(100/'数据-取费表'!G16,0)</f>
        <v>104</v>
      </c>
      <c r="K10" s="670"/>
      <c r="L10" s="1133"/>
      <c r="M10" s="1134"/>
      <c r="N10" s="1134"/>
      <c r="O10" s="1135"/>
      <c r="P10" s="3274"/>
      <c r="Q10" s="1790" t="str">
        <f t="shared" si="6"/>
        <v>土地使用年限（年）</v>
      </c>
      <c r="R10" s="766" t="s">
        <v>17</v>
      </c>
      <c r="S10" s="767">
        <f t="shared" si="0"/>
        <v>104</v>
      </c>
      <c r="T10" s="766" t="s">
        <v>17</v>
      </c>
      <c r="U10" s="767">
        <f t="shared" si="1"/>
        <v>104</v>
      </c>
      <c r="V10" s="766" t="s">
        <v>17</v>
      </c>
      <c r="W10" s="767">
        <f t="shared" si="2"/>
        <v>104</v>
      </c>
      <c r="X10" s="768"/>
      <c r="Y10" s="3134"/>
      <c r="Z10" s="55" t="str">
        <f t="shared" si="7"/>
        <v>土地使用年限（年）</v>
      </c>
      <c r="AA10" s="769">
        <f t="shared" si="3"/>
        <v>0.96153846153846156</v>
      </c>
      <c r="AB10" s="769">
        <f t="shared" si="4"/>
        <v>0.96153846153846156</v>
      </c>
      <c r="AC10" s="769">
        <f t="shared" si="5"/>
        <v>0.96153846153846156</v>
      </c>
    </row>
    <row r="11" spans="1:29" ht="15">
      <c r="A11" s="426"/>
      <c r="B11" s="420" t="s">
        <v>2542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6"/>
      <c r="M11" s="1129"/>
      <c r="N11" s="1129"/>
      <c r="O11" s="1137"/>
      <c r="P11" s="3274"/>
      <c r="Q11" s="1790" t="str">
        <f t="shared" si="6"/>
        <v>容积率</v>
      </c>
      <c r="R11" s="766" t="s">
        <v>17</v>
      </c>
      <c r="S11" s="767" t="e">
        <f t="shared" si="0"/>
        <v>#N/A</v>
      </c>
      <c r="T11" s="766" t="s">
        <v>17</v>
      </c>
      <c r="U11" s="767" t="e">
        <f t="shared" si="1"/>
        <v>#N/A</v>
      </c>
      <c r="V11" s="766" t="s">
        <v>17</v>
      </c>
      <c r="W11" s="767" t="e">
        <f t="shared" si="2"/>
        <v>#N/A</v>
      </c>
      <c r="X11" s="768"/>
      <c r="Y11" s="3134"/>
      <c r="Z11" s="55" t="str">
        <f t="shared" si="7"/>
        <v>容积率</v>
      </c>
      <c r="AA11" s="769" t="e">
        <f t="shared" si="3"/>
        <v>#N/A</v>
      </c>
      <c r="AB11" s="769" t="e">
        <f t="shared" si="4"/>
        <v>#N/A</v>
      </c>
      <c r="AC11" s="769" t="e">
        <f t="shared" si="5"/>
        <v>#N/A</v>
      </c>
    </row>
    <row r="12" spans="1:29" s="116" customFormat="1" ht="15">
      <c r="A12" s="429"/>
      <c r="B12" s="2587">
        <v>111</v>
      </c>
      <c r="C12" s="430"/>
      <c r="D12" s="431">
        <v>100</v>
      </c>
      <c r="E12" s="547"/>
      <c r="F12" s="134">
        <f>SUMIF(77:77,E12,78:78)-SUMIF(77:77,C12,78:78)+100</f>
        <v>100</v>
      </c>
      <c r="G12" s="672"/>
      <c r="H12" s="134">
        <f>SUMIF(77:77,G12,78:78)-SUMIF(77:77,C12,78:78)+100</f>
        <v>100</v>
      </c>
      <c r="I12" s="547"/>
      <c r="J12" s="134">
        <f>SUMIF(77:77,I12,78:78)-SUMIF(77:77,C12,78:78)+100</f>
        <v>100</v>
      </c>
      <c r="K12" s="670"/>
      <c r="L12" s="1130"/>
      <c r="M12" s="1131"/>
      <c r="N12" s="1131"/>
      <c r="O12" s="1132"/>
      <c r="P12" s="3274"/>
      <c r="Q12" s="1790">
        <f t="shared" si="6"/>
        <v>111</v>
      </c>
      <c r="R12" s="766" t="s">
        <v>17</v>
      </c>
      <c r="S12" s="767">
        <f t="shared" si="0"/>
        <v>100</v>
      </c>
      <c r="T12" s="766" t="s">
        <v>17</v>
      </c>
      <c r="U12" s="767">
        <f t="shared" si="1"/>
        <v>100</v>
      </c>
      <c r="V12" s="766" t="s">
        <v>17</v>
      </c>
      <c r="W12" s="767">
        <f t="shared" si="2"/>
        <v>100</v>
      </c>
      <c r="X12" s="768"/>
      <c r="Y12" s="3134"/>
      <c r="Z12" s="55">
        <f t="shared" si="7"/>
        <v>111</v>
      </c>
      <c r="AA12" s="769">
        <f>D12/F12</f>
        <v>1</v>
      </c>
      <c r="AB12" s="769">
        <f>D12/H12</f>
        <v>1</v>
      </c>
      <c r="AC12" s="769">
        <f>D12/J12</f>
        <v>1</v>
      </c>
    </row>
    <row r="13" spans="1:29" ht="15">
      <c r="A13" s="426"/>
      <c r="B13" s="2587">
        <v>111</v>
      </c>
      <c r="C13" s="432"/>
      <c r="D13" s="433">
        <v>100</v>
      </c>
      <c r="E13" s="547"/>
      <c r="F13" s="134">
        <f>SUMIF(79:79,E13,80:80)-SUMIF(79:79,C13,80:80)+100</f>
        <v>100</v>
      </c>
      <c r="G13" s="672"/>
      <c r="H13" s="433">
        <f>SUMIF(79:79,G13,80:80)-SUMIF(79:79,C13,80:80)+100</f>
        <v>100</v>
      </c>
      <c r="I13" s="547"/>
      <c r="J13" s="433">
        <f>SUMIF(79:79,I13,80:80)-SUMIF(79:79,C13,80:80)+100</f>
        <v>100</v>
      </c>
      <c r="K13" s="670"/>
      <c r="L13" s="1138"/>
      <c r="M13" s="1129"/>
      <c r="N13" s="1129"/>
      <c r="O13" s="1137"/>
      <c r="P13" s="3274"/>
      <c r="Q13" s="1790">
        <f t="shared" si="6"/>
        <v>111</v>
      </c>
      <c r="R13" s="766" t="s">
        <v>17</v>
      </c>
      <c r="S13" s="767">
        <f t="shared" si="0"/>
        <v>100</v>
      </c>
      <c r="T13" s="766" t="s">
        <v>17</v>
      </c>
      <c r="U13" s="767">
        <f t="shared" si="1"/>
        <v>100</v>
      </c>
      <c r="V13" s="766" t="s">
        <v>17</v>
      </c>
      <c r="W13" s="767">
        <f t="shared" si="2"/>
        <v>100</v>
      </c>
      <c r="X13" s="768"/>
      <c r="Y13" s="3134"/>
      <c r="Z13" s="55">
        <f t="shared" si="7"/>
        <v>111</v>
      </c>
      <c r="AA13" s="769">
        <f t="shared" si="3"/>
        <v>1</v>
      </c>
      <c r="AB13" s="769">
        <f t="shared" si="4"/>
        <v>1</v>
      </c>
      <c r="AC13" s="769">
        <f t="shared" si="5"/>
        <v>1</v>
      </c>
    </row>
    <row r="14" spans="1:29" ht="15.75" thickBot="1">
      <c r="A14" s="434"/>
      <c r="B14" s="2589">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274"/>
      <c r="Q14" s="1790">
        <f t="shared" si="6"/>
        <v>111</v>
      </c>
      <c r="R14" s="766" t="s">
        <v>17</v>
      </c>
      <c r="S14" s="767">
        <f t="shared" si="0"/>
        <v>100</v>
      </c>
      <c r="T14" s="766" t="s">
        <v>17</v>
      </c>
      <c r="U14" s="767">
        <f t="shared" si="1"/>
        <v>100</v>
      </c>
      <c r="V14" s="766" t="s">
        <v>17</v>
      </c>
      <c r="W14" s="767">
        <f t="shared" si="2"/>
        <v>100</v>
      </c>
      <c r="X14" s="768"/>
      <c r="Y14" s="3134"/>
      <c r="Z14" s="55">
        <f t="shared" si="7"/>
        <v>111</v>
      </c>
      <c r="AA14" s="769">
        <f t="shared" si="3"/>
        <v>1</v>
      </c>
      <c r="AB14" s="769">
        <f t="shared" si="4"/>
        <v>1</v>
      </c>
      <c r="AC14" s="769">
        <f t="shared" si="5"/>
        <v>1</v>
      </c>
    </row>
    <row r="15" spans="1:29" ht="15">
      <c r="A15" s="438" t="s">
        <v>2543</v>
      </c>
      <c r="B15" s="627" t="s">
        <v>2782</v>
      </c>
      <c r="C15" s="2680">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289" t="s">
        <v>2544</v>
      </c>
      <c r="Q15" s="1805" t="str">
        <f t="shared" si="6"/>
        <v>产业集聚程度</v>
      </c>
      <c r="R15" s="770" t="s">
        <v>17</v>
      </c>
      <c r="S15" s="771">
        <f t="shared" si="0"/>
        <v>100</v>
      </c>
      <c r="T15" s="770" t="s">
        <v>17</v>
      </c>
      <c r="U15" s="771">
        <f t="shared" si="1"/>
        <v>100</v>
      </c>
      <c r="V15" s="770" t="s">
        <v>17</v>
      </c>
      <c r="W15" s="771">
        <f t="shared" si="2"/>
        <v>100</v>
      </c>
      <c r="X15" s="1808"/>
      <c r="Y15" s="3289" t="s">
        <v>2544</v>
      </c>
      <c r="Z15" s="1809" t="str">
        <f t="shared" si="7"/>
        <v>产业集聚程度</v>
      </c>
      <c r="AA15" s="1806">
        <f t="shared" si="3"/>
        <v>1</v>
      </c>
      <c r="AB15" s="1806">
        <f t="shared" si="4"/>
        <v>1</v>
      </c>
      <c r="AC15" s="1806">
        <f t="shared" si="5"/>
        <v>1</v>
      </c>
    </row>
    <row r="16" spans="1:29" ht="15">
      <c r="A16" s="426"/>
      <c r="B16" s="628"/>
      <c r="C16" s="445"/>
      <c r="D16" s="446"/>
      <c r="E16" s="2598"/>
      <c r="F16" s="446"/>
      <c r="G16" s="2598"/>
      <c r="H16" s="448"/>
      <c r="I16" s="2598"/>
      <c r="J16" s="446"/>
      <c r="K16" s="670"/>
      <c r="L16" s="1138"/>
      <c r="M16" s="1129"/>
      <c r="N16" s="1129"/>
      <c r="O16" s="1137"/>
      <c r="P16" s="3290"/>
      <c r="Q16" s="1805"/>
      <c r="R16" s="770"/>
      <c r="S16" s="771"/>
      <c r="T16" s="770"/>
      <c r="U16" s="771"/>
      <c r="V16" s="770"/>
      <c r="W16" s="771"/>
      <c r="X16" s="1808"/>
      <c r="Y16" s="3290"/>
      <c r="Z16" s="1809"/>
      <c r="AA16" s="1806">
        <v>1</v>
      </c>
      <c r="AB16" s="1806">
        <v>1</v>
      </c>
      <c r="AC16" s="1806">
        <v>1</v>
      </c>
    </row>
    <row r="17" spans="1:29" ht="15">
      <c r="A17" s="426"/>
      <c r="B17" s="629" t="s">
        <v>2693</v>
      </c>
      <c r="C17" s="2594">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290"/>
      <c r="Q17" s="1805" t="str">
        <f>B17</f>
        <v>交通便捷度</v>
      </c>
      <c r="R17" s="770" t="s">
        <v>17</v>
      </c>
      <c r="S17" s="771">
        <f>F17</f>
        <v>100</v>
      </c>
      <c r="T17" s="770" t="s">
        <v>17</v>
      </c>
      <c r="U17" s="771">
        <f>H17</f>
        <v>100</v>
      </c>
      <c r="V17" s="770" t="s">
        <v>17</v>
      </c>
      <c r="W17" s="771">
        <f>J17</f>
        <v>100</v>
      </c>
      <c r="X17" s="1808"/>
      <c r="Y17" s="3290"/>
      <c r="Z17" s="1809" t="str">
        <f>Q17</f>
        <v>交通便捷度</v>
      </c>
      <c r="AA17" s="1806">
        <f t="shared" si="3"/>
        <v>1</v>
      </c>
      <c r="AB17" s="1806">
        <f t="shared" si="4"/>
        <v>1</v>
      </c>
      <c r="AC17" s="1806">
        <f t="shared" si="5"/>
        <v>1</v>
      </c>
    </row>
    <row r="18" spans="1:29" ht="15">
      <c r="A18" s="426"/>
      <c r="B18" s="630"/>
      <c r="C18" s="445"/>
      <c r="D18" s="446"/>
      <c r="E18" s="2592"/>
      <c r="F18" s="446"/>
      <c r="G18" s="2592"/>
      <c r="H18" s="446"/>
      <c r="I18" s="2591"/>
      <c r="J18" s="446"/>
      <c r="K18" s="670"/>
      <c r="L18" s="1138"/>
      <c r="M18" s="1129"/>
      <c r="N18" s="1129"/>
      <c r="O18" s="1137"/>
      <c r="P18" s="3290"/>
      <c r="Q18" s="1805"/>
      <c r="R18" s="770"/>
      <c r="S18" s="771"/>
      <c r="T18" s="770"/>
      <c r="U18" s="771"/>
      <c r="V18" s="770"/>
      <c r="W18" s="771"/>
      <c r="X18" s="1808"/>
      <c r="Y18" s="3290"/>
      <c r="Z18" s="1809"/>
      <c r="AA18" s="1806">
        <v>1</v>
      </c>
      <c r="AB18" s="1806">
        <v>1</v>
      </c>
      <c r="AC18" s="1806">
        <v>1</v>
      </c>
    </row>
    <row r="19" spans="1:29" ht="15">
      <c r="A19" s="426"/>
      <c r="B19" s="629" t="s">
        <v>2732</v>
      </c>
      <c r="C19" s="2594">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290"/>
      <c r="Q19" s="1805" t="str">
        <f t="shared" ref="Q19:Q33" si="8">B19</f>
        <v>区域土地利用方向</v>
      </c>
      <c r="R19" s="770" t="s">
        <v>17</v>
      </c>
      <c r="S19" s="771">
        <f>F19</f>
        <v>100</v>
      </c>
      <c r="T19" s="770" t="s">
        <v>17</v>
      </c>
      <c r="U19" s="771">
        <f>H19</f>
        <v>100</v>
      </c>
      <c r="V19" s="770" t="s">
        <v>17</v>
      </c>
      <c r="W19" s="771">
        <f>J19</f>
        <v>100</v>
      </c>
      <c r="X19" s="1808"/>
      <c r="Y19" s="3290"/>
      <c r="Z19" s="1809" t="str">
        <f>Q19</f>
        <v>区域土地利用方向</v>
      </c>
      <c r="AA19" s="1806">
        <f t="shared" si="3"/>
        <v>1</v>
      </c>
      <c r="AB19" s="1806">
        <f t="shared" si="4"/>
        <v>1</v>
      </c>
      <c r="AC19" s="1806">
        <f t="shared" si="5"/>
        <v>1</v>
      </c>
    </row>
    <row r="20" spans="1:29" ht="15">
      <c r="A20" s="402"/>
      <c r="B20" s="630"/>
      <c r="C20" s="445"/>
      <c r="D20" s="446"/>
      <c r="E20" s="2592"/>
      <c r="F20" s="446"/>
      <c r="G20" s="2592"/>
      <c r="H20" s="446"/>
      <c r="I20" s="2592"/>
      <c r="J20" s="446"/>
      <c r="K20" s="807"/>
      <c r="L20" s="1138"/>
      <c r="M20" s="1129"/>
      <c r="N20" s="1129"/>
      <c r="O20" s="1137"/>
      <c r="P20" s="3290"/>
      <c r="Q20" s="1805"/>
      <c r="R20" s="770"/>
      <c r="S20" s="771"/>
      <c r="T20" s="770"/>
      <c r="U20" s="771"/>
      <c r="V20" s="770"/>
      <c r="W20" s="771"/>
      <c r="X20" s="1808"/>
      <c r="Y20" s="3290"/>
      <c r="Z20" s="1809"/>
      <c r="AA20" s="1806"/>
      <c r="AB20" s="1806"/>
      <c r="AC20" s="1806"/>
    </row>
    <row r="21" spans="1:29" ht="15">
      <c r="A21" s="402"/>
      <c r="B21" s="629" t="s">
        <v>2783</v>
      </c>
      <c r="C21" s="2594">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290"/>
      <c r="Q21" s="1805" t="str">
        <f t="shared" si="8"/>
        <v>环境状况</v>
      </c>
      <c r="R21" s="770" t="s">
        <v>17</v>
      </c>
      <c r="S21" s="771">
        <f>F21</f>
        <v>100</v>
      </c>
      <c r="T21" s="770" t="s">
        <v>17</v>
      </c>
      <c r="U21" s="771">
        <f>H21</f>
        <v>100</v>
      </c>
      <c r="V21" s="770" t="s">
        <v>17</v>
      </c>
      <c r="W21" s="771">
        <f>J21</f>
        <v>100</v>
      </c>
      <c r="X21" s="1808"/>
      <c r="Y21" s="3290"/>
      <c r="Z21" s="1809" t="str">
        <f>Q21</f>
        <v>环境状况</v>
      </c>
      <c r="AA21" s="1806">
        <f t="shared" si="3"/>
        <v>1</v>
      </c>
      <c r="AB21" s="1806">
        <f t="shared" si="4"/>
        <v>1</v>
      </c>
      <c r="AC21" s="1806">
        <f t="shared" si="5"/>
        <v>1</v>
      </c>
    </row>
    <row r="22" spans="1:29" ht="15">
      <c r="A22" s="402"/>
      <c r="B22" s="630"/>
      <c r="C22" s="445"/>
      <c r="D22" s="446"/>
      <c r="E22" s="2598"/>
      <c r="F22" s="446"/>
      <c r="G22" s="2598"/>
      <c r="H22" s="446"/>
      <c r="I22" s="445"/>
      <c r="J22" s="446"/>
      <c r="K22" s="670"/>
      <c r="L22" s="1138"/>
      <c r="M22" s="1129"/>
      <c r="N22" s="1129"/>
      <c r="O22" s="1137"/>
      <c r="P22" s="3290"/>
      <c r="Q22" s="1805"/>
      <c r="R22" s="770"/>
      <c r="S22" s="771"/>
      <c r="T22" s="770"/>
      <c r="U22" s="771"/>
      <c r="V22" s="770"/>
      <c r="W22" s="771"/>
      <c r="X22" s="1808"/>
      <c r="Y22" s="3290"/>
      <c r="Z22" s="1809"/>
      <c r="AA22" s="1806">
        <v>1</v>
      </c>
      <c r="AB22" s="1806">
        <v>1</v>
      </c>
      <c r="AC22" s="1806">
        <v>1</v>
      </c>
    </row>
    <row r="23" spans="1:29" s="116" customFormat="1" ht="15">
      <c r="A23" s="647"/>
      <c r="B23" s="631" t="s">
        <v>2638</v>
      </c>
      <c r="C23" s="2594">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290"/>
      <c r="Q23" s="1790" t="str">
        <f t="shared" si="8"/>
        <v>公共配套设施</v>
      </c>
      <c r="R23" s="766" t="s">
        <v>17</v>
      </c>
      <c r="S23" s="767">
        <f>F23</f>
        <v>100</v>
      </c>
      <c r="T23" s="766" t="s">
        <v>17</v>
      </c>
      <c r="U23" s="767">
        <f>H23</f>
        <v>100</v>
      </c>
      <c r="V23" s="766" t="s">
        <v>17</v>
      </c>
      <c r="W23" s="767">
        <f>J23</f>
        <v>100</v>
      </c>
      <c r="X23" s="768"/>
      <c r="Y23" s="3290"/>
      <c r="Z23" s="55" t="str">
        <f>Q23</f>
        <v>公共配套设施</v>
      </c>
      <c r="AA23" s="1806">
        <f>D23/F23</f>
        <v>1</v>
      </c>
      <c r="AB23" s="1806">
        <f>D23/H23</f>
        <v>1</v>
      </c>
      <c r="AC23" s="1806">
        <f>D23/J23</f>
        <v>1</v>
      </c>
    </row>
    <row r="24" spans="1:29" s="116" customFormat="1" ht="15">
      <c r="A24" s="647"/>
      <c r="B24" s="630"/>
      <c r="C24" s="2687"/>
      <c r="D24" s="446"/>
      <c r="E24" s="2598"/>
      <c r="F24" s="446"/>
      <c r="G24" s="2598"/>
      <c r="H24" s="446"/>
      <c r="I24" s="445"/>
      <c r="J24" s="446"/>
      <c r="K24" s="670"/>
      <c r="L24" s="1130"/>
      <c r="M24" s="1131"/>
      <c r="N24" s="1131"/>
      <c r="O24" s="1132"/>
      <c r="P24" s="3290"/>
      <c r="Q24" s="1790"/>
      <c r="R24" s="766"/>
      <c r="S24" s="767"/>
      <c r="T24" s="766"/>
      <c r="U24" s="767"/>
      <c r="V24" s="766"/>
      <c r="W24" s="767"/>
      <c r="X24" s="768"/>
      <c r="Y24" s="3290"/>
      <c r="Z24" s="55"/>
      <c r="AA24" s="769">
        <v>1</v>
      </c>
      <c r="AB24" s="769">
        <v>1</v>
      </c>
      <c r="AC24" s="769">
        <v>1</v>
      </c>
    </row>
    <row r="25" spans="1:29" s="116" customFormat="1" ht="15">
      <c r="A25" s="647"/>
      <c r="B25" s="631" t="s">
        <v>2639</v>
      </c>
      <c r="C25" s="2594">
        <f>估价对象房地状况!G20</f>
        <v>0</v>
      </c>
      <c r="D25" s="448">
        <v>100</v>
      </c>
      <c r="E25" s="450"/>
      <c r="F25" s="448">
        <f>SUMIF(93:93,E26,94:94)-SUMIF(93:93,C26,94:94)+100</f>
        <v>0</v>
      </c>
      <c r="G25" s="450"/>
      <c r="H25" s="448">
        <f>SUMIF(93:93,G26,94:94)-SUMIF(93:93,C26,94:94)+100</f>
        <v>0</v>
      </c>
      <c r="I25" s="452"/>
      <c r="J25" s="448">
        <f>SUMIF(93:93,I26,94:94)-SUMIF(93:93,C26,94:94)+100</f>
        <v>0</v>
      </c>
      <c r="K25" s="671"/>
      <c r="L25" s="1130"/>
      <c r="M25" s="1131"/>
      <c r="N25" s="1131"/>
      <c r="O25" s="1132"/>
      <c r="P25" s="3290"/>
      <c r="Q25" s="1790" t="str">
        <f t="shared" ref="Q25" si="9">B25</f>
        <v>基础设施水平</v>
      </c>
      <c r="R25" s="766" t="s">
        <v>17</v>
      </c>
      <c r="S25" s="767">
        <f>F25</f>
        <v>0</v>
      </c>
      <c r="T25" s="766" t="s">
        <v>17</v>
      </c>
      <c r="U25" s="767">
        <f>H25</f>
        <v>0</v>
      </c>
      <c r="V25" s="766" t="s">
        <v>17</v>
      </c>
      <c r="W25" s="767">
        <f>J25</f>
        <v>0</v>
      </c>
      <c r="X25" s="768"/>
      <c r="Y25" s="3290"/>
      <c r="Z25" s="55" t="str">
        <f>Q25</f>
        <v>基础设施水平</v>
      </c>
      <c r="AA25" s="1806" t="e">
        <f>D25/F25</f>
        <v>#DIV/0!</v>
      </c>
      <c r="AB25" s="1806" t="e">
        <f>D25/H25</f>
        <v>#DIV/0!</v>
      </c>
      <c r="AC25" s="1806" t="e">
        <f>D25/J25</f>
        <v>#DIV/0!</v>
      </c>
    </row>
    <row r="26" spans="1:29" s="116" customFormat="1" ht="15">
      <c r="A26" s="647"/>
      <c r="B26" s="630"/>
      <c r="C26" s="2687" t="s">
        <v>3052</v>
      </c>
      <c r="D26" s="446"/>
      <c r="E26" s="2688"/>
      <c r="F26" s="446"/>
      <c r="G26" s="2688"/>
      <c r="H26" s="446"/>
      <c r="I26" s="2688"/>
      <c r="J26" s="446"/>
      <c r="K26" s="670"/>
      <c r="L26" s="1130"/>
      <c r="M26" s="1131"/>
      <c r="N26" s="1131"/>
      <c r="O26" s="1132"/>
      <c r="P26" s="3290"/>
      <c r="Q26" s="1790"/>
      <c r="R26" s="766"/>
      <c r="S26" s="767"/>
      <c r="T26" s="766"/>
      <c r="U26" s="767"/>
      <c r="V26" s="766"/>
      <c r="W26" s="767"/>
      <c r="X26" s="768"/>
      <c r="Y26" s="3290"/>
      <c r="Z26" s="55"/>
      <c r="AA26" s="769">
        <v>1</v>
      </c>
      <c r="AB26" s="769">
        <v>1</v>
      </c>
      <c r="AC26" s="769">
        <v>1</v>
      </c>
    </row>
    <row r="27" spans="1:29" ht="15">
      <c r="A27" s="426"/>
      <c r="B27" s="630" t="s">
        <v>2640</v>
      </c>
      <c r="C27" s="614" t="s">
        <v>3053</v>
      </c>
      <c r="D27" s="433">
        <v>100</v>
      </c>
      <c r="E27" s="632"/>
      <c r="F27" s="433">
        <f>SUMIF(95:95,E27,96:96)-SUMIF(95:95,C27,96:96)+100</f>
        <v>0</v>
      </c>
      <c r="G27" s="632"/>
      <c r="H27" s="433">
        <f>SUMIF(95:95,G27,96:96)-SUMIF(95:95,C27,96:96)+100</f>
        <v>0</v>
      </c>
      <c r="I27" s="632"/>
      <c r="J27" s="433">
        <f>SUMIF(95:95,I27,96:96)-SUMIF(95:95,C27,96:96)+100</f>
        <v>0</v>
      </c>
      <c r="K27" s="671"/>
      <c r="L27" s="1138"/>
      <c r="M27" s="1129"/>
      <c r="N27" s="1129"/>
      <c r="O27" s="1137"/>
      <c r="P27" s="3290"/>
      <c r="Q27" s="1805" t="str">
        <f t="shared" si="8"/>
        <v>临街状况</v>
      </c>
      <c r="R27" s="770" t="s">
        <v>17</v>
      </c>
      <c r="S27" s="771">
        <f t="shared" ref="S27:S40" si="10">F27</f>
        <v>0</v>
      </c>
      <c r="T27" s="770" t="s">
        <v>17</v>
      </c>
      <c r="U27" s="771">
        <f t="shared" ref="U27:U40" si="11">H27</f>
        <v>0</v>
      </c>
      <c r="V27" s="770" t="s">
        <v>17</v>
      </c>
      <c r="W27" s="771">
        <f t="shared" ref="W27:W40" si="12">J27</f>
        <v>0</v>
      </c>
      <c r="X27" s="1808"/>
      <c r="Y27" s="3290"/>
      <c r="Z27" s="1809" t="str">
        <f t="shared" ref="Z27:Z40" si="13">Q27</f>
        <v>临街状况</v>
      </c>
      <c r="AA27" s="1806" t="e">
        <f t="shared" si="3"/>
        <v>#DIV/0!</v>
      </c>
      <c r="AB27" s="1806" t="e">
        <f t="shared" si="4"/>
        <v>#DIV/0!</v>
      </c>
      <c r="AC27" s="1806" t="e">
        <f t="shared" si="5"/>
        <v>#DIV/0!</v>
      </c>
    </row>
    <row r="28" spans="1:29" ht="27">
      <c r="A28" s="426"/>
      <c r="B28" s="631" t="s">
        <v>2675</v>
      </c>
      <c r="C28" s="2700">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290"/>
      <c r="Q28" s="1805" t="str">
        <f t="shared" si="8"/>
        <v>毗邻道路的类型与等级</v>
      </c>
      <c r="R28" s="770" t="s">
        <v>17</v>
      </c>
      <c r="S28" s="771">
        <f t="shared" si="10"/>
        <v>100</v>
      </c>
      <c r="T28" s="770" t="s">
        <v>17</v>
      </c>
      <c r="U28" s="771">
        <f t="shared" si="11"/>
        <v>100</v>
      </c>
      <c r="V28" s="770" t="s">
        <v>17</v>
      </c>
      <c r="W28" s="771">
        <f t="shared" si="12"/>
        <v>100</v>
      </c>
      <c r="X28" s="1808"/>
      <c r="Y28" s="3290"/>
      <c r="Z28" s="1809" t="str">
        <f t="shared" si="13"/>
        <v>毗邻道路的类型与等级</v>
      </c>
      <c r="AA28" s="1806">
        <f t="shared" si="3"/>
        <v>1</v>
      </c>
      <c r="AB28" s="1806">
        <f t="shared" si="4"/>
        <v>1</v>
      </c>
      <c r="AC28" s="1806">
        <f t="shared" si="5"/>
        <v>1</v>
      </c>
    </row>
    <row r="29" spans="1:29" ht="15">
      <c r="A29" s="426"/>
      <c r="B29" s="630"/>
      <c r="C29" s="445"/>
      <c r="D29" s="446"/>
      <c r="E29" s="2598"/>
      <c r="F29" s="446"/>
      <c r="G29" s="2598"/>
      <c r="H29" s="446"/>
      <c r="I29" s="2598"/>
      <c r="J29" s="446"/>
      <c r="K29" s="611"/>
      <c r="L29" s="1138"/>
      <c r="M29" s="1129"/>
      <c r="N29" s="1129"/>
      <c r="O29" s="1137"/>
      <c r="P29" s="3290"/>
      <c r="Q29" s="1805"/>
      <c r="R29" s="770"/>
      <c r="S29" s="771"/>
      <c r="T29" s="770"/>
      <c r="U29" s="771"/>
      <c r="V29" s="770"/>
      <c r="W29" s="771"/>
      <c r="X29" s="1808"/>
      <c r="Y29" s="3290"/>
      <c r="Z29" s="1809"/>
      <c r="AA29" s="1806">
        <v>1</v>
      </c>
      <c r="AB29" s="1806">
        <v>1</v>
      </c>
      <c r="AC29" s="1806">
        <v>1</v>
      </c>
    </row>
    <row r="30" spans="1:29" ht="15">
      <c r="A30" s="426"/>
      <c r="B30" s="652" t="s">
        <v>2734</v>
      </c>
      <c r="C30" s="1385">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290"/>
      <c r="Q30" s="1805" t="str">
        <f t="shared" si="8"/>
        <v>土地级别</v>
      </c>
      <c r="R30" s="770" t="s">
        <v>17</v>
      </c>
      <c r="S30" s="771">
        <f t="shared" si="10"/>
        <v>100</v>
      </c>
      <c r="T30" s="770" t="s">
        <v>17</v>
      </c>
      <c r="U30" s="771">
        <f t="shared" si="11"/>
        <v>100</v>
      </c>
      <c r="V30" s="770" t="s">
        <v>17</v>
      </c>
      <c r="W30" s="771">
        <f t="shared" si="12"/>
        <v>100</v>
      </c>
      <c r="X30" s="1808"/>
      <c r="Y30" s="3290"/>
      <c r="Z30" s="1809" t="str">
        <f t="shared" si="13"/>
        <v>土地级别</v>
      </c>
      <c r="AA30" s="1806">
        <f t="shared" si="3"/>
        <v>1</v>
      </c>
      <c r="AB30" s="1806">
        <f t="shared" si="4"/>
        <v>1</v>
      </c>
      <c r="AC30" s="1806">
        <f t="shared" si="5"/>
        <v>1</v>
      </c>
    </row>
    <row r="31" spans="1:29" ht="15">
      <c r="A31" s="402"/>
      <c r="B31" s="2665">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290"/>
      <c r="Q31" s="1805">
        <f t="shared" si="8"/>
        <v>111</v>
      </c>
      <c r="R31" s="770" t="s">
        <v>17</v>
      </c>
      <c r="S31" s="771">
        <f t="shared" si="10"/>
        <v>100</v>
      </c>
      <c r="T31" s="770" t="s">
        <v>17</v>
      </c>
      <c r="U31" s="771">
        <f t="shared" si="11"/>
        <v>100</v>
      </c>
      <c r="V31" s="770" t="s">
        <v>17</v>
      </c>
      <c r="W31" s="771">
        <f t="shared" si="12"/>
        <v>100</v>
      </c>
      <c r="X31" s="1808"/>
      <c r="Y31" s="3290"/>
      <c r="Z31" s="1809">
        <f t="shared" si="13"/>
        <v>111</v>
      </c>
      <c r="AA31" s="1806">
        <f t="shared" si="3"/>
        <v>1</v>
      </c>
      <c r="AB31" s="1806">
        <f t="shared" si="4"/>
        <v>1</v>
      </c>
      <c r="AC31" s="1806">
        <f t="shared" si="5"/>
        <v>1</v>
      </c>
    </row>
    <row r="32" spans="1:29" ht="15">
      <c r="A32" s="673"/>
      <c r="B32" s="2701">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291" t="s">
        <v>2549</v>
      </c>
      <c r="Q32" s="1805">
        <f t="shared" si="8"/>
        <v>111</v>
      </c>
      <c r="R32" s="770" t="s">
        <v>17</v>
      </c>
      <c r="S32" s="771">
        <f t="shared" si="10"/>
        <v>100</v>
      </c>
      <c r="T32" s="770" t="s">
        <v>17</v>
      </c>
      <c r="U32" s="771">
        <f t="shared" si="11"/>
        <v>100</v>
      </c>
      <c r="V32" s="770" t="s">
        <v>17</v>
      </c>
      <c r="W32" s="771">
        <f t="shared" si="12"/>
        <v>100</v>
      </c>
      <c r="X32" s="1808"/>
      <c r="Y32" s="3292" t="s">
        <v>2549</v>
      </c>
      <c r="Z32" s="1809">
        <f t="shared" si="13"/>
        <v>111</v>
      </c>
      <c r="AA32" s="1806">
        <f t="shared" si="3"/>
        <v>1</v>
      </c>
      <c r="AB32" s="1806">
        <f t="shared" si="4"/>
        <v>1</v>
      </c>
      <c r="AC32" s="1806">
        <f t="shared" si="5"/>
        <v>1</v>
      </c>
    </row>
    <row r="33" spans="1:29" s="469" customFormat="1" ht="15.75" thickBot="1">
      <c r="A33" s="674"/>
      <c r="B33" s="2702">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292"/>
      <c r="Q33" s="1805">
        <f t="shared" si="8"/>
        <v>111</v>
      </c>
      <c r="R33" s="773" t="s">
        <v>17</v>
      </c>
      <c r="S33" s="774">
        <f t="shared" si="10"/>
        <v>100</v>
      </c>
      <c r="T33" s="773" t="s">
        <v>17</v>
      </c>
      <c r="U33" s="774">
        <f t="shared" si="11"/>
        <v>100</v>
      </c>
      <c r="V33" s="773" t="s">
        <v>17</v>
      </c>
      <c r="W33" s="774">
        <f t="shared" si="12"/>
        <v>100</v>
      </c>
      <c r="X33" s="775"/>
      <c r="Y33" s="3292"/>
      <c r="Z33" s="776">
        <f t="shared" si="13"/>
        <v>111</v>
      </c>
      <c r="AA33" s="1806">
        <f t="shared" si="3"/>
        <v>1</v>
      </c>
      <c r="AB33" s="1806">
        <f t="shared" si="4"/>
        <v>1</v>
      </c>
      <c r="AC33" s="1806">
        <f t="shared" si="5"/>
        <v>1</v>
      </c>
    </row>
    <row r="34" spans="1:29" ht="15">
      <c r="A34" s="438" t="s">
        <v>2547</v>
      </c>
      <c r="B34" s="454" t="s">
        <v>2735</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292"/>
      <c r="Q34" s="1805" t="str">
        <f>B34</f>
        <v>宗地面积</v>
      </c>
      <c r="R34" s="770" t="s">
        <v>17</v>
      </c>
      <c r="S34" s="771" t="e">
        <f t="shared" si="10"/>
        <v>#N/A</v>
      </c>
      <c r="T34" s="770" t="s">
        <v>17</v>
      </c>
      <c r="U34" s="771" t="e">
        <f t="shared" si="11"/>
        <v>#N/A</v>
      </c>
      <c r="V34" s="770" t="s">
        <v>17</v>
      </c>
      <c r="W34" s="771" t="e">
        <f t="shared" si="12"/>
        <v>#N/A</v>
      </c>
      <c r="X34" s="1808"/>
      <c r="Y34" s="3292"/>
      <c r="Z34" s="1809" t="str">
        <f t="shared" si="13"/>
        <v>宗地面积</v>
      </c>
      <c r="AA34" s="1806" t="e">
        <f t="shared" si="3"/>
        <v>#N/A</v>
      </c>
      <c r="AB34" s="1806" t="e">
        <f t="shared" si="4"/>
        <v>#N/A</v>
      </c>
      <c r="AC34" s="1806" t="e">
        <f t="shared" si="5"/>
        <v>#N/A</v>
      </c>
    </row>
    <row r="35" spans="1:29" ht="15">
      <c r="A35" s="470"/>
      <c r="B35" s="420" t="s">
        <v>2736</v>
      </c>
      <c r="C35" s="2600"/>
      <c r="D35" s="433">
        <v>100</v>
      </c>
      <c r="E35" s="2600"/>
      <c r="F35" s="433">
        <f>SUMIF(110:110,E35,111:111)-SUMIF(110:110,C35,111:111)+100</f>
        <v>100</v>
      </c>
      <c r="G35" s="2600"/>
      <c r="H35" s="433">
        <f>SUMIF(110:110,G35,111:111)-SUMIF(110:110,C35,111:111)+100</f>
        <v>100</v>
      </c>
      <c r="I35" s="2600"/>
      <c r="J35" s="433">
        <f>SUMIF(110:110,I35,111:111)-SUMIF(110:110,C35,111:111)+100</f>
        <v>100</v>
      </c>
      <c r="K35" s="610"/>
      <c r="L35" s="1138"/>
      <c r="M35" s="1129"/>
      <c r="N35" s="1129"/>
      <c r="O35" s="1137"/>
      <c r="P35" s="3292"/>
      <c r="Q35" s="1805" t="str">
        <f t="shared" ref="Q35:Q40" si="14">B35</f>
        <v>宗地形状</v>
      </c>
      <c r="R35" s="770" t="s">
        <v>17</v>
      </c>
      <c r="S35" s="771">
        <f t="shared" si="10"/>
        <v>100</v>
      </c>
      <c r="T35" s="770" t="s">
        <v>17</v>
      </c>
      <c r="U35" s="771">
        <f t="shared" si="11"/>
        <v>100</v>
      </c>
      <c r="V35" s="770" t="s">
        <v>17</v>
      </c>
      <c r="W35" s="771">
        <f t="shared" si="12"/>
        <v>100</v>
      </c>
      <c r="X35" s="1808"/>
      <c r="Y35" s="3292"/>
      <c r="Z35" s="1809" t="str">
        <f t="shared" si="13"/>
        <v>宗地形状</v>
      </c>
      <c r="AA35" s="1806">
        <f t="shared" si="3"/>
        <v>1</v>
      </c>
      <c r="AB35" s="1806">
        <f t="shared" si="4"/>
        <v>1</v>
      </c>
      <c r="AC35" s="1806">
        <f t="shared" si="5"/>
        <v>1</v>
      </c>
    </row>
    <row r="36" spans="1:29" s="116" customFormat="1" ht="15">
      <c r="A36" s="471"/>
      <c r="B36" s="420" t="s">
        <v>2738</v>
      </c>
      <c r="C36" s="2689"/>
      <c r="D36" s="134">
        <v>100</v>
      </c>
      <c r="E36" s="2689"/>
      <c r="F36" s="433">
        <f>SUMIF(112:112,E36,113:113)-SUMIF(112:112,C36,113:113)+100</f>
        <v>100</v>
      </c>
      <c r="G36" s="2689"/>
      <c r="H36" s="433">
        <f>SUMIF(112:112,G36,113:113)-SUMIF(112:112,C36,113:113)+100</f>
        <v>100</v>
      </c>
      <c r="I36" s="2689"/>
      <c r="J36" s="433">
        <f>SUMIF(112:112,I36,113:113)-SUMIF(112:112,C36,113:113)+100</f>
        <v>100</v>
      </c>
      <c r="K36" s="610"/>
      <c r="L36" s="1130"/>
      <c r="M36" s="1131"/>
      <c r="N36" s="1131"/>
      <c r="O36" s="1132"/>
      <c r="P36" s="3292"/>
      <c r="Q36" s="1805" t="str">
        <f t="shared" si="14"/>
        <v>宗地开发程度</v>
      </c>
      <c r="R36" s="766" t="s">
        <v>17</v>
      </c>
      <c r="S36" s="767">
        <f t="shared" si="10"/>
        <v>100</v>
      </c>
      <c r="T36" s="766" t="s">
        <v>17</v>
      </c>
      <c r="U36" s="767">
        <f t="shared" si="11"/>
        <v>100</v>
      </c>
      <c r="V36" s="766" t="s">
        <v>17</v>
      </c>
      <c r="W36" s="767">
        <f t="shared" si="12"/>
        <v>100</v>
      </c>
      <c r="X36" s="768"/>
      <c r="Y36" s="3292"/>
      <c r="Z36" s="55" t="str">
        <f t="shared" si="13"/>
        <v>宗地开发程度</v>
      </c>
      <c r="AA36" s="769">
        <f t="shared" si="3"/>
        <v>1</v>
      </c>
      <c r="AB36" s="769">
        <f t="shared" si="4"/>
        <v>1</v>
      </c>
      <c r="AC36" s="769">
        <f t="shared" si="5"/>
        <v>1</v>
      </c>
    </row>
    <row r="37" spans="1:29" ht="15">
      <c r="A37" s="470"/>
      <c r="B37" s="420" t="s">
        <v>2739</v>
      </c>
      <c r="C37" s="2600"/>
      <c r="D37" s="433">
        <v>100</v>
      </c>
      <c r="E37" s="2600"/>
      <c r="F37" s="433">
        <f>SUMIF(114:114,E37,115:115)-SUMIF(114:114,C37,115:115)+100</f>
        <v>100</v>
      </c>
      <c r="G37" s="2600"/>
      <c r="H37" s="433">
        <f>SUMIF(114:114,G37,115:115)-SUMIF(114:114,C37,115:115)+100</f>
        <v>100</v>
      </c>
      <c r="I37" s="2600"/>
      <c r="J37" s="433">
        <f>SUMIF(114:114,I37,115:115)-SUMIF(114:114,C37,115:115)+100</f>
        <v>100</v>
      </c>
      <c r="K37" s="610"/>
      <c r="L37" s="1138"/>
      <c r="M37" s="1129"/>
      <c r="N37" s="1129"/>
      <c r="O37" s="1137"/>
      <c r="P37" s="3292" t="s">
        <v>2549</v>
      </c>
      <c r="Q37" s="1805" t="str">
        <f t="shared" si="14"/>
        <v>工程地质条件</v>
      </c>
      <c r="R37" s="770" t="s">
        <v>17</v>
      </c>
      <c r="S37" s="771">
        <f t="shared" si="10"/>
        <v>100</v>
      </c>
      <c r="T37" s="770" t="s">
        <v>17</v>
      </c>
      <c r="U37" s="771">
        <f t="shared" si="11"/>
        <v>100</v>
      </c>
      <c r="V37" s="770" t="s">
        <v>17</v>
      </c>
      <c r="W37" s="771">
        <f t="shared" si="12"/>
        <v>100</v>
      </c>
      <c r="X37" s="1808"/>
      <c r="Y37" s="3292" t="s">
        <v>2549</v>
      </c>
      <c r="Z37" s="1809" t="str">
        <f t="shared" si="13"/>
        <v>工程地质条件</v>
      </c>
      <c r="AA37" s="1806">
        <f t="shared" si="3"/>
        <v>1</v>
      </c>
      <c r="AB37" s="1806">
        <f t="shared" si="4"/>
        <v>1</v>
      </c>
      <c r="AC37" s="1806">
        <f t="shared" si="5"/>
        <v>1</v>
      </c>
    </row>
    <row r="38" spans="1:29" ht="15">
      <c r="A38" s="470"/>
      <c r="B38" s="1383">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292"/>
      <c r="Q38" s="1805">
        <f t="shared" si="14"/>
        <v>111</v>
      </c>
      <c r="R38" s="770" t="s">
        <v>17</v>
      </c>
      <c r="S38" s="771">
        <f t="shared" si="10"/>
        <v>100</v>
      </c>
      <c r="T38" s="770" t="s">
        <v>17</v>
      </c>
      <c r="U38" s="771">
        <f t="shared" si="11"/>
        <v>100</v>
      </c>
      <c r="V38" s="770" t="s">
        <v>17</v>
      </c>
      <c r="W38" s="771">
        <f t="shared" si="12"/>
        <v>100</v>
      </c>
      <c r="X38" s="1808"/>
      <c r="Y38" s="3292"/>
      <c r="Z38" s="1809">
        <f t="shared" si="13"/>
        <v>111</v>
      </c>
      <c r="AA38" s="1806">
        <f t="shared" si="3"/>
        <v>1</v>
      </c>
      <c r="AB38" s="1806">
        <f t="shared" si="4"/>
        <v>1</v>
      </c>
      <c r="AC38" s="1806">
        <f t="shared" si="5"/>
        <v>1</v>
      </c>
    </row>
    <row r="39" spans="1:29" ht="15">
      <c r="A39" s="470"/>
      <c r="B39" s="1383">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292"/>
      <c r="Q39" s="1805">
        <f t="shared" si="14"/>
        <v>111</v>
      </c>
      <c r="R39" s="770" t="s">
        <v>17</v>
      </c>
      <c r="S39" s="771">
        <f t="shared" si="10"/>
        <v>100</v>
      </c>
      <c r="T39" s="770" t="s">
        <v>17</v>
      </c>
      <c r="U39" s="771">
        <f t="shared" si="11"/>
        <v>100</v>
      </c>
      <c r="V39" s="770" t="s">
        <v>17</v>
      </c>
      <c r="W39" s="771">
        <f t="shared" si="12"/>
        <v>100</v>
      </c>
      <c r="X39" s="1808"/>
      <c r="Y39" s="3292"/>
      <c r="Z39" s="1809">
        <f t="shared" si="13"/>
        <v>111</v>
      </c>
      <c r="AA39" s="1806">
        <f t="shared" si="3"/>
        <v>1</v>
      </c>
      <c r="AB39" s="1806">
        <f t="shared" si="4"/>
        <v>1</v>
      </c>
      <c r="AC39" s="1806">
        <f t="shared" si="5"/>
        <v>1</v>
      </c>
    </row>
    <row r="40" spans="1:29" s="469" customFormat="1" ht="15.75" thickBot="1">
      <c r="A40" s="466"/>
      <c r="B40" s="1383">
        <v>111</v>
      </c>
      <c r="C40" s="2690"/>
      <c r="D40" s="135">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292"/>
      <c r="Q40" s="1805">
        <f t="shared" si="14"/>
        <v>111</v>
      </c>
      <c r="R40" s="773" t="s">
        <v>17</v>
      </c>
      <c r="S40" s="774">
        <f t="shared" si="10"/>
        <v>100</v>
      </c>
      <c r="T40" s="773" t="s">
        <v>17</v>
      </c>
      <c r="U40" s="774">
        <f t="shared" si="11"/>
        <v>100</v>
      </c>
      <c r="V40" s="773" t="s">
        <v>17</v>
      </c>
      <c r="W40" s="774">
        <f t="shared" si="12"/>
        <v>100</v>
      </c>
      <c r="X40" s="775"/>
      <c r="Y40" s="3292"/>
      <c r="Z40" s="776">
        <f t="shared" si="13"/>
        <v>111</v>
      </c>
      <c r="AA40" s="1806">
        <f t="shared" si="3"/>
        <v>1</v>
      </c>
      <c r="AB40" s="1806">
        <f t="shared" si="4"/>
        <v>1</v>
      </c>
      <c r="AC40" s="1806">
        <f t="shared" si="5"/>
        <v>1</v>
      </c>
    </row>
    <row r="41" spans="1:29" ht="15">
      <c r="A41" s="477" t="s">
        <v>2704</v>
      </c>
      <c r="B41" s="2691" t="s">
        <v>2784</v>
      </c>
      <c r="C41" s="680" t="s">
        <v>1</v>
      </c>
      <c r="D41" s="479"/>
      <c r="E41" s="480"/>
      <c r="F41" s="481"/>
      <c r="G41" s="482"/>
      <c r="H41" s="483"/>
      <c r="I41" s="480"/>
      <c r="J41" s="483"/>
      <c r="K41" s="779"/>
      <c r="L41" s="1141"/>
      <c r="M41" s="1129"/>
      <c r="N41" s="1129"/>
      <c r="O41" s="1142"/>
      <c r="P41" s="3274" t="str">
        <f>A41</f>
        <v>成交单价</v>
      </c>
      <c r="Q41" s="3274"/>
      <c r="R41" s="3287">
        <f>E41</f>
        <v>0</v>
      </c>
      <c r="S41" s="3287"/>
      <c r="T41" s="3287">
        <f>G41</f>
        <v>0</v>
      </c>
      <c r="U41" s="3287"/>
      <c r="V41" s="3287">
        <f>I41</f>
        <v>0</v>
      </c>
      <c r="W41" s="3287"/>
      <c r="X41" s="755"/>
      <c r="Y41" s="777"/>
      <c r="Z41" s="755"/>
      <c r="AA41" s="755"/>
      <c r="AB41" s="755"/>
      <c r="AC41" s="755"/>
    </row>
    <row r="42" spans="1:29" ht="15.75" thickBot="1">
      <c r="A42" s="484" t="s">
        <v>2653</v>
      </c>
      <c r="B42" s="681"/>
      <c r="C42" s="488" t="e">
        <f>R43</f>
        <v>#DIV/0!</v>
      </c>
      <c r="D42" s="487"/>
      <c r="E42" s="488" t="e">
        <f>R42</f>
        <v>#DIV/0!</v>
      </c>
      <c r="F42" s="489"/>
      <c r="G42" s="486" t="e">
        <f>T42</f>
        <v>#DIV/0!</v>
      </c>
      <c r="H42" s="487"/>
      <c r="I42" s="488" t="e">
        <f>V42</f>
        <v>#DIV/0!</v>
      </c>
      <c r="J42" s="487"/>
      <c r="K42" s="780"/>
      <c r="L42" s="1141"/>
      <c r="M42" s="1129"/>
      <c r="N42" s="1129"/>
      <c r="O42" s="1142"/>
      <c r="P42" s="3274" t="str">
        <f>A42</f>
        <v>比较价值（元/平方米）</v>
      </c>
      <c r="Q42" s="3274"/>
      <c r="R42" s="3293" t="e">
        <f>ROUND(PRODUCT(R41,AA7:AA40),0)</f>
        <v>#DIV/0!</v>
      </c>
      <c r="S42" s="3293"/>
      <c r="T42" s="3293" t="e">
        <f>ROUND(PRODUCT(T41,AB7:AB40),0)</f>
        <v>#DIV/0!</v>
      </c>
      <c r="U42" s="3293"/>
      <c r="V42" s="3293" t="e">
        <f>ROUND(PRODUCT(V41,AC7:AC40),0)</f>
        <v>#DIV/0!</v>
      </c>
      <c r="W42" s="3293"/>
      <c r="X42" s="755"/>
      <c r="Y42" s="755"/>
      <c r="Z42" s="755"/>
      <c r="AA42" s="755"/>
      <c r="AB42" s="755"/>
      <c r="AC42" s="755"/>
    </row>
    <row r="43" spans="1:29" ht="15.75" thickBot="1">
      <c r="A43" s="490" t="s">
        <v>2654</v>
      </c>
      <c r="B43" s="491"/>
      <c r="C43" s="492" t="e">
        <f>R43</f>
        <v>#DIV/0!</v>
      </c>
      <c r="D43" s="492"/>
      <c r="E43" s="492"/>
      <c r="F43" s="492"/>
      <c r="G43" s="492"/>
      <c r="H43" s="492"/>
      <c r="I43" s="492"/>
      <c r="J43" s="492"/>
      <c r="K43" s="781"/>
      <c r="L43" s="1141"/>
      <c r="M43" s="1129"/>
      <c r="N43" s="1129"/>
      <c r="O43" s="1142"/>
      <c r="P43" s="3294" t="str">
        <f>A43</f>
        <v>估价对象XX用房的比较价值（楼面单价，元/平方米）</v>
      </c>
      <c r="Q43" s="3295"/>
      <c r="R43" s="3296" t="e">
        <f>ROUND(AVERAGE(R42:V42),0)</f>
        <v>#DIV/0!</v>
      </c>
      <c r="S43" s="3296"/>
      <c r="T43" s="3296"/>
      <c r="U43" s="3296"/>
      <c r="V43" s="3296"/>
      <c r="W43" s="3296"/>
      <c r="X43" s="755"/>
      <c r="Y43" s="755"/>
      <c r="Z43" s="755"/>
      <c r="AA43" s="755"/>
      <c r="AB43" s="755"/>
      <c r="AC43" s="755"/>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2655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2656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2657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58"/>
      <c r="D49" s="756"/>
      <c r="E49" s="756"/>
      <c r="F49" s="756"/>
      <c r="G49" s="756"/>
      <c r="H49" s="756"/>
      <c r="I49" s="756"/>
      <c r="J49" s="756"/>
      <c r="K49" s="1146"/>
      <c r="L49" s="1147"/>
      <c r="M49" s="1143"/>
      <c r="N49" s="1143"/>
      <c r="O49" s="1143"/>
    </row>
    <row r="50" spans="1:17" ht="27">
      <c r="A50" s="682" t="s">
        <v>2742</v>
      </c>
      <c r="B50" s="683" t="s">
        <v>2743</v>
      </c>
      <c r="C50" s="2692" t="s">
        <v>2744</v>
      </c>
      <c r="D50" s="2693" t="s">
        <v>2745</v>
      </c>
      <c r="E50" s="684" t="s">
        <v>2746</v>
      </c>
      <c r="F50" s="685" t="s">
        <v>2747</v>
      </c>
      <c r="G50" s="3275" t="s">
        <v>2748</v>
      </c>
      <c r="H50" s="3297"/>
      <c r="I50" s="1809" t="s">
        <v>2785</v>
      </c>
      <c r="J50" s="1809" t="str">
        <f>项目基本情况!F35</f>
        <v>山东省</v>
      </c>
      <c r="K50" s="2695" t="s">
        <v>2750</v>
      </c>
      <c r="L50" s="1104"/>
      <c r="M50" s="1142"/>
      <c r="N50" s="1142"/>
      <c r="O50" s="1142"/>
    </row>
    <row r="51" spans="1:17" s="690" customFormat="1">
      <c r="A51" s="686" t="s">
        <v>2751</v>
      </c>
      <c r="B51" s="687" t="e">
        <f>C43</f>
        <v>#DIV/0!</v>
      </c>
      <c r="C51" s="688">
        <v>1</v>
      </c>
      <c r="D51" s="1161">
        <v>1</v>
      </c>
      <c r="E51" s="688">
        <f>'数据-汇总表'!E8+'数据-汇总表'!E9</f>
        <v>46364.71</v>
      </c>
      <c r="F51" s="689" t="e">
        <f t="shared" ref="F51:F60" si="15">ROUND(B51*E51/10000,0)</f>
        <v>#DIV/0!</v>
      </c>
      <c r="G51" s="3298"/>
      <c r="H51" s="3274"/>
      <c r="I51" s="940">
        <v>1</v>
      </c>
      <c r="J51" s="940">
        <v>1</v>
      </c>
      <c r="K51" s="1143"/>
      <c r="L51" s="939"/>
      <c r="M51" s="939"/>
      <c r="N51" s="939"/>
      <c r="O51" s="939"/>
    </row>
    <row r="52" spans="1:17" s="690" customFormat="1">
      <c r="A52" s="691" t="s">
        <v>2752</v>
      </c>
      <c r="B52" s="260" t="e">
        <f>ROUND($C$43*C52*D52,0)</f>
        <v>#DIV/0!</v>
      </c>
      <c r="C52" s="198">
        <f t="shared" ref="C52:C60" si="16">IF($C$50="北京市系数",I52,J52)</f>
        <v>0</v>
      </c>
      <c r="D52" s="1162">
        <v>0.25</v>
      </c>
      <c r="E52" s="692"/>
      <c r="F52" s="689" t="e">
        <f t="shared" si="15"/>
        <v>#DIV/0!</v>
      </c>
      <c r="G52" s="3299" t="s">
        <v>2753</v>
      </c>
      <c r="H52" s="1102">
        <f>项目基本情况!B37</f>
        <v>0</v>
      </c>
      <c r="I52" s="940">
        <f>SUMIF(修正!A45:A56,H52,修正!B45:B56)</f>
        <v>0</v>
      </c>
      <c r="J52" s="941"/>
      <c r="K52" s="1142"/>
      <c r="L52" s="939"/>
      <c r="M52" s="939"/>
      <c r="N52" s="939"/>
      <c r="O52" s="939"/>
    </row>
    <row r="53" spans="1:17" s="690" customFormat="1">
      <c r="A53" s="691" t="s">
        <v>2754</v>
      </c>
      <c r="B53" s="260" t="e">
        <f t="shared" ref="B53:B60" si="17">ROUND($C$43*C53*D53,0)</f>
        <v>#DIV/0!</v>
      </c>
      <c r="C53" s="198">
        <f t="shared" si="16"/>
        <v>0</v>
      </c>
      <c r="D53" s="1162">
        <v>0.25</v>
      </c>
      <c r="E53" s="692"/>
      <c r="F53" s="689" t="e">
        <f t="shared" si="15"/>
        <v>#DIV/0!</v>
      </c>
      <c r="G53" s="3299"/>
      <c r="H53" s="1102">
        <f>项目基本情况!B37</f>
        <v>0</v>
      </c>
      <c r="I53" s="940">
        <f>SUMIF(修正!A45:A56,H53,修正!C45:C56)</f>
        <v>0</v>
      </c>
      <c r="J53" s="941"/>
      <c r="K53" s="1143"/>
      <c r="L53" s="939"/>
      <c r="M53" s="939"/>
      <c r="N53" s="939"/>
      <c r="O53" s="939"/>
    </row>
    <row r="54" spans="1:17" s="690" customFormat="1">
      <c r="A54" s="691" t="s">
        <v>2755</v>
      </c>
      <c r="B54" s="260" t="e">
        <f t="shared" si="17"/>
        <v>#DIV/0!</v>
      </c>
      <c r="C54" s="198">
        <f t="shared" si="16"/>
        <v>0</v>
      </c>
      <c r="D54" s="1162">
        <v>0.25</v>
      </c>
      <c r="E54" s="692"/>
      <c r="F54" s="689" t="e">
        <f t="shared" si="15"/>
        <v>#DIV/0!</v>
      </c>
      <c r="G54" s="3299"/>
      <c r="H54" s="1102">
        <f>项目基本情况!B37</f>
        <v>0</v>
      </c>
      <c r="I54" s="940">
        <f>SUMIF(修正!A45:A56,H54,修正!D45:D56)</f>
        <v>0</v>
      </c>
      <c r="J54" s="941"/>
      <c r="K54" s="1142"/>
      <c r="L54" s="939"/>
      <c r="M54" s="939"/>
      <c r="N54" s="939"/>
      <c r="O54" s="939"/>
    </row>
    <row r="55" spans="1:17" s="690" customFormat="1">
      <c r="A55" s="691" t="s">
        <v>2756</v>
      </c>
      <c r="B55" s="260" t="e">
        <f t="shared" si="17"/>
        <v>#DIV/0!</v>
      </c>
      <c r="C55" s="198">
        <f t="shared" si="16"/>
        <v>0</v>
      </c>
      <c r="D55" s="1162">
        <v>0.25</v>
      </c>
      <c r="E55" s="692"/>
      <c r="F55" s="689" t="e">
        <f t="shared" si="15"/>
        <v>#DIV/0!</v>
      </c>
      <c r="G55" s="3299"/>
      <c r="H55" s="1102">
        <f>项目基本情况!B37</f>
        <v>0</v>
      </c>
      <c r="I55" s="940">
        <f>SUMIF(修正!A45:A56,H55,修正!E45:E56)</f>
        <v>0</v>
      </c>
      <c r="J55" s="941"/>
      <c r="K55" s="1143"/>
      <c r="L55" s="939"/>
      <c r="M55" s="939"/>
      <c r="N55" s="939"/>
      <c r="O55" s="939"/>
    </row>
    <row r="56" spans="1:17" s="690" customFormat="1">
      <c r="A56" s="691" t="s">
        <v>2757</v>
      </c>
      <c r="B56" s="260" t="e">
        <f t="shared" si="17"/>
        <v>#DIV/0!</v>
      </c>
      <c r="C56" s="198">
        <f t="shared" si="16"/>
        <v>0</v>
      </c>
      <c r="D56" s="1162">
        <v>0.25</v>
      </c>
      <c r="E56" s="259">
        <f>'数据-汇总表'!E11</f>
        <v>604.78</v>
      </c>
      <c r="F56" s="689" t="e">
        <f t="shared" si="15"/>
        <v>#DIV/0!</v>
      </c>
      <c r="G56" s="2696" t="s">
        <v>2758</v>
      </c>
      <c r="H56" s="1102">
        <f>项目基本情况!C37</f>
        <v>0</v>
      </c>
      <c r="I56" s="940">
        <f>SUMIF(修正!A45:A56,H56,修正!F45:F56)</f>
        <v>0</v>
      </c>
      <c r="J56" s="941"/>
      <c r="K56" s="1142"/>
      <c r="L56" s="939"/>
      <c r="M56" s="939"/>
      <c r="N56" s="939"/>
      <c r="O56" s="939"/>
    </row>
    <row r="57" spans="1:17" s="690" customFormat="1">
      <c r="A57" s="691" t="s">
        <v>2759</v>
      </c>
      <c r="B57" s="260" t="e">
        <f t="shared" si="17"/>
        <v>#DIV/0!</v>
      </c>
      <c r="C57" s="198">
        <f t="shared" si="16"/>
        <v>0</v>
      </c>
      <c r="D57" s="1162">
        <v>0.25</v>
      </c>
      <c r="E57" s="259">
        <f>'数据-汇总表'!E12</f>
        <v>4738.6399999999994</v>
      </c>
      <c r="F57" s="689" t="e">
        <f t="shared" si="15"/>
        <v>#DIV/0!</v>
      </c>
      <c r="G57" s="1107" t="s">
        <v>2760</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2761</v>
      </c>
      <c r="B58" s="260" t="e">
        <f t="shared" si="17"/>
        <v>#DIV/0!</v>
      </c>
      <c r="C58" s="198">
        <f t="shared" si="16"/>
        <v>0</v>
      </c>
      <c r="D58" s="1162">
        <v>0.25</v>
      </c>
      <c r="E58" s="259">
        <f>'数据-汇总表'!E13</f>
        <v>9302.4</v>
      </c>
      <c r="F58" s="689" t="e">
        <f t="shared" si="15"/>
        <v>#DIV/0!</v>
      </c>
      <c r="G58" s="1107" t="s">
        <v>2762</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2763</v>
      </c>
      <c r="B59" s="260" t="e">
        <f t="shared" si="17"/>
        <v>#DIV/0!</v>
      </c>
      <c r="C59" s="198">
        <f t="shared" si="16"/>
        <v>0</v>
      </c>
      <c r="D59" s="1162">
        <v>0.25</v>
      </c>
      <c r="E59" s="259">
        <f>'数据-汇总表'!E14</f>
        <v>0</v>
      </c>
      <c r="F59" s="689" t="e">
        <f t="shared" si="15"/>
        <v>#DIV/0!</v>
      </c>
      <c r="G59" s="2696" t="s">
        <v>2753</v>
      </c>
      <c r="H59" s="1102">
        <f>项目基本情况!B37</f>
        <v>0</v>
      </c>
      <c r="I59" s="940">
        <f>SUMIF(修正!A45:A56,H59,修正!H45:H56)</f>
        <v>0</v>
      </c>
      <c r="J59" s="941"/>
      <c r="K59" s="1143"/>
      <c r="L59" s="939"/>
      <c r="M59" s="939"/>
      <c r="N59" s="939"/>
      <c r="O59" s="939"/>
    </row>
    <row r="60" spans="1:17" s="690" customFormat="1" ht="15" thickBot="1">
      <c r="A60" s="691" t="s">
        <v>2764</v>
      </c>
      <c r="B60" s="260" t="e">
        <f t="shared" si="17"/>
        <v>#DIV/0!</v>
      </c>
      <c r="C60" s="198">
        <f t="shared" si="16"/>
        <v>0</v>
      </c>
      <c r="D60" s="1162">
        <v>0.25</v>
      </c>
      <c r="E60" s="259">
        <f>'数据-汇总表'!E15</f>
        <v>0</v>
      </c>
      <c r="F60" s="689" t="e">
        <f t="shared" si="15"/>
        <v>#DIV/0!</v>
      </c>
      <c r="G60" s="2697" t="s">
        <v>2758</v>
      </c>
      <c r="H60" s="1112">
        <f>项目基本情况!C37</f>
        <v>0</v>
      </c>
      <c r="I60" s="940">
        <f>SUMIF(修正!A45:A56,H60,修正!H45:H56)</f>
        <v>0</v>
      </c>
      <c r="J60" s="941"/>
      <c r="K60" s="1142"/>
      <c r="L60" s="939"/>
      <c r="M60" s="939"/>
      <c r="N60" s="939"/>
      <c r="O60" s="939"/>
    </row>
    <row r="61" spans="1:17" s="690" customFormat="1" ht="15" thickBot="1">
      <c r="A61" s="693" t="s">
        <v>2765</v>
      </c>
      <c r="B61" s="694" t="s">
        <v>28</v>
      </c>
      <c r="C61" s="694" t="s">
        <v>29</v>
      </c>
      <c r="D61" s="694" t="s">
        <v>1029</v>
      </c>
      <c r="E61" s="694">
        <f>IF(B41="楼面地价",SUM(E51:E60),'数据-汇总表'!D3)</f>
        <v>57352.9</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7" t="str">
        <f>YEAR(C7)&amp;"-"&amp;MONTH(C7)&amp;"-1"</f>
        <v>2018-4-1</v>
      </c>
      <c r="D63" s="757">
        <f>EDATE(C63,-3)</f>
        <v>43101</v>
      </c>
      <c r="E63" s="757">
        <f>EDATE(D63,-3)</f>
        <v>43009</v>
      </c>
      <c r="F63" s="757">
        <f t="shared" ref="F63:O63" si="18">EDATE(E63,-3)</f>
        <v>42917</v>
      </c>
      <c r="G63" s="757">
        <f t="shared" si="18"/>
        <v>42826</v>
      </c>
      <c r="H63" s="757">
        <f t="shared" si="18"/>
        <v>42736</v>
      </c>
      <c r="I63" s="757">
        <f t="shared" si="18"/>
        <v>42644</v>
      </c>
      <c r="J63" s="757">
        <f t="shared" si="18"/>
        <v>42552</v>
      </c>
      <c r="K63" s="757">
        <f t="shared" si="18"/>
        <v>42461</v>
      </c>
      <c r="L63" s="757">
        <f t="shared" si="18"/>
        <v>42370</v>
      </c>
      <c r="M63" s="757">
        <f t="shared" si="18"/>
        <v>42278</v>
      </c>
      <c r="N63" s="757">
        <f t="shared" si="18"/>
        <v>42186</v>
      </c>
      <c r="O63" s="757">
        <f t="shared" si="18"/>
        <v>42095</v>
      </c>
    </row>
    <row r="64" spans="1:17" ht="21.75" thickBot="1">
      <c r="A64" s="759" t="s">
        <v>2658</v>
      </c>
      <c r="B64" s="755"/>
      <c r="C64" s="760"/>
      <c r="D64" s="760"/>
      <c r="E64" s="760"/>
      <c r="F64" s="761"/>
      <c r="G64" s="761"/>
      <c r="H64" s="760"/>
      <c r="I64" s="760"/>
      <c r="J64" s="760"/>
      <c r="K64" s="762"/>
      <c r="L64" s="763"/>
      <c r="M64" s="760"/>
      <c r="N64" s="760"/>
      <c r="O64" s="1157"/>
      <c r="P64" s="501"/>
      <c r="Q64" s="502"/>
    </row>
    <row r="65" spans="1:17" s="506" customFormat="1" ht="15">
      <c r="A65" s="2698" t="s">
        <v>2766</v>
      </c>
      <c r="B65" s="1355"/>
      <c r="C65" s="1567" t="str">
        <f>YEAR(C63)&amp;"-"&amp;ROUNDUP(MONTH(C63)/3,0)</f>
        <v>2018-2</v>
      </c>
      <c r="D65" s="1567" t="str">
        <f t="shared" ref="D65:O65" si="19">YEAR(D63)&amp;"-"&amp;ROUNDUP(MONTH(D63)/3,0)</f>
        <v>2018-1</v>
      </c>
      <c r="E65" s="1567" t="str">
        <f t="shared" si="19"/>
        <v>2017-4</v>
      </c>
      <c r="F65" s="1567" t="str">
        <f t="shared" si="19"/>
        <v>2017-3</v>
      </c>
      <c r="G65" s="1567" t="str">
        <f t="shared" si="19"/>
        <v>2017-2</v>
      </c>
      <c r="H65" s="1567" t="str">
        <f t="shared" si="19"/>
        <v>2017-1</v>
      </c>
      <c r="I65" s="1567" t="str">
        <f t="shared" si="19"/>
        <v>2016-4</v>
      </c>
      <c r="J65" s="1567" t="str">
        <f t="shared" si="19"/>
        <v>2016-3</v>
      </c>
      <c r="K65" s="1567" t="str">
        <f t="shared" si="19"/>
        <v>2016-2</v>
      </c>
      <c r="L65" s="1567" t="str">
        <f t="shared" si="19"/>
        <v>2016-1</v>
      </c>
      <c r="M65" s="1567" t="str">
        <f t="shared" si="19"/>
        <v>2015-4</v>
      </c>
      <c r="N65" s="1567" t="str">
        <f t="shared" si="19"/>
        <v>2015-3</v>
      </c>
      <c r="O65" s="1567" t="str">
        <f t="shared" si="19"/>
        <v>2015-2</v>
      </c>
      <c r="P65" s="505"/>
    </row>
    <row r="66" spans="1:17" s="116" customFormat="1" ht="30.75" customHeight="1">
      <c r="A66" s="2703" t="s">
        <v>2786</v>
      </c>
      <c r="B66" s="330" t="str">
        <f>"北京市平均增长率"&amp;TEXT(基准地价修正!P24,"0.00%")</f>
        <v>北京市平均增长率0.00%</v>
      </c>
      <c r="C66" s="601">
        <v>100</v>
      </c>
      <c r="D66" s="593"/>
      <c r="E66" s="593"/>
      <c r="F66" s="593"/>
      <c r="G66" s="593"/>
      <c r="H66" s="593"/>
      <c r="I66" s="593"/>
      <c r="J66" s="593"/>
      <c r="K66" s="593"/>
      <c r="L66" s="593"/>
      <c r="M66" s="1563"/>
      <c r="N66" s="1563"/>
      <c r="O66" s="1564"/>
      <c r="P66" s="502"/>
    </row>
    <row r="67" spans="1:17" s="116" customFormat="1" ht="15.75" thickBot="1">
      <c r="A67" s="513" t="s">
        <v>2569</v>
      </c>
      <c r="B67" s="514"/>
      <c r="C67" s="515"/>
      <c r="D67" s="516"/>
      <c r="E67" s="516"/>
      <c r="F67" s="516"/>
      <c r="G67" s="516"/>
      <c r="H67" s="516"/>
      <c r="I67" s="516"/>
      <c r="J67" s="516"/>
      <c r="K67" s="516"/>
      <c r="L67" s="516"/>
      <c r="M67" s="517"/>
      <c r="N67" s="517"/>
      <c r="O67" s="518"/>
      <c r="P67" s="502"/>
      <c r="Q67" s="502"/>
    </row>
    <row r="68" spans="1:17" s="116" customFormat="1" ht="15">
      <c r="A68" s="519" t="s">
        <v>2534</v>
      </c>
      <c r="B68" s="508"/>
      <c r="C68" s="520" t="s">
        <v>2636</v>
      </c>
      <c r="D68" s="521"/>
      <c r="E68" s="521"/>
      <c r="F68" s="521"/>
      <c r="G68" s="521"/>
      <c r="H68" s="521"/>
      <c r="I68" s="521"/>
      <c r="J68" s="521"/>
      <c r="K68" s="521"/>
      <c r="L68" s="522"/>
      <c r="M68" s="523"/>
      <c r="N68" s="1149"/>
      <c r="O68" s="1149"/>
      <c r="P68" s="524"/>
      <c r="Q68" s="502"/>
    </row>
    <row r="69" spans="1:17" s="116"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2572</v>
      </c>
      <c r="B70" s="526" t="s">
        <v>2538</v>
      </c>
      <c r="C70" s="528"/>
      <c r="D70" s="528"/>
      <c r="E70" s="528"/>
      <c r="F70" s="528"/>
      <c r="G70" s="528"/>
      <c r="H70" s="528"/>
      <c r="I70" s="528"/>
      <c r="J70" s="528"/>
      <c r="K70" s="529"/>
      <c r="L70" s="530"/>
      <c r="M70" s="531"/>
      <c r="N70" s="1150"/>
      <c r="O70" s="1150"/>
      <c r="P70" s="45"/>
      <c r="Q70" s="502"/>
    </row>
    <row r="71" spans="1:17" ht="15.75" thickBot="1">
      <c r="A71" s="532"/>
      <c r="B71" s="533"/>
      <c r="C71" s="534"/>
      <c r="D71" s="534"/>
      <c r="E71" s="534"/>
      <c r="F71" s="534"/>
      <c r="G71" s="534"/>
      <c r="H71" s="534"/>
      <c r="I71" s="534"/>
      <c r="J71" s="534"/>
      <c r="K71" s="534"/>
      <c r="L71" s="534"/>
      <c r="M71" s="535"/>
      <c r="N71" s="1151"/>
      <c r="O71" s="1151"/>
      <c r="P71" s="45"/>
      <c r="Q71" s="502"/>
    </row>
    <row r="72" spans="1:17" ht="27.75" thickTop="1">
      <c r="A72" s="532"/>
      <c r="B72" s="536" t="s">
        <v>2541</v>
      </c>
      <c r="C72" s="537"/>
      <c r="D72" s="537"/>
      <c r="E72" s="537"/>
      <c r="F72" s="537"/>
      <c r="G72" s="537"/>
      <c r="H72" s="537"/>
      <c r="I72" s="537"/>
      <c r="J72" s="537"/>
      <c r="K72" s="538"/>
      <c r="L72" s="539"/>
      <c r="M72" s="540"/>
      <c r="N72" s="1150"/>
      <c r="O72" s="1150"/>
      <c r="P72" s="45"/>
      <c r="Q72" s="502"/>
    </row>
    <row r="73" spans="1:17" ht="15.75" thickBot="1">
      <c r="A73" s="532"/>
      <c r="B73" s="541"/>
      <c r="C73" s="542"/>
      <c r="D73" s="542"/>
      <c r="E73" s="542"/>
      <c r="F73" s="542"/>
      <c r="G73" s="542"/>
      <c r="H73" s="542"/>
      <c r="I73" s="542"/>
      <c r="J73" s="542"/>
      <c r="K73" s="542"/>
      <c r="L73" s="542"/>
      <c r="M73" s="543"/>
      <c r="N73" s="1151"/>
      <c r="O73" s="1151"/>
      <c r="P73" s="45"/>
      <c r="Q73" s="502"/>
    </row>
    <row r="74" spans="1:17" ht="15.75" thickTop="1">
      <c r="A74" s="532"/>
      <c r="B74" s="544" t="s">
        <v>2542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5"/>
      <c r="Q74" s="502"/>
    </row>
    <row r="75" spans="1:17" ht="15">
      <c r="A75" s="532"/>
      <c r="B75" s="546"/>
      <c r="C75" s="547"/>
      <c r="D75" s="547"/>
      <c r="E75" s="547"/>
      <c r="F75" s="547"/>
      <c r="G75" s="547"/>
      <c r="H75" s="547"/>
      <c r="I75" s="547"/>
      <c r="J75" s="547"/>
      <c r="K75" s="548"/>
      <c r="L75" s="549"/>
      <c r="M75" s="550"/>
      <c r="N75" s="1150"/>
      <c r="O75" s="1150"/>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5"/>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2543</v>
      </c>
      <c r="B83" s="526" t="s">
        <v>2689</v>
      </c>
      <c r="C83" s="571" t="s">
        <v>2581</v>
      </c>
      <c r="D83" s="571" t="s">
        <v>2582</v>
      </c>
      <c r="E83" s="571" t="s">
        <v>2583</v>
      </c>
      <c r="F83" s="571" t="s">
        <v>2584</v>
      </c>
      <c r="G83" s="571" t="s">
        <v>2585</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5"/>
      <c r="Q84" s="502"/>
    </row>
    <row r="85" spans="1:17" ht="15.75" thickTop="1">
      <c r="A85" s="532"/>
      <c r="B85" s="536" t="s">
        <v>2586</v>
      </c>
      <c r="C85" s="576" t="s">
        <v>2581</v>
      </c>
      <c r="D85" s="576" t="s">
        <v>2582</v>
      </c>
      <c r="E85" s="576" t="s">
        <v>2583</v>
      </c>
      <c r="F85" s="576" t="s">
        <v>2584</v>
      </c>
      <c r="G85" s="576" t="s">
        <v>2585</v>
      </c>
      <c r="H85" s="537"/>
      <c r="I85" s="537"/>
      <c r="J85" s="537"/>
      <c r="K85" s="538"/>
      <c r="L85" s="539"/>
      <c r="M85" s="540"/>
      <c r="N85" s="1150"/>
      <c r="O85" s="1150"/>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5"/>
      <c r="Q86" s="502"/>
    </row>
    <row r="87" spans="1:17" s="116" customFormat="1" ht="15.75" thickTop="1">
      <c r="A87" s="577"/>
      <c r="B87" s="536" t="s">
        <v>2769</v>
      </c>
      <c r="C87" s="571" t="s">
        <v>2581</v>
      </c>
      <c r="D87" s="571" t="s">
        <v>2582</v>
      </c>
      <c r="E87" s="571" t="s">
        <v>2583</v>
      </c>
      <c r="F87" s="571" t="s">
        <v>2584</v>
      </c>
      <c r="G87" s="571" t="s">
        <v>2585</v>
      </c>
      <c r="H87" s="576"/>
      <c r="I87" s="576"/>
      <c r="J87" s="576"/>
      <c r="K87" s="576"/>
      <c r="L87" s="696"/>
      <c r="M87" s="620"/>
      <c r="N87" s="1149"/>
      <c r="O87" s="1149"/>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5"/>
      <c r="Q88" s="502"/>
    </row>
    <row r="89" spans="1:17" s="116" customFormat="1" ht="27.75" thickTop="1">
      <c r="A89" s="577"/>
      <c r="B89" s="536" t="s">
        <v>2770</v>
      </c>
      <c r="C89" s="571" t="s">
        <v>2581</v>
      </c>
      <c r="D89" s="571" t="s">
        <v>2582</v>
      </c>
      <c r="E89" s="571" t="s">
        <v>2583</v>
      </c>
      <c r="F89" s="571" t="s">
        <v>2584</v>
      </c>
      <c r="G89" s="571" t="s">
        <v>2585</v>
      </c>
      <c r="H89" s="576"/>
      <c r="I89" s="576"/>
      <c r="J89" s="576"/>
      <c r="K89" s="576"/>
      <c r="L89" s="576"/>
      <c r="M89" s="620"/>
      <c r="N89" s="1149"/>
      <c r="O89" s="1149"/>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5"/>
      <c r="Q90" s="502"/>
    </row>
    <row r="91" spans="1:17" s="469" customFormat="1" ht="15.75" thickTop="1">
      <c r="A91" s="551"/>
      <c r="B91" s="536" t="s">
        <v>2638</v>
      </c>
      <c r="C91" s="571" t="s">
        <v>2581</v>
      </c>
      <c r="D91" s="571" t="s">
        <v>2582</v>
      </c>
      <c r="E91" s="571" t="s">
        <v>2583</v>
      </c>
      <c r="F91" s="571" t="s">
        <v>2584</v>
      </c>
      <c r="G91" s="571" t="s">
        <v>2585</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2787</v>
      </c>
      <c r="C93" s="658" t="s">
        <v>2659</v>
      </c>
      <c r="D93" s="658" t="s">
        <v>2660</v>
      </c>
      <c r="E93" s="658" t="s">
        <v>2661</v>
      </c>
      <c r="F93" s="658" t="s">
        <v>2662</v>
      </c>
      <c r="G93" s="658" t="s">
        <v>2663</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1"/>
      <c r="N94" s="1152"/>
      <c r="O94" s="1152"/>
      <c r="P94" s="556"/>
      <c r="Q94" s="557"/>
    </row>
    <row r="95" spans="1:17" ht="15.75" thickTop="1">
      <c r="A95" s="532"/>
      <c r="B95" s="536" t="str">
        <f>B27</f>
        <v>临街状况</v>
      </c>
      <c r="C95" s="537" t="s">
        <v>2771</v>
      </c>
      <c r="D95" s="537" t="s">
        <v>2772</v>
      </c>
      <c r="E95" s="537" t="s">
        <v>2773</v>
      </c>
      <c r="F95" s="537" t="s">
        <v>2774</v>
      </c>
      <c r="G95" s="537"/>
      <c r="H95" s="537"/>
      <c r="I95" s="537"/>
      <c r="J95" s="537"/>
      <c r="K95" s="538"/>
      <c r="L95" s="539"/>
      <c r="M95" s="540"/>
      <c r="N95" s="1150"/>
      <c r="O95" s="1150"/>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5"/>
      <c r="Q96" s="502"/>
    </row>
    <row r="97" spans="1:17" ht="27.75" thickTop="1">
      <c r="A97" s="532"/>
      <c r="B97" s="536" t="s">
        <v>2675</v>
      </c>
      <c r="C97" s="552"/>
      <c r="D97" s="552"/>
      <c r="E97" s="552"/>
      <c r="F97" s="552"/>
      <c r="G97" s="552"/>
      <c r="H97" s="581"/>
      <c r="I97" s="581"/>
      <c r="J97" s="581"/>
      <c r="K97" s="582"/>
      <c r="L97" s="583"/>
      <c r="M97" s="584"/>
      <c r="N97" s="1150"/>
      <c r="O97" s="1150"/>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5"/>
      <c r="Q98" s="502"/>
    </row>
    <row r="99" spans="1:17" ht="15.75" thickTop="1">
      <c r="A99" s="532"/>
      <c r="B99" s="536" t="s">
        <v>2734</v>
      </c>
      <c r="C99" s="581"/>
      <c r="D99" s="581"/>
      <c r="E99" s="581"/>
      <c r="F99" s="581"/>
      <c r="G99" s="581"/>
      <c r="H99" s="581"/>
      <c r="I99" s="581"/>
      <c r="J99" s="581"/>
      <c r="K99" s="582"/>
      <c r="L99" s="583"/>
      <c r="M99" s="584"/>
      <c r="N99" s="1150"/>
      <c r="O99" s="1150"/>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5"/>
      <c r="Q100" s="502"/>
    </row>
    <row r="101" spans="1:17" ht="15.75" thickTop="1">
      <c r="A101" s="532"/>
      <c r="B101" s="544">
        <f>B31</f>
        <v>111</v>
      </c>
      <c r="C101" s="552"/>
      <c r="D101" s="552"/>
      <c r="E101" s="552"/>
      <c r="F101" s="552"/>
      <c r="G101" s="585"/>
      <c r="H101" s="585"/>
      <c r="I101" s="585"/>
      <c r="J101" s="585"/>
      <c r="K101" s="586"/>
      <c r="L101" s="587"/>
      <c r="M101" s="588"/>
      <c r="N101" s="1150"/>
      <c r="O101" s="1150"/>
      <c r="P101" s="45"/>
      <c r="Q101" s="502"/>
    </row>
    <row r="102" spans="1:17" ht="15.75" thickBot="1">
      <c r="A102" s="532"/>
      <c r="B102" s="567"/>
      <c r="C102" s="558"/>
      <c r="D102" s="534"/>
      <c r="E102" s="534"/>
      <c r="F102" s="534"/>
      <c r="G102" s="589"/>
      <c r="H102" s="589"/>
      <c r="I102" s="589"/>
      <c r="J102" s="589"/>
      <c r="K102" s="589"/>
      <c r="L102" s="589"/>
      <c r="M102" s="590"/>
      <c r="N102" s="1151"/>
      <c r="O102" s="1151"/>
      <c r="P102" s="45"/>
      <c r="Q102" s="502"/>
    </row>
    <row r="103" spans="1:17" ht="15" thickTop="1">
      <c r="A103" s="673"/>
      <c r="B103" s="536">
        <f>B32</f>
        <v>111</v>
      </c>
      <c r="C103" s="552"/>
      <c r="D103" s="552"/>
      <c r="E103" s="552"/>
      <c r="F103" s="552"/>
      <c r="G103" s="581"/>
      <c r="H103" s="581"/>
      <c r="I103" s="581"/>
      <c r="J103" s="581"/>
      <c r="K103" s="582"/>
      <c r="L103" s="583"/>
      <c r="M103" s="584"/>
      <c r="N103" s="1150"/>
      <c r="O103" s="1150"/>
      <c r="P103" s="45"/>
      <c r="Q103" s="502"/>
    </row>
    <row r="104" spans="1:17" ht="15.75" thickBot="1">
      <c r="A104" s="532"/>
      <c r="B104" s="541"/>
      <c r="C104" s="558"/>
      <c r="D104" s="558"/>
      <c r="E104" s="558"/>
      <c r="F104" s="558"/>
      <c r="G104" s="534"/>
      <c r="H104" s="534"/>
      <c r="I104" s="534"/>
      <c r="J104" s="534"/>
      <c r="K104" s="534"/>
      <c r="L104" s="534"/>
      <c r="M104" s="535"/>
      <c r="N104" s="1151"/>
      <c r="O104" s="1151"/>
      <c r="P104" s="45"/>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2547</v>
      </c>
      <c r="B107" s="526" t="s">
        <v>2775</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1" t="str">
        <f t="shared" si="25"/>
        <v>(含)-</v>
      </c>
      <c r="L107" s="1761" t="str">
        <f t="shared" si="25"/>
        <v>(含)-</v>
      </c>
      <c r="M107" s="1762" t="str">
        <f>M108&amp;"(含)"&amp;"-"&amp;P108</f>
        <v>(含)-</v>
      </c>
      <c r="N107" s="1150"/>
      <c r="O107" s="1150"/>
      <c r="P107" s="45"/>
      <c r="Q107" s="502"/>
    </row>
    <row r="108" spans="1:17" ht="15">
      <c r="A108" s="532"/>
      <c r="B108" s="544"/>
      <c r="C108" s="593"/>
      <c r="D108" s="593"/>
      <c r="E108" s="593"/>
      <c r="F108" s="593"/>
      <c r="G108" s="593"/>
      <c r="H108" s="593"/>
      <c r="I108" s="593"/>
      <c r="J108" s="594"/>
      <c r="K108" s="594"/>
      <c r="L108" s="595"/>
      <c r="M108" s="596"/>
      <c r="N108" s="1150"/>
      <c r="O108" s="1150"/>
      <c r="P108" s="45"/>
      <c r="Q108" s="502"/>
    </row>
    <row r="109" spans="1:17" ht="15.75" thickBot="1">
      <c r="A109" s="532"/>
      <c r="B109" s="541"/>
      <c r="C109" s="568"/>
      <c r="D109" s="589"/>
      <c r="E109" s="589"/>
      <c r="F109" s="589"/>
      <c r="G109" s="589"/>
      <c r="H109" s="589"/>
      <c r="I109" s="589"/>
      <c r="J109" s="589"/>
      <c r="K109" s="589"/>
      <c r="L109" s="589"/>
      <c r="M109" s="590"/>
      <c r="N109" s="1151"/>
      <c r="O109" s="1151"/>
      <c r="P109" s="45"/>
      <c r="Q109" s="502"/>
    </row>
    <row r="110" spans="1:17" ht="15" thickTop="1">
      <c r="A110" s="597"/>
      <c r="B110" s="536" t="s">
        <v>2776</v>
      </c>
      <c r="C110" s="581"/>
      <c r="D110" s="581"/>
      <c r="E110" s="581"/>
      <c r="F110" s="581"/>
      <c r="G110" s="581"/>
      <c r="H110" s="581"/>
      <c r="I110" s="581"/>
      <c r="J110" s="581"/>
      <c r="K110" s="582"/>
      <c r="L110" s="583"/>
      <c r="M110" s="584"/>
      <c r="N110" s="1150"/>
      <c r="O110" s="1150"/>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5"/>
      <c r="Q111" s="502"/>
    </row>
    <row r="112" spans="1:17" s="469" customFormat="1" ht="15" thickTop="1">
      <c r="A112" s="591"/>
      <c r="B112" s="536" t="s">
        <v>2778</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2779</v>
      </c>
      <c r="C114" s="552"/>
      <c r="D114" s="552"/>
      <c r="E114" s="581"/>
      <c r="F114" s="581"/>
      <c r="G114" s="581"/>
      <c r="H114" s="581"/>
      <c r="I114" s="581"/>
      <c r="J114" s="581"/>
      <c r="K114" s="582"/>
      <c r="L114" s="583"/>
      <c r="M114" s="584"/>
      <c r="N114" s="1150"/>
      <c r="O114" s="1150"/>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5"/>
      <c r="Q115" s="502"/>
    </row>
    <row r="116" spans="1:17" ht="15" thickTop="1">
      <c r="A116" s="597"/>
      <c r="B116" s="536">
        <f>B38</f>
        <v>111</v>
      </c>
      <c r="C116" s="552"/>
      <c r="D116" s="552"/>
      <c r="E116" s="552"/>
      <c r="F116" s="552"/>
      <c r="G116" s="552"/>
      <c r="H116" s="581"/>
      <c r="I116" s="581"/>
      <c r="J116" s="581"/>
      <c r="K116" s="582"/>
      <c r="L116" s="583"/>
      <c r="M116" s="584"/>
      <c r="N116" s="1150"/>
      <c r="O116" s="1150"/>
      <c r="P116" s="45"/>
      <c r="Q116" s="502"/>
    </row>
    <row r="117" spans="1:17" ht="15.75" thickBot="1">
      <c r="A117" s="532"/>
      <c r="B117" s="541"/>
      <c r="C117" s="558"/>
      <c r="D117" s="534"/>
      <c r="E117" s="534"/>
      <c r="F117" s="534"/>
      <c r="G117" s="534"/>
      <c r="H117" s="534"/>
      <c r="I117" s="534"/>
      <c r="J117" s="534"/>
      <c r="K117" s="534"/>
      <c r="L117" s="534"/>
      <c r="M117" s="535"/>
      <c r="N117" s="1151"/>
      <c r="O117" s="1151"/>
      <c r="P117" s="45"/>
      <c r="Q117" s="502"/>
    </row>
    <row r="118" spans="1:17" ht="15" thickTop="1">
      <c r="A118" s="597"/>
      <c r="B118" s="536">
        <f>B39</f>
        <v>111</v>
      </c>
      <c r="C118" s="552"/>
      <c r="D118" s="552"/>
      <c r="E118" s="552"/>
      <c r="F118" s="552"/>
      <c r="G118" s="581"/>
      <c r="H118" s="581"/>
      <c r="I118" s="581"/>
      <c r="J118" s="581"/>
      <c r="K118" s="582"/>
      <c r="L118" s="583"/>
      <c r="M118" s="584"/>
      <c r="N118" s="1150"/>
      <c r="O118" s="1150"/>
      <c r="P118" s="45"/>
      <c r="Q118" s="502"/>
    </row>
    <row r="119" spans="1:17" ht="15.75" thickBot="1">
      <c r="A119" s="532"/>
      <c r="B119" s="541"/>
      <c r="C119" s="558"/>
      <c r="D119" s="558"/>
      <c r="E119" s="558"/>
      <c r="F119" s="558"/>
      <c r="G119" s="534"/>
      <c r="H119" s="534"/>
      <c r="I119" s="534"/>
      <c r="J119" s="534"/>
      <c r="K119" s="534"/>
      <c r="L119" s="534"/>
      <c r="M119" s="535"/>
      <c r="N119" s="1151"/>
      <c r="O119" s="1151"/>
      <c r="P119" s="45"/>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zoomScaleSheetLayoutView="96" workbookViewId="0">
      <selection activeCell="M20" sqref="M20"/>
    </sheetView>
  </sheetViews>
  <sheetFormatPr defaultColWidth="12" defaultRowHeight="12.75"/>
  <cols>
    <col min="1" max="1" width="9.75" style="2783" customWidth="1"/>
    <col min="2" max="2" width="19.25" style="2889" customWidth="1"/>
    <col min="3" max="4" width="12" style="2707"/>
    <col min="5" max="5" width="14.625" style="2707" customWidth="1"/>
    <col min="6" max="8" width="12" style="2707"/>
    <col min="9" max="9" width="12.25" style="2707" bestFit="1" customWidth="1"/>
    <col min="10" max="10" width="12" style="2707"/>
    <col min="11" max="11" width="8.125" style="2775" customWidth="1"/>
    <col min="12" max="12" width="12" style="2707"/>
    <col min="13" max="13" width="8.5" style="2707" customWidth="1"/>
    <col min="14" max="14" width="9.75" style="2707" customWidth="1"/>
    <col min="15" max="25" width="12" style="2707"/>
    <col min="26" max="26" width="9.375" style="2783" customWidth="1"/>
    <col min="27" max="32" width="9.375" style="1368" customWidth="1"/>
    <col min="33" max="36" width="9.375" style="2783" customWidth="1"/>
    <col min="37" max="38" width="9.375" style="2707" customWidth="1"/>
    <col min="39" max="16384" width="12" style="2707"/>
  </cols>
  <sheetData>
    <row r="1" spans="1:36" ht="28.5">
      <c r="A1" s="238" t="s">
        <v>2788</v>
      </c>
      <c r="B1" s="239"/>
      <c r="C1" s="243" t="s">
        <v>2789</v>
      </c>
      <c r="D1" s="386">
        <f>SUM(D29:D30,D33:D39)</f>
        <v>0</v>
      </c>
      <c r="E1" s="2704"/>
      <c r="F1" s="2704"/>
      <c r="G1" s="2704"/>
      <c r="H1" s="2704"/>
      <c r="I1" s="2704"/>
      <c r="J1" s="2704"/>
      <c r="K1" s="1366"/>
      <c r="L1" s="2705" t="s">
        <v>2790</v>
      </c>
      <c r="M1" s="1078">
        <f>SUMPRODUCT((区片价!B5:B9=I2)*(区片价!C3:F3=E2)*(区片价!C5:F9))</f>
        <v>0</v>
      </c>
      <c r="N1" s="1081">
        <f>SUMPRODUCT((因素修正幅度!B5:B9=I2)*(因素修正幅度!C3:F3=E2)*(因素修正幅度!C5:F9))</f>
        <v>0</v>
      </c>
      <c r="O1" s="2706"/>
      <c r="P1" s="2706"/>
      <c r="Q1" s="1366"/>
      <c r="R1" s="1597" t="s">
        <v>2791</v>
      </c>
      <c r="S1" s="1597" t="s">
        <v>2792</v>
      </c>
      <c r="T1" s="1597" t="s">
        <v>2793</v>
      </c>
      <c r="U1" s="1597" t="s">
        <v>2794</v>
      </c>
      <c r="V1" s="1597" t="s">
        <v>2795</v>
      </c>
      <c r="W1" s="1601"/>
      <c r="X1" s="1601"/>
      <c r="Y1" s="1601"/>
      <c r="Z1" s="1601"/>
      <c r="AA1" s="1601"/>
      <c r="AB1" s="1601"/>
      <c r="AC1" s="1602"/>
      <c r="AD1" s="1603"/>
      <c r="AE1" s="1603"/>
      <c r="AF1" s="1603"/>
      <c r="AG1" s="1603"/>
      <c r="AH1" s="1603"/>
      <c r="AI1" s="1603"/>
      <c r="AJ1" s="1604"/>
    </row>
    <row r="2" spans="1:36" ht="15.75">
      <c r="A2" s="243" t="s">
        <v>2796</v>
      </c>
      <c r="B2" s="246" t="e">
        <f>C26</f>
        <v>#DIV/0!</v>
      </c>
      <c r="C2" s="2708" t="s">
        <v>2797</v>
      </c>
      <c r="D2" s="2709" t="s">
        <v>2798</v>
      </c>
      <c r="E2" s="2710"/>
      <c r="F2" s="2709" t="s">
        <v>2799</v>
      </c>
      <c r="G2" s="2711">
        <f>IF(E2="商业",项目基本情况!B37,IF(E2="办公",项目基本情况!C37,IF(E2="住宅",项目基本情况!D37,项目基本情况!E37)))</f>
        <v>0</v>
      </c>
      <c r="H2" s="2709" t="s">
        <v>2800</v>
      </c>
      <c r="I2" s="2711">
        <f>IF(E2="商业",项目基本情况!B38,IF(E2="办公",项目基本情况!C38,IF(E2="住宅",项目基本情况!D38,项目基本情况!E38)))</f>
        <v>0</v>
      </c>
      <c r="J2" s="2712"/>
      <c r="K2" s="1366"/>
      <c r="L2" s="2713" t="s">
        <v>2801</v>
      </c>
      <c r="M2" s="1079">
        <f>SUMPRODUCT((区片价!B10:B28=I2)*(区片价!C3:F3=E2)*(区片价!C10:F28))</f>
        <v>0</v>
      </c>
      <c r="N2" s="1081">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5" t="s">
        <v>2802</v>
      </c>
      <c r="B3" s="246" t="e">
        <f>ROUND(B2*10000/D1,0)</f>
        <v>#DIV/0!</v>
      </c>
      <c r="C3" s="2708" t="s">
        <v>2803</v>
      </c>
      <c r="D3" s="2709" t="s">
        <v>2804</v>
      </c>
      <c r="E3" s="2714"/>
      <c r="F3" s="2715" t="s">
        <v>2805</v>
      </c>
      <c r="G3" s="911">
        <f>IF(F3="宗地容积率",'数据-汇总表'!I4,IF(F3="估价对象容积率",'数据-汇总表'!I6,'数据-汇总表'!I7))</f>
        <v>0.93</v>
      </c>
      <c r="H3" s="196" t="s">
        <v>2806</v>
      </c>
      <c r="I3" s="942"/>
      <c r="J3" s="2712" t="s">
        <v>2807</v>
      </c>
      <c r="K3" s="1366"/>
      <c r="L3" s="2713" t="s">
        <v>2808</v>
      </c>
      <c r="M3" s="1079">
        <f>SUMPRODUCT((区片价!B29:B48=I2)*(区片价!C3:F3=E2)*(区片价!C29:F48))</f>
        <v>0</v>
      </c>
      <c r="N3" s="1081">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72"/>
      <c r="B4" s="3373"/>
      <c r="C4" s="3373"/>
      <c r="D4" s="3374"/>
      <c r="E4" s="3374"/>
      <c r="F4" s="3374"/>
      <c r="G4" s="3374"/>
      <c r="H4" s="3374"/>
      <c r="I4" s="3374"/>
      <c r="J4" s="3375"/>
      <c r="K4" s="1366"/>
      <c r="L4" s="2713" t="s">
        <v>2809</v>
      </c>
      <c r="M4" s="1079">
        <f>SUMPRODUCT((区片价!B49:B75=I2)*(区片价!C3:F3=E2)*(区片价!C49:F75))</f>
        <v>0</v>
      </c>
      <c r="N4" s="1081">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5" customFormat="1" ht="15.75" thickBot="1">
      <c r="A5" s="2716" t="s">
        <v>807</v>
      </c>
      <c r="B5" s="2717" t="s">
        <v>2810</v>
      </c>
      <c r="C5" s="912" t="e">
        <f>ROUND(IF(E2="商业",IF(F16="增加",C6*C7+C16,C6*C7-C16),IF(E2="住宅",IF(F16="增加",C6*C12+C16,C6*C12-C16),IF(F16="增加",C6+C16,C6-C16))),0)</f>
        <v>#DIV/0!</v>
      </c>
      <c r="D5" s="1782">
        <f>ROUND(IF(E2="商业",IF(F16="增加",C6+C16,C6-C16)),0)</f>
        <v>0</v>
      </c>
      <c r="E5" s="2718"/>
      <c r="F5" s="2718"/>
      <c r="G5" s="2719"/>
      <c r="H5" s="2719"/>
      <c r="I5" s="2719"/>
      <c r="J5" s="2720"/>
      <c r="K5" s="2721"/>
      <c r="L5" s="2713" t="s">
        <v>2811</v>
      </c>
      <c r="M5" s="1079">
        <f>SUMPRODUCT((区片价!B76:B109=I2)*(区片价!C3:F3=E2)*(区片价!C76:F109))</f>
        <v>0</v>
      </c>
      <c r="N5" s="1081">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2"/>
      <c r="AD5" s="2723"/>
      <c r="AE5" s="2723"/>
      <c r="AF5" s="2723"/>
      <c r="AG5" s="2723"/>
      <c r="AH5" s="2723"/>
      <c r="AI5" s="2723"/>
      <c r="AJ5" s="2724"/>
    </row>
    <row r="6" spans="1:36" ht="15.75" thickBot="1">
      <c r="A6" s="2726" t="s">
        <v>2812</v>
      </c>
      <c r="B6" s="2727" t="s">
        <v>2813</v>
      </c>
      <c r="C6" s="913">
        <f>SUMIF(L1:L12,G2,M1:M12)</f>
        <v>0</v>
      </c>
      <c r="D6" s="2728" t="s">
        <v>2814</v>
      </c>
      <c r="E6" s="2729"/>
      <c r="F6" s="2729"/>
      <c r="G6" s="2730"/>
      <c r="H6" s="2730"/>
      <c r="I6" s="2730"/>
      <c r="J6" s="2731"/>
      <c r="K6" s="1837"/>
      <c r="L6" s="2713" t="s">
        <v>2815</v>
      </c>
      <c r="M6" s="1079">
        <f>SUMPRODUCT((区片价!B110:B157=I2)*(区片价!C3:F3=E2)*(区片价!C110:F157))</f>
        <v>0</v>
      </c>
      <c r="N6" s="1081">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2"/>
      <c r="AD6" s="2723"/>
      <c r="AE6" s="2723"/>
      <c r="AF6" s="2723"/>
      <c r="AG6" s="2723"/>
      <c r="AH6" s="2723"/>
      <c r="AI6" s="2723"/>
      <c r="AJ6" s="2724"/>
    </row>
    <row r="7" spans="1:36" ht="24">
      <c r="A7" s="3358" t="str">
        <f>IF(E2="商业",IF(C8="不临58条商业街","",2),"")</f>
        <v/>
      </c>
      <c r="B7" s="2732" t="s">
        <v>2816</v>
      </c>
      <c r="C7" s="914" t="e">
        <f>IF(C8="不临58条商业街",1,ROUND(1+(1.6*E8+1.2*E9+0.8*E10+0.4*E11)*C9,4))</f>
        <v>#DIV/0!</v>
      </c>
      <c r="D7" s="2733" t="s">
        <v>2817</v>
      </c>
      <c r="E7" s="943"/>
      <c r="F7" s="2734"/>
      <c r="G7" s="2735"/>
      <c r="H7" s="2735"/>
      <c r="I7" s="2735"/>
      <c r="J7" s="2736"/>
      <c r="K7" s="1837"/>
      <c r="L7" s="2713" t="s">
        <v>2818</v>
      </c>
      <c r="M7" s="1079">
        <f>SUMPRODUCT((区片价!B158:B205=I2)*(区片价!C3:F3=E2)*(区片价!C158:F205))</f>
        <v>0</v>
      </c>
      <c r="N7" s="1081">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2819</v>
      </c>
      <c r="X7" s="1599">
        <f>G2</f>
        <v>0</v>
      </c>
      <c r="Y7" s="1599" t="s">
        <v>2820</v>
      </c>
      <c r="Z7" s="1600">
        <f>G3</f>
        <v>0.93</v>
      </c>
      <c r="AA7" s="1601"/>
      <c r="AB7" s="1601"/>
      <c r="AC7" s="1602"/>
      <c r="AD7" s="1603"/>
      <c r="AE7" s="1603"/>
      <c r="AF7" s="1603"/>
      <c r="AG7" s="1603"/>
      <c r="AH7" s="1603"/>
      <c r="AI7" s="1603"/>
      <c r="AJ7" s="1604"/>
    </row>
    <row r="8" spans="1:36" ht="15">
      <c r="A8" s="3359"/>
      <c r="B8" s="196" t="s">
        <v>2821</v>
      </c>
      <c r="C8" s="2737"/>
      <c r="D8" s="915" t="s">
        <v>139</v>
      </c>
      <c r="E8" s="916" t="e">
        <f>ROUND(C11/E7,4)</f>
        <v>#DIV/0!</v>
      </c>
      <c r="F8" s="2738" t="s">
        <v>2822</v>
      </c>
      <c r="G8" s="2739"/>
      <c r="H8" s="2739"/>
      <c r="I8" s="2739"/>
      <c r="J8" s="2740"/>
      <c r="K8" s="1366"/>
      <c r="L8" s="2713" t="s">
        <v>2823</v>
      </c>
      <c r="M8" s="1079">
        <f>SUMPRODUCT((区片价!B206:B244=I2)*(区片价!C3:F3=E2)*(区片价!C206:F244))</f>
        <v>0</v>
      </c>
      <c r="N8" s="1081">
        <f>SUMPRODUCT((因素修正幅度!B206:B244=I2)*(因素修正幅度!C3:F3=E2)*(因素修正幅度!C206:F244))</f>
        <v>0</v>
      </c>
      <c r="O8" s="1366"/>
      <c r="P8" s="1366"/>
      <c r="Q8" s="1366"/>
      <c r="R8" s="1597">
        <v>7</v>
      </c>
      <c r="S8" s="1598"/>
      <c r="T8" s="1597" t="e">
        <f t="shared" si="0"/>
        <v>#DIV/0!</v>
      </c>
      <c r="U8" s="1598"/>
      <c r="V8" s="1597" t="e">
        <f t="shared" si="1"/>
        <v>#DIV/0!</v>
      </c>
      <c r="W8" s="3369" t="s">
        <v>2824</v>
      </c>
      <c r="X8" s="3370"/>
      <c r="Y8" s="1605" t="s">
        <v>2825</v>
      </c>
      <c r="Z8" s="1605" t="s">
        <v>2826</v>
      </c>
      <c r="AA8" s="1605" t="s">
        <v>2827</v>
      </c>
      <c r="AB8" s="1605" t="s">
        <v>2828</v>
      </c>
      <c r="AC8" s="1605" t="s">
        <v>2829</v>
      </c>
      <c r="AD8" s="1605" t="s">
        <v>2830</v>
      </c>
      <c r="AE8" s="1605" t="s">
        <v>2831</v>
      </c>
      <c r="AF8" s="1605" t="s">
        <v>2832</v>
      </c>
      <c r="AG8" s="1605" t="s">
        <v>2833</v>
      </c>
      <c r="AH8" s="1605" t="s">
        <v>2834</v>
      </c>
      <c r="AI8" s="1605" t="s">
        <v>2835</v>
      </c>
      <c r="AJ8" s="1605" t="s">
        <v>2836</v>
      </c>
    </row>
    <row r="9" spans="1:36" ht="15">
      <c r="A9" s="3359"/>
      <c r="B9" s="196" t="s">
        <v>2837</v>
      </c>
      <c r="C9" s="917">
        <f>SUMIF(修正!C59:C119,C8,修正!E59:E119)</f>
        <v>0</v>
      </c>
      <c r="D9" s="198" t="s">
        <v>140</v>
      </c>
      <c r="E9" s="198" t="e">
        <f>ROUND(C11/E7,4)</f>
        <v>#DIV/0!</v>
      </c>
      <c r="F9" s="2738" t="s">
        <v>2838</v>
      </c>
      <c r="G9" s="2739"/>
      <c r="H9" s="2739"/>
      <c r="I9" s="2739"/>
      <c r="J9" s="2740"/>
      <c r="K9" s="1366"/>
      <c r="L9" s="2713" t="s">
        <v>2839</v>
      </c>
      <c r="M9" s="1079">
        <f>SUMPRODUCT((区片价!B245:B289=I2)*(区片价!C3:F3=E2)*(区片价!C245:F289))</f>
        <v>0</v>
      </c>
      <c r="N9" s="1081">
        <f>SUMPRODUCT((因素修正幅度!B245:B289=I2)*(因素修正幅度!C3:F3=E2)*(因素修正幅度!C245:F289))</f>
        <v>0</v>
      </c>
      <c r="O9" s="1366"/>
      <c r="P9" s="1366"/>
      <c r="Q9" s="1366"/>
      <c r="R9" s="1597">
        <v>8</v>
      </c>
      <c r="S9" s="1598"/>
      <c r="T9" s="1597" t="e">
        <f t="shared" si="0"/>
        <v>#DIV/0!</v>
      </c>
      <c r="U9" s="1598"/>
      <c r="V9" s="1597" t="e">
        <f t="shared" si="1"/>
        <v>#DIV/0!</v>
      </c>
      <c r="W9" s="3371" t="s">
        <v>2840</v>
      </c>
      <c r="X9" s="1606" t="s">
        <v>2841</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59"/>
      <c r="B10" s="196" t="s">
        <v>2842</v>
      </c>
      <c r="C10" s="198">
        <f>SUMIF(修正!C59:C119,C8,修正!F59:F119)</f>
        <v>0</v>
      </c>
      <c r="D10" s="198" t="s">
        <v>141</v>
      </c>
      <c r="E10" s="198" t="e">
        <f>ROUND(C11/E7,4)</f>
        <v>#DIV/0!</v>
      </c>
      <c r="F10" s="2738" t="s">
        <v>2843</v>
      </c>
      <c r="G10" s="2739"/>
      <c r="H10" s="2739"/>
      <c r="I10" s="2739"/>
      <c r="J10" s="2740"/>
      <c r="K10" s="1366"/>
      <c r="L10" s="2713" t="s">
        <v>2844</v>
      </c>
      <c r="M10" s="1079">
        <f>SUMPRODUCT((区片价!B290:B316=I2)*(区片价!C3:F3=E2)*(区片价!C290:F316))</f>
        <v>0</v>
      </c>
      <c r="N10" s="1081">
        <f>SUMPRODUCT((因素修正幅度!B290:B316=I2)*(因素修正幅度!C3:F3=E2)*(因素修正幅度!C290:F316))</f>
        <v>0</v>
      </c>
      <c r="O10" s="1366"/>
      <c r="P10" s="1366"/>
      <c r="Q10" s="1366"/>
      <c r="R10" s="1597">
        <v>9</v>
      </c>
      <c r="S10" s="1598"/>
      <c r="T10" s="1597" t="e">
        <f t="shared" si="0"/>
        <v>#DIV/0!</v>
      </c>
      <c r="U10" s="1598"/>
      <c r="V10" s="1597" t="e">
        <f t="shared" si="1"/>
        <v>#DIV/0!</v>
      </c>
      <c r="W10" s="3371"/>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59"/>
      <c r="B11" s="2741" t="s">
        <v>2845</v>
      </c>
      <c r="C11" s="918">
        <f>C10/4</f>
        <v>0</v>
      </c>
      <c r="D11" s="918" t="s">
        <v>142</v>
      </c>
      <c r="E11" s="918" t="e">
        <f>ROUND(C11/E7,4)</f>
        <v>#DIV/0!</v>
      </c>
      <c r="F11" s="2742" t="s">
        <v>2846</v>
      </c>
      <c r="G11" s="2743"/>
      <c r="H11" s="2743"/>
      <c r="I11" s="2743"/>
      <c r="J11" s="2744"/>
      <c r="K11" s="1366"/>
      <c r="L11" s="2713" t="s">
        <v>2847</v>
      </c>
      <c r="M11" s="1079">
        <f>SUMPRODUCT((区片价!B317:B337=I2)*(区片价!C3:F3=E2)*(区片价!C317:F337))</f>
        <v>0</v>
      </c>
      <c r="N11" s="1081">
        <f>SUMPRODUCT((因素修正幅度!B317:B337=I2)*(因素修正幅度!C3:F3=E2)*(因素修正幅度!C317:F337))</f>
        <v>0</v>
      </c>
      <c r="O11" s="1366"/>
      <c r="P11" s="1366"/>
      <c r="Q11" s="1366"/>
      <c r="R11" s="1597">
        <v>10</v>
      </c>
      <c r="S11" s="1598"/>
      <c r="T11" s="1597" t="e">
        <f t="shared" si="0"/>
        <v>#DIV/0!</v>
      </c>
      <c r="U11" s="1598"/>
      <c r="V11" s="1597" t="e">
        <f t="shared" si="1"/>
        <v>#DIV/0!</v>
      </c>
      <c r="W11" s="3371" t="s">
        <v>2848</v>
      </c>
      <c r="X11" s="1609" t="s">
        <v>2849</v>
      </c>
      <c r="Y11" s="1610">
        <f>$G$3</f>
        <v>0.93</v>
      </c>
      <c r="Z11" s="1610">
        <f t="shared" ref="Z11:AJ11" si="3">$G$3</f>
        <v>0.93</v>
      </c>
      <c r="AA11" s="1610">
        <f t="shared" si="3"/>
        <v>0.93</v>
      </c>
      <c r="AB11" s="1610">
        <f t="shared" si="3"/>
        <v>0.93</v>
      </c>
      <c r="AC11" s="1610">
        <f t="shared" si="3"/>
        <v>0.93</v>
      </c>
      <c r="AD11" s="1610">
        <f t="shared" si="3"/>
        <v>0.93</v>
      </c>
      <c r="AE11" s="1610">
        <f t="shared" si="3"/>
        <v>0.93</v>
      </c>
      <c r="AF11" s="1610">
        <f t="shared" si="3"/>
        <v>0.93</v>
      </c>
      <c r="AG11" s="1610">
        <f t="shared" si="3"/>
        <v>0.93</v>
      </c>
      <c r="AH11" s="1610">
        <f t="shared" si="3"/>
        <v>0.93</v>
      </c>
      <c r="AI11" s="1610">
        <f t="shared" si="3"/>
        <v>0.93</v>
      </c>
      <c r="AJ11" s="1610">
        <f t="shared" si="3"/>
        <v>0.93</v>
      </c>
    </row>
    <row r="12" spans="1:36" ht="25.5" thickBot="1">
      <c r="A12" s="3358" t="s">
        <v>2850</v>
      </c>
      <c r="B12" s="2745" t="s">
        <v>2851</v>
      </c>
      <c r="C12" s="914">
        <f>ROUND(C15*D15*E15*F15*G15*H15*I15*J15,4)</f>
        <v>1</v>
      </c>
      <c r="D12" s="2746" t="s">
        <v>2852</v>
      </c>
      <c r="E12" s="2747"/>
      <c r="F12" s="2747"/>
      <c r="G12" s="2748"/>
      <c r="H12" s="2748"/>
      <c r="I12" s="2748"/>
      <c r="J12" s="2749"/>
      <c r="K12" s="1366"/>
      <c r="L12" s="2750" t="s">
        <v>2853</v>
      </c>
      <c r="M12" s="1080">
        <f>SUMPRODUCT((区片价!B338:B344=I2)*(区片价!C3:F3=E2)*(区片价!C338:F344))</f>
        <v>0</v>
      </c>
      <c r="N12" s="1081">
        <f>SUMPRODUCT((因素修正幅度!B338:B344=I2)*(因素修正幅度!C3:F3=E2)*(因素修正幅度!C338:F344))</f>
        <v>0</v>
      </c>
      <c r="O12" s="1366"/>
      <c r="P12" s="1366"/>
      <c r="Q12" s="1366"/>
      <c r="R12" s="1597">
        <v>11</v>
      </c>
      <c r="S12" s="1598"/>
      <c r="T12" s="1597" t="e">
        <f t="shared" si="0"/>
        <v>#DIV/0!</v>
      </c>
      <c r="U12" s="1598"/>
      <c r="V12" s="1597" t="e">
        <f t="shared" si="1"/>
        <v>#DIV/0!</v>
      </c>
      <c r="W12" s="3371"/>
      <c r="X12" s="1611" t="s">
        <v>2854</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76"/>
      <c r="B13" s="2751" t="s">
        <v>2855</v>
      </c>
      <c r="C13" s="2752" t="s">
        <v>2856</v>
      </c>
      <c r="D13" s="1803" t="s">
        <v>2857</v>
      </c>
      <c r="E13" s="1803" t="s">
        <v>2858</v>
      </c>
      <c r="F13" s="30" t="s">
        <v>2859</v>
      </c>
      <c r="G13" s="2753" t="s">
        <v>2860</v>
      </c>
      <c r="H13" s="2753" t="s">
        <v>2860</v>
      </c>
      <c r="I13" s="2753" t="s">
        <v>2860</v>
      </c>
      <c r="J13" s="2754" t="s">
        <v>2860</v>
      </c>
      <c r="K13" s="1366"/>
      <c r="L13" s="1366"/>
      <c r="M13" s="1366"/>
      <c r="N13" s="1366"/>
      <c r="O13" s="1366"/>
      <c r="P13" s="1366"/>
      <c r="Q13" s="1366"/>
      <c r="R13" s="1597">
        <v>12</v>
      </c>
      <c r="S13" s="1598"/>
      <c r="T13" s="1597" t="e">
        <f t="shared" si="0"/>
        <v>#DIV/0!</v>
      </c>
      <c r="U13" s="1598"/>
      <c r="V13" s="1597" t="e">
        <f t="shared" si="1"/>
        <v>#DIV/0!</v>
      </c>
      <c r="W13" s="3371"/>
      <c r="X13" s="1611"/>
      <c r="Y13" s="1608">
        <f>(-0.163*(Y12^2)-0.59*Y12+7617)*(10^(-4))/Y11</f>
        <v>0.81903225806451618</v>
      </c>
      <c r="Z13" s="1608">
        <f t="shared" ref="Z13:AJ13" si="5">(-0.163*(Z12^2)-0.59*Z12+7617)*(10^(-4))/Z11</f>
        <v>0.81903225806451618</v>
      </c>
      <c r="AA13" s="1608">
        <f t="shared" si="5"/>
        <v>0.81903225806451618</v>
      </c>
      <c r="AB13" s="1608">
        <f t="shared" si="5"/>
        <v>0.81903225806451618</v>
      </c>
      <c r="AC13" s="1608">
        <f t="shared" si="5"/>
        <v>0.81903225806451618</v>
      </c>
      <c r="AD13" s="1608">
        <f t="shared" si="5"/>
        <v>0.81903225806451618</v>
      </c>
      <c r="AE13" s="1608">
        <f t="shared" si="5"/>
        <v>0.81903225806451618</v>
      </c>
      <c r="AF13" s="1608">
        <f t="shared" si="5"/>
        <v>0.81903225806451618</v>
      </c>
      <c r="AG13" s="1608">
        <f t="shared" si="5"/>
        <v>0.81903225806451618</v>
      </c>
      <c r="AH13" s="1608">
        <f t="shared" si="5"/>
        <v>0.81903225806451618</v>
      </c>
      <c r="AI13" s="1608">
        <f t="shared" si="5"/>
        <v>0.81903225806451618</v>
      </c>
      <c r="AJ13" s="1608">
        <f t="shared" si="5"/>
        <v>0.81903225806451618</v>
      </c>
    </row>
    <row r="14" spans="1:36" ht="15">
      <c r="A14" s="3376"/>
      <c r="B14" s="2755"/>
      <c r="C14" s="2756"/>
      <c r="D14" s="2757"/>
      <c r="E14" s="2757"/>
      <c r="F14" s="2758"/>
      <c r="G14" s="2759" t="s">
        <v>2861</v>
      </c>
      <c r="H14" s="2760"/>
      <c r="I14" s="2761"/>
      <c r="J14" s="2762"/>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77"/>
      <c r="B15" s="2763" t="s">
        <v>2862</v>
      </c>
      <c r="C15" s="227">
        <f>IF(C14="有",1.1,1)</f>
        <v>1</v>
      </c>
      <c r="D15" s="227">
        <f>IF(D14="有",1.1,1)</f>
        <v>1</v>
      </c>
      <c r="E15" s="227">
        <f>IF(E14="有",1.1,1)</f>
        <v>1</v>
      </c>
      <c r="F15" s="227">
        <f>IF(F14="500米范围内",1.2,IF(F14="500-1000米",1.1,1))</f>
        <v>1</v>
      </c>
      <c r="G15" s="944">
        <v>1</v>
      </c>
      <c r="H15" s="944">
        <v>1</v>
      </c>
      <c r="I15" s="944">
        <v>1</v>
      </c>
      <c r="J15" s="945">
        <v>1</v>
      </c>
      <c r="K15" s="1366"/>
      <c r="L15" s="2764" t="s">
        <v>2798</v>
      </c>
      <c r="M15" s="915" t="s">
        <v>2863</v>
      </c>
      <c r="N15" s="915" t="s">
        <v>2864</v>
      </c>
      <c r="O15" s="915" t="s">
        <v>2865</v>
      </c>
      <c r="P15" s="2765" t="s">
        <v>2866</v>
      </c>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358" t="s">
        <v>2867</v>
      </c>
      <c r="B16" s="2732" t="s">
        <v>2868</v>
      </c>
      <c r="C16" s="1796" t="e">
        <f>ROUND(SUM(G17:J17)/C17,0)</f>
        <v>#DIV/0!</v>
      </c>
      <c r="D16" s="2766" t="s">
        <v>2869</v>
      </c>
      <c r="E16" s="2767"/>
      <c r="F16" s="2768"/>
      <c r="G16" s="2769"/>
      <c r="H16" s="2769"/>
      <c r="I16" s="2769"/>
      <c r="J16" s="2770"/>
      <c r="K16" s="1366"/>
      <c r="L16" s="2771" t="s">
        <v>2870</v>
      </c>
      <c r="M16" s="917">
        <v>0.25</v>
      </c>
      <c r="N16" s="917">
        <v>0.2</v>
      </c>
      <c r="O16" s="917">
        <v>0.15</v>
      </c>
      <c r="P16" s="1365">
        <v>0.1</v>
      </c>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59"/>
      <c r="B17" s="2772" t="s">
        <v>2871</v>
      </c>
      <c r="C17" s="919">
        <f>SUMPRODUCT((修正!A2:A5=E2)*(修正!B1:M1=G2)*(修正!B2:M5))</f>
        <v>0</v>
      </c>
      <c r="D17" s="2773" t="s">
        <v>2872</v>
      </c>
      <c r="E17" s="918" t="str">
        <f>IF(OR(G2="八级",G2="九级",G2="十级",G2="十一级",G2="十二级"),"五通一平","七通一平")</f>
        <v>七通一平</v>
      </c>
      <c r="F17" s="919" t="s">
        <v>2873</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6"/>
      <c r="L17" s="2774" t="s">
        <v>2874</v>
      </c>
      <c r="M17" s="209">
        <f ca="1">ROUND($E$20*(1+M16),3)</f>
        <v>5.3999999999999999E-2</v>
      </c>
      <c r="N17" s="209">
        <f ca="1">ROUND($E$20*(1+N16),3)</f>
        <v>5.1999999999999998E-2</v>
      </c>
      <c r="O17" s="209">
        <f ca="1">ROUND($E$20*(1+O16),3)</f>
        <v>0.05</v>
      </c>
      <c r="P17" s="1369">
        <f ca="1">ROUND($E$20*(1+P16),3)</f>
        <v>4.8000000000000001E-2</v>
      </c>
      <c r="Q17" s="1366"/>
      <c r="R17" s="1366"/>
      <c r="S17" s="1366"/>
      <c r="T17" s="1366"/>
      <c r="U17" s="1366"/>
      <c r="V17" s="1366"/>
      <c r="W17" s="1366"/>
      <c r="X17" s="1366"/>
      <c r="Y17" s="1366"/>
      <c r="Z17" s="1367"/>
      <c r="AE17" s="2775"/>
      <c r="AF17" s="2775"/>
      <c r="AG17" s="2707"/>
      <c r="AH17" s="2707"/>
      <c r="AI17" s="2707"/>
      <c r="AJ17" s="2707"/>
    </row>
    <row r="18" spans="1:37" s="2725" customFormat="1" ht="15.75" thickBot="1">
      <c r="A18" s="2776" t="s">
        <v>808</v>
      </c>
      <c r="B18" s="2777" t="s">
        <v>2875</v>
      </c>
      <c r="C18" s="921">
        <f>SUMIF(修正!C18:C39,E3,修正!E18:E39)</f>
        <v>0</v>
      </c>
      <c r="D18" s="2778"/>
      <c r="E18" s="2779"/>
      <c r="F18" s="2780"/>
      <c r="G18" s="2781"/>
      <c r="H18" s="2781"/>
      <c r="I18" s="2781"/>
      <c r="J18" s="2782"/>
      <c r="K18" s="1373"/>
      <c r="O18" s="1371"/>
      <c r="P18" s="1371"/>
      <c r="Q18" s="1372"/>
      <c r="R18" s="1372"/>
      <c r="S18" s="1372"/>
      <c r="T18" s="1367"/>
      <c r="U18" s="1367"/>
      <c r="V18" s="1367"/>
      <c r="W18" s="1366"/>
      <c r="X18" s="1366"/>
      <c r="Y18" s="1366"/>
      <c r="Z18" s="1373"/>
      <c r="AA18" s="1374"/>
      <c r="AB18" s="1374"/>
      <c r="AC18" s="1374"/>
      <c r="AD18" s="1374"/>
      <c r="AE18" s="1368"/>
      <c r="AF18" s="1368"/>
      <c r="AG18" s="2783"/>
      <c r="AH18" s="2783"/>
      <c r="AI18" s="2783"/>
    </row>
    <row r="19" spans="1:37" s="2725" customFormat="1" ht="27.75" thickBot="1">
      <c r="A19" s="2776" t="s">
        <v>809</v>
      </c>
      <c r="B19" s="2777" t="s">
        <v>2876</v>
      </c>
      <c r="C19" s="922" t="e">
        <f>ROUND(IF(H19="按公示增长率计算",SUMPRODUCT((地价!A3:A21=YEAR(G19)&amp;"-"&amp;ROUNDUP(MONTH(G19)/3,0))*(地价!X2:AB2=E2)*(地价!X3:AB21)),IF(H19="地价指数",M20/M19,(1+I19)^O19)),4)</f>
        <v>#DIV/0!</v>
      </c>
      <c r="D19" s="2784" t="s">
        <v>2877</v>
      </c>
      <c r="E19" s="923">
        <v>41640</v>
      </c>
      <c r="F19" s="2784" t="s">
        <v>2878</v>
      </c>
      <c r="G19" s="924">
        <f>'数据-取费表'!B2</f>
        <v>43207</v>
      </c>
      <c r="H19" s="2785" t="s">
        <v>2879</v>
      </c>
      <c r="I19" s="925" t="str">
        <f>IF(H19="季度增幅（自定义）",SUMIF(N21:N24,E2,O21:O24),"")</f>
        <v/>
      </c>
      <c r="J19" s="2782"/>
      <c r="K19" s="1373"/>
      <c r="L19" s="2786" t="s">
        <v>2880</v>
      </c>
      <c r="M19" s="1729">
        <f>ROUND(SUMIF(地价!B2:F2,E2,地价!B21:F21),0)</f>
        <v>0</v>
      </c>
      <c r="N19" s="2787" t="s">
        <v>2881</v>
      </c>
      <c r="O19" s="926">
        <f>ROUNDDOWN(DATEDIF(E19,G19,"M")/3,0)</f>
        <v>17</v>
      </c>
      <c r="P19" s="1370"/>
      <c r="Q19" s="1372"/>
      <c r="R19" s="1372"/>
      <c r="S19" s="1372"/>
      <c r="T19" s="1367"/>
      <c r="U19" s="1367"/>
      <c r="V19" s="1367"/>
      <c r="W19" s="1366"/>
      <c r="X19" s="1366"/>
      <c r="Y19" s="1366"/>
      <c r="Z19" s="1373"/>
      <c r="AA19" s="1374"/>
      <c r="AB19" s="1374"/>
      <c r="AC19" s="1374"/>
      <c r="AD19" s="1374"/>
      <c r="AE19" s="1374"/>
      <c r="AF19" s="2788"/>
      <c r="AG19" s="2789"/>
      <c r="AH19" s="2783"/>
      <c r="AI19" s="2790"/>
      <c r="AJ19" s="2790"/>
      <c r="AK19" s="2790"/>
    </row>
    <row r="20" spans="1:37" s="2725" customFormat="1" ht="27.75" thickBot="1">
      <c r="A20" s="2791" t="s">
        <v>810</v>
      </c>
      <c r="B20" s="2792" t="s">
        <v>2882</v>
      </c>
      <c r="C20" s="927" t="e">
        <f>ROUND(POWER(1+G20,J20-I20)*(POWER(1+G20,I20)-1)/(POWER(1+G20,J20)-1),4)</f>
        <v>#DIV/0!</v>
      </c>
      <c r="D20" s="2793" t="s">
        <v>2883</v>
      </c>
      <c r="E20" s="1763">
        <f ca="1">存贷款利率!D4/100</f>
        <v>4.3499999999999997E-2</v>
      </c>
      <c r="F20" s="2793" t="s">
        <v>2874</v>
      </c>
      <c r="G20" s="932">
        <f>SUMIF(M15:P15,E2,M17:P17)</f>
        <v>0</v>
      </c>
      <c r="H20" s="2793" t="s">
        <v>2884</v>
      </c>
      <c r="I20" s="933" t="e">
        <f>SUMIF('数据-取费表'!C6:C15,E2,'数据-取费表'!F6:F15)/COUNTIF('数据-取费表'!C6:C15,E2)</f>
        <v>#DIV/0!</v>
      </c>
      <c r="J20" s="934">
        <f>IF(E2="住宅",70,IF(E2="商业",40,50))</f>
        <v>50</v>
      </c>
      <c r="K20" s="1373"/>
      <c r="L20" s="2794" t="s">
        <v>2885</v>
      </c>
      <c r="M20" s="1730">
        <f>ROUND(SUMPRODUCT((地价!A4:A21=YEAR(G19)&amp;"-"&amp;ROUNDUP(MONTH(G19)/3,0))*(地价!B2:F2=E2)*(地价!B4:F21)),0)</f>
        <v>0</v>
      </c>
      <c r="N20" s="2795" t="s">
        <v>2886</v>
      </c>
      <c r="O20" s="2796" t="s">
        <v>2887</v>
      </c>
      <c r="P20" s="2797" t="s">
        <v>2888</v>
      </c>
      <c r="R20" s="1372"/>
      <c r="S20" s="1372"/>
      <c r="T20" s="1367"/>
      <c r="U20" s="1367"/>
      <c r="V20" s="1367"/>
      <c r="W20" s="1366"/>
      <c r="X20" s="1366"/>
      <c r="Y20" s="1366"/>
      <c r="Z20" s="1373"/>
      <c r="AA20" s="1374"/>
      <c r="AB20" s="1374"/>
      <c r="AC20" s="1374"/>
      <c r="AD20" s="1374"/>
      <c r="AE20" s="1374"/>
      <c r="AF20" s="1374"/>
    </row>
    <row r="21" spans="1:37" s="2725" customFormat="1" ht="15">
      <c r="A21" s="2798" t="s">
        <v>811</v>
      </c>
      <c r="B21" s="2799" t="s">
        <v>2889</v>
      </c>
      <c r="C21" s="935">
        <f>IF(B21="容积率修正",IF(G3&lt;=10,D22,J22),C23)</f>
        <v>0</v>
      </c>
      <c r="D21" s="2800"/>
      <c r="E21" s="2800"/>
      <c r="F21" s="2800"/>
      <c r="G21" s="2800"/>
      <c r="H21" s="2800"/>
      <c r="I21" s="2800"/>
      <c r="J21" s="2801"/>
      <c r="K21" s="1373"/>
      <c r="N21" s="2802" t="s">
        <v>2890</v>
      </c>
      <c r="O21" s="1557"/>
      <c r="P21" s="1558">
        <f>SUMPRODUCT((地价!A3:A21=YEAR(G19)&amp;"-"&amp;ROUNDUP(MONTH(G19)/3,0))*(地价!AD2:AH2=N21)*(地价!AD3:AH21))</f>
        <v>0</v>
      </c>
      <c r="R21" s="1372"/>
      <c r="S21" s="1372"/>
      <c r="T21" s="1367"/>
      <c r="U21" s="1367"/>
      <c r="V21" s="1367"/>
      <c r="W21" s="1366"/>
      <c r="X21" s="1366"/>
      <c r="Y21" s="1366"/>
      <c r="Z21" s="1373"/>
      <c r="AA21" s="1374"/>
      <c r="AB21" s="1374"/>
      <c r="AC21" s="1374"/>
      <c r="AD21" s="1374"/>
      <c r="AE21" s="1374"/>
      <c r="AF21" s="1374"/>
    </row>
    <row r="22" spans="1:37" s="2725" customFormat="1" ht="14.25">
      <c r="A22" s="2651" t="s">
        <v>2891</v>
      </c>
      <c r="B22" s="2803" t="s">
        <v>2892</v>
      </c>
      <c r="C22" s="1805" t="s">
        <v>2893</v>
      </c>
      <c r="D22" s="1805">
        <f>IF(E22=G22,F22,IF(G3&lt;=10,ROUND(F22+(H22-F22)*(G3-E22)/(G22-E22),4),"——"))</f>
        <v>0</v>
      </c>
      <c r="E22" s="911">
        <f>ROUNDDOWN(G3,1)</f>
        <v>0.9</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1</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6" t="str">
        <f>IF(G3&gt;10,D113,"——")</f>
        <v>——</v>
      </c>
      <c r="K22" s="1373"/>
      <c r="N22" s="2802" t="s">
        <v>2894</v>
      </c>
      <c r="O22" s="1557"/>
      <c r="P22" s="1558">
        <f>SUMPRODUCT((地价!A3:A21=YEAR(G19)&amp;"-"&amp;ROUNDUP(MONTH(G19)/3,0))*(地价!AD2:AH2=N22)*(地价!AD3:AH21))</f>
        <v>0</v>
      </c>
      <c r="R22" s="1372"/>
      <c r="S22" s="1372"/>
      <c r="T22" s="1367"/>
      <c r="U22" s="1367"/>
      <c r="V22" s="1367"/>
      <c r="W22" s="1366"/>
      <c r="X22" s="1366"/>
      <c r="Y22" s="1366"/>
      <c r="Z22" s="1373"/>
      <c r="AA22" s="1374"/>
      <c r="AB22" s="1374"/>
      <c r="AC22" s="1374"/>
      <c r="AD22" s="1374"/>
      <c r="AE22" s="1374"/>
      <c r="AF22" s="1374"/>
    </row>
    <row r="23" spans="1:37" ht="27.75" thickBot="1">
      <c r="A23" s="2651" t="s">
        <v>2895</v>
      </c>
      <c r="B23" s="2804" t="s">
        <v>2896</v>
      </c>
      <c r="C23" s="1011">
        <f>ROUND(IF(G3&gt;1,IF(I3&lt;7,SUMPRODUCT((B93:B98=I3)*(C92:N92=G2)*(C93:N98)),SUMIF(C92:N92,G2,C100:N100)),IF(I3&lt;7,SUMPRODUCT((B102:B107=I3)*(C92:N92=G2)*(C102:N107)),SUMIF(C92:N92,G2,C109:N109))),4)</f>
        <v>0</v>
      </c>
      <c r="D23" s="2760"/>
      <c r="E23" s="2760"/>
      <c r="F23" s="2805"/>
      <c r="G23" s="2806"/>
      <c r="H23" s="2807"/>
      <c r="I23" s="2808"/>
      <c r="J23" s="2809"/>
      <c r="K23" s="1366"/>
      <c r="N23" s="2802" t="s">
        <v>2897</v>
      </c>
      <c r="O23" s="1557"/>
      <c r="P23" s="1558">
        <f>SUMPRODUCT((地价!A3:A21=YEAR(G19)&amp;"-"&amp;ROUNDUP(MONTH(G19)/3,0))*(地价!AD2:AH2=N23)*(地价!AD3:AH21))</f>
        <v>0</v>
      </c>
      <c r="R23" s="1372"/>
      <c r="S23" s="1372"/>
      <c r="T23" s="1367"/>
      <c r="U23" s="1367"/>
      <c r="V23" s="1367"/>
      <c r="W23" s="1366"/>
      <c r="X23" s="1366"/>
      <c r="Y23" s="1366"/>
      <c r="Z23" s="1373"/>
      <c r="AA23" s="1374"/>
      <c r="AB23" s="1374"/>
      <c r="AC23" s="1374"/>
      <c r="AD23" s="1374"/>
      <c r="AK23" s="2783"/>
    </row>
    <row r="24" spans="1:37" s="2725" customFormat="1" ht="15.75" thickBot="1">
      <c r="A24" s="2791" t="s">
        <v>812</v>
      </c>
      <c r="B24" s="2777" t="s">
        <v>2898</v>
      </c>
      <c r="C24" s="922">
        <f>SUMIF(A45:A88,E2,B45:B88)</f>
        <v>0</v>
      </c>
      <c r="D24" s="2780"/>
      <c r="E24" s="2810"/>
      <c r="F24" s="2810"/>
      <c r="G24" s="2810"/>
      <c r="H24" s="2810"/>
      <c r="I24" s="2810"/>
      <c r="J24" s="2811"/>
      <c r="K24" s="1373"/>
      <c r="N24" s="2812" t="s">
        <v>2899</v>
      </c>
      <c r="O24" s="1559"/>
      <c r="P24" s="1560">
        <f>SUMPRODUCT((地价!A3:A21=YEAR(G19)&amp;"-"&amp;ROUNDUP(MONTH(G19)/3,0))*(地价!AD2:AH2=N24)*(地价!AD3:AH21))</f>
        <v>0</v>
      </c>
      <c r="R24" s="1372"/>
      <c r="S24" s="1372"/>
      <c r="T24" s="1367"/>
      <c r="U24" s="1367"/>
      <c r="V24" s="1367"/>
      <c r="W24" s="1366"/>
      <c r="X24" s="1366"/>
      <c r="Y24" s="1366"/>
      <c r="Z24" s="1373"/>
      <c r="AA24" s="1374"/>
      <c r="AB24" s="1374"/>
      <c r="AC24" s="1374"/>
      <c r="AD24" s="1374"/>
      <c r="AE24" s="1374"/>
      <c r="AF24" s="1374"/>
    </row>
    <row r="25" spans="1:37" ht="15.75" thickBot="1">
      <c r="A25" s="2791" t="s">
        <v>813</v>
      </c>
      <c r="B25" s="2813" t="s">
        <v>2900</v>
      </c>
      <c r="C25" s="928"/>
      <c r="D25" s="2735"/>
      <c r="E25" s="2735"/>
      <c r="F25" s="2814"/>
      <c r="G25" s="2735"/>
      <c r="H25" s="2735"/>
      <c r="I25" s="2735"/>
      <c r="J25" s="2736"/>
      <c r="K25" s="1366"/>
      <c r="N25" s="2815" t="s">
        <v>2901</v>
      </c>
      <c r="O25" s="1561"/>
      <c r="P25" s="1560">
        <f>SUMPRODUCT((地价!A3:A21=YEAR(G19)&amp;"-"&amp;ROUNDUP(MONTH(G19)/3,0))*(地价!AD2:AH2=N25)*(地价!AD3:AH21))</f>
        <v>0</v>
      </c>
      <c r="R25" s="1372"/>
      <c r="S25" s="1372"/>
      <c r="T25" s="1367"/>
      <c r="U25" s="1367"/>
      <c r="V25" s="1367"/>
      <c r="W25" s="1366"/>
      <c r="X25" s="1366"/>
      <c r="Y25" s="1366"/>
      <c r="Z25" s="1373"/>
      <c r="AA25" s="1374"/>
      <c r="AB25" s="1374"/>
      <c r="AC25" s="1374"/>
      <c r="AD25" s="1374"/>
    </row>
    <row r="26" spans="1:37" ht="15">
      <c r="A26" s="2816"/>
      <c r="B26" s="2803" t="s">
        <v>2902</v>
      </c>
      <c r="C26" s="204" t="e">
        <f>E29+SUM(E33:E39)</f>
        <v>#DIV/0!</v>
      </c>
      <c r="D26" s="2817"/>
      <c r="E26" s="2760"/>
      <c r="F26" s="2818"/>
      <c r="G26" s="2760"/>
      <c r="H26" s="2760"/>
      <c r="I26" s="2760"/>
      <c r="J26" s="2819"/>
      <c r="K26" s="1366"/>
      <c r="R26" s="1372"/>
      <c r="S26" s="1372"/>
      <c r="T26" s="1367"/>
      <c r="U26" s="1367"/>
      <c r="V26" s="1367"/>
      <c r="W26" s="1366"/>
      <c r="X26" s="1366"/>
      <c r="Y26" s="1366"/>
      <c r="Z26" s="1373"/>
      <c r="AA26" s="1374"/>
      <c r="AB26" s="1374"/>
      <c r="AC26" s="1374"/>
      <c r="AD26" s="1374"/>
    </row>
    <row r="27" spans="1:37" ht="15.75" thickBot="1">
      <c r="A27" s="2816"/>
      <c r="B27" s="2820" t="s">
        <v>2903</v>
      </c>
      <c r="C27" s="929" t="e">
        <f>E30+SUM(I33:I39)</f>
        <v>#DIV/0!</v>
      </c>
      <c r="D27" s="2821"/>
      <c r="E27" s="2822"/>
      <c r="F27" s="2823"/>
      <c r="G27" s="2822"/>
      <c r="H27" s="2822"/>
      <c r="I27" s="2822"/>
      <c r="J27" s="2824"/>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25"/>
      <c r="B28" s="2826" t="s">
        <v>2904</v>
      </c>
      <c r="C28" s="2827" t="s">
        <v>2905</v>
      </c>
      <c r="D28" s="2827" t="s">
        <v>2906</v>
      </c>
      <c r="E28" s="2828" t="s">
        <v>2907</v>
      </c>
      <c r="F28" s="2829"/>
      <c r="G28" s="2748"/>
      <c r="H28" s="2748"/>
      <c r="I28" s="2748"/>
      <c r="J28" s="2749"/>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0"/>
      <c r="B29" s="2831" t="s">
        <v>2908</v>
      </c>
      <c r="C29" s="204" t="e">
        <f>ROUND(C5*C18*C19*C20*C21*C24,0)</f>
        <v>#DIV/0!</v>
      </c>
      <c r="D29" s="2832"/>
      <c r="E29" s="940" t="e">
        <f>ROUND(C29*D29/10000,0)</f>
        <v>#DIV/0!</v>
      </c>
      <c r="F29" s="2833" t="s">
        <v>2909</v>
      </c>
      <c r="G29" s="2834"/>
      <c r="H29" s="2834"/>
      <c r="I29" s="2834"/>
      <c r="J29" s="2835"/>
      <c r="K29" s="1366"/>
      <c r="L29" s="1366"/>
      <c r="M29" s="1366"/>
      <c r="N29" s="1366"/>
      <c r="O29" s="1371"/>
      <c r="P29" s="1371"/>
      <c r="Q29" s="1372"/>
      <c r="R29" s="1372"/>
      <c r="S29" s="1372"/>
      <c r="T29" s="1367"/>
      <c r="U29" s="1367"/>
      <c r="V29" s="1367"/>
      <c r="W29" s="1366"/>
      <c r="X29" s="1366"/>
      <c r="Y29" s="1366"/>
      <c r="Z29" s="1373"/>
      <c r="AA29" s="1374"/>
      <c r="AB29" s="1374"/>
      <c r="AC29" s="1374"/>
      <c r="AD29" s="1374"/>
      <c r="AE29" s="2775"/>
      <c r="AF29" s="2775"/>
      <c r="AG29" s="2707"/>
      <c r="AH29" s="2707"/>
      <c r="AI29" s="2707"/>
      <c r="AJ29" s="2707"/>
    </row>
    <row r="30" spans="1:37" ht="25.5" thickBot="1">
      <c r="A30" s="2836"/>
      <c r="B30" s="2837" t="s">
        <v>2910</v>
      </c>
      <c r="C30" s="227" t="e">
        <f>ROUND(IF(E2="工业",C29*M39,C29*M38),0)</f>
        <v>#DIV/0!</v>
      </c>
      <c r="D30" s="2838"/>
      <c r="E30" s="940" t="e">
        <f>ROUND(C30*D30/10000,0)</f>
        <v>#DIV/0!</v>
      </c>
      <c r="F30" s="2839" t="s">
        <v>2911</v>
      </c>
      <c r="G30" s="2840"/>
      <c r="H30" s="2840"/>
      <c r="I30" s="2840"/>
      <c r="J30" s="2841"/>
      <c r="K30" s="1366"/>
      <c r="L30" s="1366"/>
      <c r="M30" s="1366"/>
      <c r="N30" s="1366"/>
      <c r="O30" s="1371"/>
      <c r="P30" s="1371"/>
      <c r="Q30" s="1372"/>
      <c r="R30" s="1372"/>
      <c r="S30" s="1372"/>
      <c r="T30" s="1367"/>
      <c r="U30" s="1367"/>
      <c r="V30" s="1367"/>
      <c r="W30" s="1366"/>
      <c r="X30" s="1366"/>
      <c r="Y30" s="1366"/>
      <c r="Z30" s="1373"/>
      <c r="AA30" s="1374"/>
      <c r="AB30" s="1374"/>
      <c r="AC30" s="1374"/>
      <c r="AD30" s="1374"/>
      <c r="AE30" s="2775"/>
      <c r="AF30" s="2775"/>
      <c r="AG30" s="2707"/>
      <c r="AH30" s="2707"/>
      <c r="AI30" s="2707"/>
      <c r="AJ30" s="2707"/>
    </row>
    <row r="31" spans="1:37" ht="14.25">
      <c r="A31" s="2842"/>
      <c r="B31" s="2843" t="s">
        <v>2912</v>
      </c>
      <c r="C31" s="2844" t="s">
        <v>2913</v>
      </c>
      <c r="D31" s="2748"/>
      <c r="E31" s="2844"/>
      <c r="F31" s="2844"/>
      <c r="G31" s="2746" t="s">
        <v>2914</v>
      </c>
      <c r="H31" s="2748"/>
      <c r="I31" s="2845"/>
      <c r="J31" s="2749"/>
      <c r="K31" s="1366"/>
      <c r="L31" s="1366"/>
      <c r="M31" s="1366"/>
      <c r="N31" s="1366"/>
      <c r="O31" s="1371"/>
      <c r="P31" s="1371"/>
      <c r="Q31" s="1372"/>
      <c r="R31" s="1372"/>
      <c r="S31" s="1372"/>
      <c r="T31" s="1367"/>
      <c r="U31" s="1367"/>
      <c r="V31" s="1367"/>
      <c r="W31" s="1366"/>
      <c r="X31" s="1366"/>
      <c r="Y31" s="1366"/>
      <c r="Z31" s="1373"/>
      <c r="AA31" s="1374"/>
      <c r="AB31" s="1374"/>
      <c r="AC31" s="1374"/>
      <c r="AD31" s="1374"/>
      <c r="AE31" s="2775"/>
      <c r="AF31" s="2775"/>
      <c r="AG31" s="2707"/>
      <c r="AH31" s="2707"/>
      <c r="AI31" s="2707"/>
      <c r="AJ31" s="2707"/>
    </row>
    <row r="32" spans="1:37" ht="24">
      <c r="A32" s="2830"/>
      <c r="B32" s="2846"/>
      <c r="C32" s="499" t="s">
        <v>2905</v>
      </c>
      <c r="D32" s="496" t="s">
        <v>2906</v>
      </c>
      <c r="E32" s="496" t="s">
        <v>2907</v>
      </c>
      <c r="F32" s="386" t="s">
        <v>2915</v>
      </c>
      <c r="G32" s="2847" t="s">
        <v>2905</v>
      </c>
      <c r="H32" s="2847" t="s">
        <v>2906</v>
      </c>
      <c r="I32" s="2847" t="s">
        <v>2907</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75"/>
      <c r="AF32" s="2775"/>
      <c r="AG32" s="2707"/>
      <c r="AH32" s="2707"/>
      <c r="AI32" s="2707"/>
      <c r="AJ32" s="2707"/>
    </row>
    <row r="33" spans="1:37" ht="36" customHeight="1">
      <c r="A33" s="3366" t="s">
        <v>2916</v>
      </c>
      <c r="B33" s="2848" t="s">
        <v>2917</v>
      </c>
      <c r="C33" s="204" t="e">
        <f>ROUND(D5*C19*C20*C24*F33,0)</f>
        <v>#DIV/0!</v>
      </c>
      <c r="D33" s="2832"/>
      <c r="E33" s="198" t="e">
        <f>ROUND(C33*D33/10000,0)</f>
        <v>#DIV/0!</v>
      </c>
      <c r="F33" s="198">
        <f>SUMIF(修正!A45:A56,G2,修正!B45:B56)</f>
        <v>0</v>
      </c>
      <c r="G33" s="198" t="e">
        <f t="shared" ref="G33:G39" si="6">ROUND(IF(E2="工业",C33*$M$39,C33*$M$38),0)</f>
        <v>#DIV/0!</v>
      </c>
      <c r="H33" s="198">
        <f>D33</f>
        <v>0</v>
      </c>
      <c r="I33" s="198" t="e">
        <f>ROUND(G33*H33/10000,0)</f>
        <v>#DIV/0!</v>
      </c>
      <c r="J33" s="284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67"/>
      <c r="B34" s="2752" t="s">
        <v>2918</v>
      </c>
      <c r="C34" s="204" t="e">
        <f>ROUND(D5*C19*C20*C24*F34,0)</f>
        <v>#DIV/0!</v>
      </c>
      <c r="D34" s="2832"/>
      <c r="E34" s="198" t="e">
        <f t="shared" ref="E34:E39" si="7">ROUND(C34*D34/10000,0)</f>
        <v>#DIV/0!</v>
      </c>
      <c r="F34" s="198">
        <f>SUMIF(修正!A45:A56,G2,修正!C45:C56)</f>
        <v>0</v>
      </c>
      <c r="G34" s="198" t="e">
        <f t="shared" si="6"/>
        <v>#DIV/0!</v>
      </c>
      <c r="H34" s="198">
        <f t="shared" ref="H34:H39" si="8">D34</f>
        <v>0</v>
      </c>
      <c r="I34" s="198" t="e">
        <f t="shared" ref="I34:I39" si="9">ROUND(G34*H34/10000,0)</f>
        <v>#DIV/0!</v>
      </c>
      <c r="J34" s="284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67"/>
      <c r="B35" s="2752" t="s">
        <v>2919</v>
      </c>
      <c r="C35" s="204" t="e">
        <f>ROUND(D5*C19*C20*C24*F35,0)</f>
        <v>#DIV/0!</v>
      </c>
      <c r="D35" s="2832"/>
      <c r="E35" s="198" t="e">
        <f t="shared" si="7"/>
        <v>#DIV/0!</v>
      </c>
      <c r="F35" s="198">
        <f>SUMIF(修正!A45:A56,G2,修正!D45:D56)</f>
        <v>0</v>
      </c>
      <c r="G35" s="198" t="e">
        <f t="shared" si="6"/>
        <v>#DIV/0!</v>
      </c>
      <c r="H35" s="198">
        <f t="shared" si="8"/>
        <v>0</v>
      </c>
      <c r="I35" s="198" t="e">
        <f t="shared" si="9"/>
        <v>#DIV/0!</v>
      </c>
      <c r="J35" s="2849"/>
      <c r="K35" s="1366"/>
      <c r="L35" s="1366"/>
      <c r="M35" s="1366"/>
      <c r="N35" s="1366"/>
      <c r="O35" s="1366"/>
      <c r="P35" s="1366"/>
      <c r="Q35" s="1366"/>
      <c r="R35" s="1366"/>
      <c r="S35" s="1366"/>
      <c r="T35" s="1366"/>
      <c r="U35" s="1366"/>
      <c r="V35" s="1366"/>
      <c r="W35" s="1366"/>
      <c r="X35" s="1366"/>
      <c r="Y35" s="1366"/>
      <c r="Z35" s="1367"/>
    </row>
    <row r="36" spans="1:37" ht="13.5" thickBot="1">
      <c r="A36" s="3368"/>
      <c r="B36" s="2752" t="s">
        <v>2920</v>
      </c>
      <c r="C36" s="204" t="e">
        <f>ROUND(D5*C19*C20*C24*F36,0)</f>
        <v>#DIV/0!</v>
      </c>
      <c r="D36" s="2832"/>
      <c r="E36" s="198" t="e">
        <f t="shared" si="7"/>
        <v>#DIV/0!</v>
      </c>
      <c r="F36" s="198">
        <f>SUMIF(修正!A45:A56,G2,修正!E45:E56)</f>
        <v>0</v>
      </c>
      <c r="G36" s="198" t="e">
        <f t="shared" si="6"/>
        <v>#DIV/0!</v>
      </c>
      <c r="H36" s="198">
        <f t="shared" si="8"/>
        <v>0</v>
      </c>
      <c r="I36" s="198" t="e">
        <f t="shared" si="9"/>
        <v>#DIV/0!</v>
      </c>
      <c r="J36" s="2849"/>
      <c r="K36" s="1366"/>
      <c r="L36" s="2706"/>
      <c r="M36" s="2706"/>
      <c r="N36" s="1366"/>
      <c r="O36" s="1366"/>
      <c r="P36" s="1366"/>
      <c r="Q36" s="1366"/>
      <c r="R36" s="1366"/>
      <c r="S36" s="1366"/>
      <c r="T36" s="1366"/>
      <c r="U36" s="1366"/>
      <c r="V36" s="1366"/>
      <c r="W36" s="1366"/>
      <c r="X36" s="1366"/>
      <c r="Y36" s="1366"/>
      <c r="Z36" s="1367"/>
    </row>
    <row r="37" spans="1:37">
      <c r="A37" s="2850"/>
      <c r="B37" s="2752" t="s">
        <v>2921</v>
      </c>
      <c r="C37" s="198" t="e">
        <f>ROUND(C5*C19*C20*C24*F37,0)</f>
        <v>#DIV/0!</v>
      </c>
      <c r="D37" s="2832"/>
      <c r="E37" s="198" t="e">
        <f t="shared" si="7"/>
        <v>#DIV/0!</v>
      </c>
      <c r="F37" s="204">
        <f>SUMIF(修正!A45:A56,G2,修正!F45:F56)</f>
        <v>0</v>
      </c>
      <c r="G37" s="198" t="e">
        <f t="shared" si="6"/>
        <v>#DIV/0!</v>
      </c>
      <c r="H37" s="198">
        <f t="shared" si="8"/>
        <v>0</v>
      </c>
      <c r="I37" s="198" t="e">
        <f t="shared" si="9"/>
        <v>#DIV/0!</v>
      </c>
      <c r="J37" s="2849"/>
      <c r="K37" s="1366"/>
      <c r="L37" s="2851" t="s">
        <v>2922</v>
      </c>
      <c r="M37" s="2852"/>
      <c r="N37" s="1366"/>
      <c r="O37" s="1366"/>
      <c r="P37" s="1366"/>
      <c r="Q37" s="1366"/>
      <c r="R37" s="1366"/>
      <c r="S37" s="1366"/>
      <c r="T37" s="1366"/>
      <c r="U37" s="1366"/>
      <c r="V37" s="1366"/>
      <c r="W37" s="1366"/>
      <c r="X37" s="1366"/>
      <c r="Y37" s="1366"/>
      <c r="Z37" s="1367"/>
    </row>
    <row r="38" spans="1:37">
      <c r="A38" s="2850"/>
      <c r="B38" s="2752" t="s">
        <v>2923</v>
      </c>
      <c r="C38" s="198" t="e">
        <f>ROUND(C5*C19*C20*C24*F38,0)</f>
        <v>#DIV/0!</v>
      </c>
      <c r="D38" s="2832"/>
      <c r="E38" s="198" t="e">
        <f t="shared" si="7"/>
        <v>#DIV/0!</v>
      </c>
      <c r="F38" s="204">
        <f>SUMIF(修正!A45:A56,G2,修正!G45:G56)</f>
        <v>0</v>
      </c>
      <c r="G38" s="198" t="e">
        <f t="shared" si="6"/>
        <v>#DIV/0!</v>
      </c>
      <c r="H38" s="198">
        <f t="shared" si="8"/>
        <v>0</v>
      </c>
      <c r="I38" s="198" t="e">
        <f t="shared" si="9"/>
        <v>#DIV/0!</v>
      </c>
      <c r="J38" s="2849"/>
      <c r="K38" s="1366"/>
      <c r="L38" s="1882" t="s">
        <v>2924</v>
      </c>
      <c r="M38" s="2853">
        <v>0.25</v>
      </c>
      <c r="N38" s="1366"/>
      <c r="O38" s="1366"/>
      <c r="P38" s="1366"/>
      <c r="Q38" s="1366"/>
      <c r="R38" s="1366"/>
      <c r="S38" s="1366"/>
      <c r="T38" s="1366"/>
      <c r="U38" s="1366"/>
      <c r="V38" s="1366"/>
      <c r="W38" s="1366"/>
      <c r="X38" s="1366"/>
      <c r="Y38" s="1366"/>
      <c r="Z38" s="1367"/>
    </row>
    <row r="39" spans="1:37" ht="13.5" thickBot="1">
      <c r="A39" s="2836"/>
      <c r="B39" s="2854" t="s">
        <v>2925</v>
      </c>
      <c r="C39" s="227" t="e">
        <f>ROUND(C5*C19*C20*C24*F39,0)</f>
        <v>#DIV/0!</v>
      </c>
      <c r="D39" s="2838"/>
      <c r="E39" s="227" t="e">
        <f t="shared" si="7"/>
        <v>#DIV/0!</v>
      </c>
      <c r="F39" s="930">
        <f>SUMIF(修正!A45:A56,G2,修正!H45:H56)</f>
        <v>0</v>
      </c>
      <c r="G39" s="227" t="e">
        <f t="shared" si="6"/>
        <v>#DIV/0!</v>
      </c>
      <c r="H39" s="227">
        <f t="shared" si="8"/>
        <v>0</v>
      </c>
      <c r="I39" s="227" t="e">
        <f t="shared" si="9"/>
        <v>#DIV/0!</v>
      </c>
      <c r="J39" s="2855"/>
      <c r="K39" s="1366"/>
      <c r="L39" s="2856" t="s">
        <v>2866</v>
      </c>
      <c r="M39" s="285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58"/>
      <c r="Z41" s="1367"/>
      <c r="AA41" s="1367"/>
      <c r="AB41" s="1367"/>
      <c r="AC41" s="1367"/>
      <c r="AD41" s="1367"/>
      <c r="AE41" s="1367"/>
      <c r="AF41" s="1367"/>
      <c r="AG41" s="1367"/>
      <c r="AH41" s="1367"/>
      <c r="AI41" s="1367"/>
      <c r="AJ41" s="1367"/>
    </row>
    <row r="42" spans="1:37" s="1366" customFormat="1">
      <c r="A42" s="1367"/>
      <c r="B42" s="2858"/>
      <c r="Z42" s="1367"/>
      <c r="AA42" s="1367"/>
      <c r="AB42" s="1367"/>
      <c r="AC42" s="1367"/>
      <c r="AD42" s="1367"/>
      <c r="AE42" s="1367"/>
      <c r="AF42" s="1367"/>
      <c r="AG42" s="1367"/>
      <c r="AH42" s="1367"/>
      <c r="AI42" s="1367"/>
      <c r="AJ42" s="1367"/>
    </row>
    <row r="43" spans="1:37" s="1366" customFormat="1">
      <c r="A43" s="1367"/>
      <c r="B43" s="2858"/>
      <c r="Z43" s="1367"/>
      <c r="AA43" s="1367"/>
      <c r="AB43" s="1367"/>
      <c r="AC43" s="1367"/>
      <c r="AD43" s="1367"/>
      <c r="AE43" s="1367"/>
      <c r="AF43" s="1367"/>
      <c r="AG43" s="1367"/>
      <c r="AH43" s="1367"/>
      <c r="AI43" s="1367"/>
      <c r="AJ43" s="1367"/>
    </row>
    <row r="44" spans="1:37" s="1366" customFormat="1">
      <c r="A44" s="1367"/>
      <c r="B44" s="2858"/>
      <c r="Z44" s="1367"/>
      <c r="AA44" s="1367"/>
      <c r="AB44" s="1367"/>
      <c r="AC44" s="1367"/>
      <c r="AD44" s="1367"/>
      <c r="AE44" s="1367"/>
      <c r="AF44" s="1367"/>
      <c r="AG44" s="1367"/>
      <c r="AH44" s="1367"/>
      <c r="AI44" s="1367"/>
      <c r="AJ44" s="1367"/>
    </row>
    <row r="45" spans="1:37" s="1366" customFormat="1" ht="15.75" thickBot="1">
      <c r="A45" s="2859" t="s">
        <v>2926</v>
      </c>
      <c r="B45" s="2860"/>
      <c r="C45" s="7"/>
      <c r="D45" s="7"/>
      <c r="E45" s="7"/>
      <c r="F45" s="6"/>
      <c r="G45" s="6"/>
      <c r="H45" s="6"/>
      <c r="I45" s="7"/>
      <c r="J45" s="7"/>
      <c r="K45" s="7"/>
      <c r="L45" s="7"/>
      <c r="M45" s="7"/>
      <c r="N45" s="2775"/>
      <c r="Z45" s="1367"/>
      <c r="AA45" s="1367"/>
      <c r="AB45" s="1367"/>
      <c r="AC45" s="1367"/>
      <c r="AD45" s="1367"/>
      <c r="AE45" s="1367"/>
      <c r="AF45" s="1367"/>
      <c r="AG45" s="1367"/>
      <c r="AH45" s="1367"/>
      <c r="AI45" s="1367"/>
      <c r="AJ45" s="1367"/>
    </row>
    <row r="46" spans="1:37" s="1366" customFormat="1" ht="15">
      <c r="A46" s="2861" t="s">
        <v>2927</v>
      </c>
      <c r="B46" s="2862">
        <f>1+E48</f>
        <v>1</v>
      </c>
      <c r="C46" s="2863"/>
      <c r="D46" s="809"/>
      <c r="E46" s="810"/>
      <c r="F46" s="2864"/>
      <c r="G46" s="6"/>
      <c r="H46" s="7"/>
      <c r="I46" s="7"/>
      <c r="J46" s="7"/>
      <c r="K46" s="7"/>
      <c r="L46" s="7"/>
      <c r="M46" s="7"/>
      <c r="N46" s="2775"/>
      <c r="Z46" s="1367"/>
      <c r="AA46" s="1367"/>
      <c r="AB46" s="1367"/>
      <c r="AC46" s="1367"/>
      <c r="AD46" s="1367"/>
      <c r="AE46" s="1367"/>
      <c r="AF46" s="1367"/>
      <c r="AG46" s="1367"/>
      <c r="AH46" s="1367"/>
      <c r="AI46" s="1367"/>
      <c r="AJ46" s="1367"/>
    </row>
    <row r="47" spans="1:37" s="1366" customFormat="1" ht="24.75">
      <c r="A47" s="2865" t="s">
        <v>2928</v>
      </c>
      <c r="B47" s="1804" t="s">
        <v>2929</v>
      </c>
      <c r="C47" s="1804" t="s">
        <v>2930</v>
      </c>
      <c r="D47" s="1804" t="s">
        <v>2931</v>
      </c>
      <c r="E47" s="814" t="s">
        <v>2932</v>
      </c>
      <c r="F47" s="2866" t="s">
        <v>2933</v>
      </c>
      <c r="G47" s="1804" t="s">
        <v>754</v>
      </c>
      <c r="H47" s="2867" t="s">
        <v>2934</v>
      </c>
      <c r="I47" s="1804" t="s">
        <v>2935</v>
      </c>
      <c r="J47" s="601" t="s">
        <v>2581</v>
      </c>
      <c r="K47" s="601" t="s">
        <v>2582</v>
      </c>
      <c r="L47" s="601" t="s">
        <v>2583</v>
      </c>
      <c r="M47" s="601" t="s">
        <v>2584</v>
      </c>
      <c r="N47" s="601" t="s">
        <v>2585</v>
      </c>
      <c r="AA47" s="1367"/>
      <c r="AB47" s="1367"/>
      <c r="AC47" s="1367"/>
      <c r="AD47" s="1367"/>
      <c r="AE47" s="1367"/>
      <c r="AF47" s="1367"/>
      <c r="AG47" s="1367"/>
      <c r="AH47" s="1367"/>
      <c r="AI47" s="1367"/>
      <c r="AJ47" s="1367"/>
      <c r="AK47" s="1367"/>
    </row>
    <row r="48" spans="1:37" s="1366" customFormat="1" ht="24.75">
      <c r="A48" s="2865" t="s">
        <v>2936</v>
      </c>
      <c r="B48" s="2868">
        <f>估价对象房地状况!C4</f>
        <v>0</v>
      </c>
      <c r="C48" s="2757"/>
      <c r="D48" s="1282">
        <f t="shared" ref="D48:D56" si="10">SUMIF($J$47:$N$47,C48,J48:N48)</f>
        <v>0</v>
      </c>
      <c r="E48" s="816">
        <f>ROUND(SUM(D48:D56),4)</f>
        <v>0</v>
      </c>
      <c r="F48" s="2488" t="str">
        <f>IF(E2="商业",SUMIF(L1:L12,G2,N1:N12),"——")</f>
        <v>——</v>
      </c>
      <c r="G48" s="1280"/>
      <c r="H48" s="1284" t="str">
        <f t="shared" ref="H48:H56" si="11">IFERROR(ROUNDDOWN($F$48*I48/2,4),"——")</f>
        <v>——</v>
      </c>
      <c r="I48" s="815">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65" t="s">
        <v>2937</v>
      </c>
      <c r="B49" s="2869">
        <f>估价对象房地状况!C18</f>
        <v>0</v>
      </c>
      <c r="C49" s="2757"/>
      <c r="D49" s="1282">
        <f t="shared" si="10"/>
        <v>0</v>
      </c>
      <c r="E49" s="817"/>
      <c r="F49" s="2488"/>
      <c r="G49" s="1280"/>
      <c r="H49" s="1284" t="str">
        <f t="shared" si="11"/>
        <v>——</v>
      </c>
      <c r="I49" s="815">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5" t="s">
        <v>2938</v>
      </c>
      <c r="B50" s="2869">
        <f>估价对象房地状况!C19</f>
        <v>0</v>
      </c>
      <c r="C50" s="2757"/>
      <c r="D50" s="1282">
        <f t="shared" si="10"/>
        <v>0</v>
      </c>
      <c r="E50" s="817"/>
      <c r="F50" s="2488"/>
      <c r="G50" s="1280"/>
      <c r="H50" s="1284" t="str">
        <f t="shared" si="11"/>
        <v>——</v>
      </c>
      <c r="I50" s="815">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5" t="s">
        <v>2939</v>
      </c>
      <c r="B51" s="2870" t="s">
        <v>2940</v>
      </c>
      <c r="C51" s="2757"/>
      <c r="D51" s="1282">
        <f t="shared" si="10"/>
        <v>0</v>
      </c>
      <c r="E51" s="817"/>
      <c r="F51" s="2488"/>
      <c r="G51" s="1280"/>
      <c r="H51" s="1284" t="str">
        <f t="shared" si="11"/>
        <v>——</v>
      </c>
      <c r="I51" s="815">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5" t="s">
        <v>2941</v>
      </c>
      <c r="B52" s="2869">
        <f>估价对象房地状况!C24</f>
        <v>0</v>
      </c>
      <c r="C52" s="2757"/>
      <c r="D52" s="1282">
        <f t="shared" si="10"/>
        <v>0</v>
      </c>
      <c r="E52" s="817"/>
      <c r="F52" s="2488"/>
      <c r="G52" s="1280"/>
      <c r="H52" s="1284" t="str">
        <f t="shared" si="11"/>
        <v>——</v>
      </c>
      <c r="I52" s="815">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5" t="s">
        <v>2942</v>
      </c>
      <c r="B53" s="2871" t="s">
        <v>2943</v>
      </c>
      <c r="C53" s="2757"/>
      <c r="D53" s="1282">
        <f t="shared" si="10"/>
        <v>0</v>
      </c>
      <c r="E53" s="817"/>
      <c r="F53" s="2488"/>
      <c r="G53" s="1280"/>
      <c r="H53" s="1284" t="str">
        <f t="shared" si="11"/>
        <v>——</v>
      </c>
      <c r="I53" s="815">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72" t="s">
        <v>2944</v>
      </c>
      <c r="B54" s="1720">
        <f>估价对象房地状况!C21</f>
        <v>0</v>
      </c>
      <c r="C54" s="2757"/>
      <c r="D54" s="1282">
        <f t="shared" si="10"/>
        <v>0</v>
      </c>
      <c r="E54" s="817"/>
      <c r="F54" s="2488"/>
      <c r="G54" s="1280"/>
      <c r="H54" s="1284" t="str">
        <f t="shared" si="11"/>
        <v>——</v>
      </c>
      <c r="I54" s="815">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72" t="s">
        <v>2945</v>
      </c>
      <c r="B55" s="2869">
        <f>估价对象房地状况!C22</f>
        <v>0</v>
      </c>
      <c r="C55" s="2757"/>
      <c r="D55" s="1282">
        <f t="shared" si="10"/>
        <v>0</v>
      </c>
      <c r="E55" s="817"/>
      <c r="F55" s="2488"/>
      <c r="G55" s="1280"/>
      <c r="H55" s="1284" t="str">
        <f t="shared" si="11"/>
        <v>——</v>
      </c>
      <c r="I55" s="815">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73" t="s">
        <v>2946</v>
      </c>
      <c r="B56" s="2874">
        <f>估价对象房地状况!C20</f>
        <v>0</v>
      </c>
      <c r="C56" s="2757"/>
      <c r="D56" s="1282">
        <f t="shared" si="10"/>
        <v>0</v>
      </c>
      <c r="E56" s="820"/>
      <c r="F56" s="2488"/>
      <c r="G56" s="1280"/>
      <c r="H56" s="1284" t="str">
        <f t="shared" si="11"/>
        <v>——</v>
      </c>
      <c r="I56" s="819">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1" t="s">
        <v>2947</v>
      </c>
      <c r="B57" s="2862">
        <f>1+E59</f>
        <v>1</v>
      </c>
      <c r="C57" s="809"/>
      <c r="D57" s="809"/>
      <c r="E57" s="810"/>
      <c r="F57" s="286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5" t="s">
        <v>2928</v>
      </c>
      <c r="B58" s="1804"/>
      <c r="C58" s="1804" t="s">
        <v>2930</v>
      </c>
      <c r="D58" s="1804" t="s">
        <v>2931</v>
      </c>
      <c r="E58" s="814" t="s">
        <v>2932</v>
      </c>
      <c r="F58" s="2866" t="s">
        <v>2948</v>
      </c>
      <c r="G58" s="1804" t="s">
        <v>754</v>
      </c>
      <c r="H58" s="2867" t="s">
        <v>2934</v>
      </c>
      <c r="I58" s="1804" t="s">
        <v>2935</v>
      </c>
      <c r="J58" s="601" t="s">
        <v>2581</v>
      </c>
      <c r="K58" s="601" t="s">
        <v>2582</v>
      </c>
      <c r="L58" s="601" t="s">
        <v>2583</v>
      </c>
      <c r="M58" s="601" t="s">
        <v>2584</v>
      </c>
      <c r="N58" s="601" t="s">
        <v>2585</v>
      </c>
      <c r="AA58" s="1367"/>
      <c r="AB58" s="1367"/>
      <c r="AC58" s="1367"/>
      <c r="AD58" s="1367"/>
      <c r="AE58" s="1367"/>
      <c r="AF58" s="1367"/>
      <c r="AG58" s="1367"/>
      <c r="AH58" s="1367"/>
      <c r="AI58" s="1367"/>
      <c r="AJ58" s="1367"/>
      <c r="AK58" s="1367"/>
    </row>
    <row r="59" spans="1:37" s="1366" customFormat="1" ht="24">
      <c r="A59" s="2865" t="s">
        <v>2949</v>
      </c>
      <c r="B59" s="2868">
        <f>估价对象房地状况!C17</f>
        <v>0</v>
      </c>
      <c r="C59" s="2757"/>
      <c r="D59" s="1282">
        <f t="shared" ref="D59:D67" si="15">SUMIF($J$58:$N$58,C59,J59:N59)</f>
        <v>0</v>
      </c>
      <c r="E59" s="816">
        <f>ROUND(SUM(D59:D67),4)</f>
        <v>0</v>
      </c>
      <c r="F59" s="2488" t="str">
        <f>IF(E2="办公",SUMIF(L1:L12,G2,N1:N12),"——")</f>
        <v>——</v>
      </c>
      <c r="G59" s="1280"/>
      <c r="H59" s="1284" t="str">
        <f t="shared" ref="H59:H67" si="16">IFERROR(ROUNDDOWN($F$59*I59/2,4),"——")</f>
        <v>——</v>
      </c>
      <c r="I59" s="815">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65" t="s">
        <v>2937</v>
      </c>
      <c r="B60" s="2869">
        <f>估价对象房地状况!C18</f>
        <v>0</v>
      </c>
      <c r="C60" s="2757"/>
      <c r="D60" s="1282">
        <f t="shared" si="15"/>
        <v>0</v>
      </c>
      <c r="E60" s="817"/>
      <c r="F60" s="2488"/>
      <c r="G60" s="1280"/>
      <c r="H60" s="1284" t="str">
        <f t="shared" si="16"/>
        <v>——</v>
      </c>
      <c r="I60" s="815">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5" t="s">
        <v>2938</v>
      </c>
      <c r="B61" s="2869">
        <f>估价对象房地状况!C19</f>
        <v>0</v>
      </c>
      <c r="C61" s="2757"/>
      <c r="D61" s="1282">
        <f t="shared" si="15"/>
        <v>0</v>
      </c>
      <c r="E61" s="817"/>
      <c r="F61" s="2488"/>
      <c r="G61" s="1280"/>
      <c r="H61" s="1284" t="str">
        <f t="shared" si="16"/>
        <v>——</v>
      </c>
      <c r="I61" s="815">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5" t="s">
        <v>2939</v>
      </c>
      <c r="B62" s="2870" t="s">
        <v>2940</v>
      </c>
      <c r="C62" s="2757"/>
      <c r="D62" s="1282">
        <f t="shared" si="15"/>
        <v>0</v>
      </c>
      <c r="E62" s="817"/>
      <c r="F62" s="2488"/>
      <c r="G62" s="1280"/>
      <c r="H62" s="1284" t="str">
        <f t="shared" si="16"/>
        <v>——</v>
      </c>
      <c r="I62" s="815">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5" t="s">
        <v>2941</v>
      </c>
      <c r="B63" s="2869">
        <f>估价对象房地状况!C24</f>
        <v>0</v>
      </c>
      <c r="C63" s="2757"/>
      <c r="D63" s="1282">
        <f t="shared" si="15"/>
        <v>0</v>
      </c>
      <c r="E63" s="817"/>
      <c r="F63" s="2488"/>
      <c r="G63" s="1280"/>
      <c r="H63" s="1284" t="str">
        <f t="shared" si="16"/>
        <v>——</v>
      </c>
      <c r="I63" s="815">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5" t="s">
        <v>2942</v>
      </c>
      <c r="B64" s="2871" t="s">
        <v>2943</v>
      </c>
      <c r="C64" s="2757"/>
      <c r="D64" s="1282">
        <f t="shared" si="15"/>
        <v>0</v>
      </c>
      <c r="E64" s="817"/>
      <c r="F64" s="2488"/>
      <c r="G64" s="1280"/>
      <c r="H64" s="1284" t="str">
        <f t="shared" si="16"/>
        <v>——</v>
      </c>
      <c r="I64" s="815">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65" t="s">
        <v>2944</v>
      </c>
      <c r="B65" s="1720">
        <f>估价对象房地状况!C21</f>
        <v>0</v>
      </c>
      <c r="C65" s="2757"/>
      <c r="D65" s="1282">
        <f t="shared" si="15"/>
        <v>0</v>
      </c>
      <c r="E65" s="817"/>
      <c r="F65" s="2488"/>
      <c r="G65" s="1280"/>
      <c r="H65" s="1284" t="str">
        <f t="shared" si="16"/>
        <v>——</v>
      </c>
      <c r="I65" s="815">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65" t="s">
        <v>2945</v>
      </c>
      <c r="B66" s="1720">
        <f>估价对象房地状况!C22</f>
        <v>0</v>
      </c>
      <c r="C66" s="2757"/>
      <c r="D66" s="1282">
        <f t="shared" si="15"/>
        <v>0</v>
      </c>
      <c r="E66" s="817"/>
      <c r="F66" s="2488"/>
      <c r="G66" s="1280"/>
      <c r="H66" s="1284" t="str">
        <f t="shared" si="16"/>
        <v>——</v>
      </c>
      <c r="I66" s="815">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73" t="s">
        <v>2946</v>
      </c>
      <c r="B67" s="2875">
        <f>估价对象房地状况!C20</f>
        <v>0</v>
      </c>
      <c r="C67" s="2757"/>
      <c r="D67" s="1282">
        <f t="shared" si="15"/>
        <v>0</v>
      </c>
      <c r="E67" s="820"/>
      <c r="F67" s="2488"/>
      <c r="G67" s="1280"/>
      <c r="H67" s="1284" t="str">
        <f t="shared" si="16"/>
        <v>——</v>
      </c>
      <c r="I67" s="819">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1" t="s">
        <v>2950</v>
      </c>
      <c r="B68" s="2862">
        <f>1+E70</f>
        <v>1</v>
      </c>
      <c r="C68" s="809"/>
      <c r="D68" s="809"/>
      <c r="E68" s="810"/>
      <c r="F68" s="286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5" t="s">
        <v>2928</v>
      </c>
      <c r="B69" s="1804"/>
      <c r="C69" s="1804" t="s">
        <v>2930</v>
      </c>
      <c r="D69" s="1804" t="s">
        <v>2931</v>
      </c>
      <c r="E69" s="814" t="s">
        <v>2932</v>
      </c>
      <c r="F69" s="2866" t="s">
        <v>2948</v>
      </c>
      <c r="G69" s="1804" t="s">
        <v>754</v>
      </c>
      <c r="H69" s="2867" t="s">
        <v>2934</v>
      </c>
      <c r="I69" s="1804" t="s">
        <v>2935</v>
      </c>
      <c r="J69" s="601" t="s">
        <v>2581</v>
      </c>
      <c r="K69" s="601" t="s">
        <v>2582</v>
      </c>
      <c r="L69" s="601" t="s">
        <v>2583</v>
      </c>
      <c r="M69" s="601" t="s">
        <v>2584</v>
      </c>
      <c r="N69" s="601" t="s">
        <v>2585</v>
      </c>
      <c r="AA69" s="1367"/>
      <c r="AB69" s="1367"/>
      <c r="AC69" s="1367"/>
      <c r="AD69" s="1367"/>
      <c r="AE69" s="1367"/>
      <c r="AF69" s="1367"/>
      <c r="AG69" s="1367"/>
      <c r="AH69" s="1367"/>
      <c r="AI69" s="1367"/>
      <c r="AJ69" s="1367"/>
      <c r="AK69" s="1367"/>
    </row>
    <row r="70" spans="1:37" s="1366" customFormat="1" ht="24">
      <c r="A70" s="2865" t="s">
        <v>2951</v>
      </c>
      <c r="B70" s="2868">
        <f>估价对象房地状况!C15</f>
        <v>0</v>
      </c>
      <c r="C70" s="2757"/>
      <c r="D70" s="1282">
        <f t="shared" ref="D70:D78" si="20">SUMIF($J$69:$N$69,C70,J70:N70)</f>
        <v>0</v>
      </c>
      <c r="E70" s="816">
        <f>ROUND(SUM(D70:D78),4)</f>
        <v>0</v>
      </c>
      <c r="F70" s="2488" t="str">
        <f>IF(E2="住宅",SUMIF(L1:L12,G2,N1:N12),"——")</f>
        <v>——</v>
      </c>
      <c r="G70" s="1280"/>
      <c r="H70" s="1284" t="str">
        <f t="shared" ref="H70:H78" si="21">IFERROR(ROUNDDOWN($F$70*I70/2,4),"——")</f>
        <v>——</v>
      </c>
      <c r="I70" s="815">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65" t="s">
        <v>2937</v>
      </c>
      <c r="B71" s="2869">
        <f>估价对象房地状况!C18</f>
        <v>0</v>
      </c>
      <c r="C71" s="2757"/>
      <c r="D71" s="1282">
        <f t="shared" si="20"/>
        <v>0</v>
      </c>
      <c r="E71" s="821"/>
      <c r="F71" s="2488"/>
      <c r="G71" s="1280"/>
      <c r="H71" s="1284" t="str">
        <f t="shared" si="21"/>
        <v>——</v>
      </c>
      <c r="I71" s="815">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5" t="s">
        <v>2938</v>
      </c>
      <c r="B72" s="2869">
        <f>估价对象房地状况!C19</f>
        <v>0</v>
      </c>
      <c r="C72" s="2757"/>
      <c r="D72" s="1282">
        <f t="shared" si="20"/>
        <v>0</v>
      </c>
      <c r="E72" s="821"/>
      <c r="F72" s="2488"/>
      <c r="G72" s="1280"/>
      <c r="H72" s="1284" t="str">
        <f t="shared" si="21"/>
        <v>——</v>
      </c>
      <c r="I72" s="815">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5" t="s">
        <v>2952</v>
      </c>
      <c r="B73" s="2869">
        <f>估价对象房地状况!C24</f>
        <v>0</v>
      </c>
      <c r="C73" s="2757"/>
      <c r="D73" s="1282">
        <f t="shared" si="20"/>
        <v>0</v>
      </c>
      <c r="E73" s="821"/>
      <c r="F73" s="2488"/>
      <c r="G73" s="1280"/>
      <c r="H73" s="1284" t="str">
        <f t="shared" si="21"/>
        <v>——</v>
      </c>
      <c r="I73" s="815">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65" t="s">
        <v>2944</v>
      </c>
      <c r="B74" s="1720">
        <f>估价对象房地状况!C21</f>
        <v>0</v>
      </c>
      <c r="C74" s="2757"/>
      <c r="D74" s="1282">
        <f t="shared" si="20"/>
        <v>0</v>
      </c>
      <c r="E74" s="821"/>
      <c r="F74" s="2488"/>
      <c r="G74" s="1280"/>
      <c r="H74" s="1284" t="str">
        <f t="shared" si="21"/>
        <v>——</v>
      </c>
      <c r="I74" s="815">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65" t="s">
        <v>2945</v>
      </c>
      <c r="B75" s="1720">
        <f>估价对象房地状况!C22</f>
        <v>0</v>
      </c>
      <c r="C75" s="2757"/>
      <c r="D75" s="1282">
        <f t="shared" si="20"/>
        <v>0</v>
      </c>
      <c r="E75" s="821"/>
      <c r="F75" s="2488"/>
      <c r="G75" s="1280"/>
      <c r="H75" s="1284" t="str">
        <f t="shared" si="21"/>
        <v>——</v>
      </c>
      <c r="I75" s="815">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06" customFormat="1" ht="24">
      <c r="A76" s="2865" t="s">
        <v>2942</v>
      </c>
      <c r="B76" s="2871" t="s">
        <v>2943</v>
      </c>
      <c r="C76" s="2757"/>
      <c r="D76" s="1282">
        <f t="shared" si="20"/>
        <v>0</v>
      </c>
      <c r="E76" s="821"/>
      <c r="F76" s="2488"/>
      <c r="G76" s="1280"/>
      <c r="H76" s="1284" t="str">
        <f t="shared" si="21"/>
        <v>——</v>
      </c>
      <c r="I76" s="815">
        <v>0.05</v>
      </c>
      <c r="J76" s="1281">
        <f t="shared" si="22"/>
        <v>0</v>
      </c>
      <c r="K76" s="1281">
        <f t="shared" si="23"/>
        <v>0</v>
      </c>
      <c r="L76" s="1281">
        <v>0</v>
      </c>
      <c r="M76" s="1281">
        <f t="shared" si="24"/>
        <v>0</v>
      </c>
      <c r="N76" s="1281">
        <f t="shared" si="24"/>
        <v>0</v>
      </c>
      <c r="AA76" s="2876"/>
      <c r="AB76" s="1367"/>
      <c r="AC76" s="1367"/>
      <c r="AD76" s="1367"/>
      <c r="AE76" s="1367"/>
      <c r="AF76" s="1367"/>
      <c r="AG76" s="1367"/>
      <c r="AH76" s="2876"/>
      <c r="AI76" s="2876"/>
      <c r="AJ76" s="2876"/>
      <c r="AK76" s="2876"/>
    </row>
    <row r="77" spans="1:37" ht="24">
      <c r="A77" s="2865" t="s">
        <v>2946</v>
      </c>
      <c r="B77" s="2868">
        <f>估价对象房地状况!C20</f>
        <v>0</v>
      </c>
      <c r="C77" s="2757"/>
      <c r="D77" s="1282">
        <f t="shared" si="20"/>
        <v>0</v>
      </c>
      <c r="E77" s="821"/>
      <c r="F77" s="2488"/>
      <c r="G77" s="1280"/>
      <c r="H77" s="1284" t="str">
        <f t="shared" si="21"/>
        <v>——</v>
      </c>
      <c r="I77" s="815">
        <v>0.15</v>
      </c>
      <c r="J77" s="1281">
        <f t="shared" si="22"/>
        <v>0</v>
      </c>
      <c r="K77" s="1281">
        <f t="shared" si="23"/>
        <v>0</v>
      </c>
      <c r="L77" s="1281">
        <v>0</v>
      </c>
      <c r="M77" s="1281">
        <f t="shared" si="24"/>
        <v>0</v>
      </c>
      <c r="N77" s="1281">
        <f t="shared" si="24"/>
        <v>0</v>
      </c>
      <c r="Z77" s="2707"/>
      <c r="AA77" s="2783"/>
      <c r="AG77" s="1368"/>
      <c r="AK77" s="2783"/>
    </row>
    <row r="78" spans="1:37" ht="24.75" thickBot="1">
      <c r="A78" s="2873" t="s">
        <v>2953</v>
      </c>
      <c r="B78" s="2877"/>
      <c r="C78" s="2757"/>
      <c r="D78" s="1282">
        <f t="shared" si="20"/>
        <v>0</v>
      </c>
      <c r="E78" s="822"/>
      <c r="F78" s="2488"/>
      <c r="G78" s="1280"/>
      <c r="H78" s="1284" t="str">
        <f t="shared" si="21"/>
        <v>——</v>
      </c>
      <c r="I78" s="819">
        <v>0.04</v>
      </c>
      <c r="J78" s="1281">
        <f t="shared" si="22"/>
        <v>0</v>
      </c>
      <c r="K78" s="1281">
        <f t="shared" si="23"/>
        <v>0</v>
      </c>
      <c r="L78" s="1281">
        <v>0</v>
      </c>
      <c r="M78" s="1281">
        <f t="shared" si="24"/>
        <v>0</v>
      </c>
      <c r="N78" s="1281">
        <f t="shared" si="24"/>
        <v>0</v>
      </c>
      <c r="Z78" s="2707"/>
      <c r="AA78" s="2783"/>
      <c r="AG78" s="1368"/>
      <c r="AK78" s="2783"/>
    </row>
    <row r="79" spans="1:37" ht="15">
      <c r="A79" s="2861" t="s">
        <v>2954</v>
      </c>
      <c r="B79" s="2862">
        <f>1+E81</f>
        <v>1</v>
      </c>
      <c r="C79" s="809"/>
      <c r="D79" s="809"/>
      <c r="E79" s="810"/>
      <c r="F79" s="2864"/>
      <c r="G79" s="6"/>
      <c r="H79" s="6"/>
      <c r="I79" s="6"/>
      <c r="J79" s="7"/>
      <c r="K79" s="7"/>
      <c r="L79" s="7"/>
      <c r="M79" s="7"/>
      <c r="N79" s="7"/>
      <c r="Z79" s="2707"/>
      <c r="AA79" s="2783"/>
      <c r="AG79" s="1368"/>
      <c r="AK79" s="2783"/>
    </row>
    <row r="80" spans="1:37" ht="24.75">
      <c r="A80" s="2865" t="s">
        <v>2928</v>
      </c>
      <c r="B80" s="1804"/>
      <c r="C80" s="1804" t="s">
        <v>2930</v>
      </c>
      <c r="D80" s="1804" t="s">
        <v>2931</v>
      </c>
      <c r="E80" s="814" t="s">
        <v>2932</v>
      </c>
      <c r="F80" s="2866" t="s">
        <v>2948</v>
      </c>
      <c r="G80" s="1804" t="s">
        <v>754</v>
      </c>
      <c r="H80" s="2867" t="s">
        <v>2934</v>
      </c>
      <c r="I80" s="1804" t="s">
        <v>2935</v>
      </c>
      <c r="J80" s="601" t="s">
        <v>2581</v>
      </c>
      <c r="K80" s="601" t="s">
        <v>2582</v>
      </c>
      <c r="L80" s="601" t="s">
        <v>2583</v>
      </c>
      <c r="M80" s="601" t="s">
        <v>2584</v>
      </c>
      <c r="N80" s="601" t="s">
        <v>2585</v>
      </c>
      <c r="Z80" s="2707"/>
      <c r="AA80" s="2783"/>
      <c r="AG80" s="1368"/>
      <c r="AK80" s="2783"/>
    </row>
    <row r="81" spans="1:37" ht="24">
      <c r="A81" s="2865" t="s">
        <v>2955</v>
      </c>
      <c r="B81" s="2869">
        <f>估价对象房地状况!G15</f>
        <v>0</v>
      </c>
      <c r="C81" s="2757"/>
      <c r="D81" s="1282">
        <f t="shared" ref="D81:D88" si="25">SUMIF($J$80:$N$80,C81,J81:N81)</f>
        <v>0</v>
      </c>
      <c r="E81" s="816">
        <f>ROUND(SUM(D81:D88),4)</f>
        <v>0</v>
      </c>
      <c r="F81" s="2488" t="str">
        <f>IF(E2="工业",SUMIF(L1:L12,G2,N1:N12),"——")</f>
        <v>——</v>
      </c>
      <c r="G81" s="1280"/>
      <c r="H81" s="1284" t="str">
        <f t="shared" ref="H81:H88" si="26">IFERROR(ROUNDDOWN($F$81*I81/2,4),"——")</f>
        <v>——</v>
      </c>
      <c r="I81" s="815">
        <v>0.26</v>
      </c>
      <c r="J81" s="1281">
        <f t="shared" ref="J81:J88" si="27">K81+$G81</f>
        <v>0</v>
      </c>
      <c r="K81" s="1281">
        <f t="shared" ref="K81:K88" si="28">$L81+$G81</f>
        <v>0</v>
      </c>
      <c r="L81" s="1281">
        <v>0</v>
      </c>
      <c r="M81" s="1281">
        <f t="shared" ref="M81:N88" si="29">L81-$G81</f>
        <v>0</v>
      </c>
      <c r="N81" s="1281">
        <f t="shared" si="29"/>
        <v>0</v>
      </c>
      <c r="Z81" s="2707"/>
      <c r="AA81" s="2783"/>
      <c r="AG81" s="1368"/>
      <c r="AK81" s="2783"/>
    </row>
    <row r="82" spans="1:37" ht="14.25">
      <c r="A82" s="2865" t="s">
        <v>2937</v>
      </c>
      <c r="B82" s="2869">
        <f>估价对象房地状况!G16</f>
        <v>0</v>
      </c>
      <c r="C82" s="2757"/>
      <c r="D82" s="1282">
        <f t="shared" si="25"/>
        <v>0</v>
      </c>
      <c r="E82" s="821"/>
      <c r="F82" s="2488"/>
      <c r="G82" s="1280"/>
      <c r="H82" s="1284" t="str">
        <f t="shared" si="26"/>
        <v>——</v>
      </c>
      <c r="I82" s="815">
        <v>0.33</v>
      </c>
      <c r="J82" s="1281">
        <f t="shared" si="27"/>
        <v>0</v>
      </c>
      <c r="K82" s="1281">
        <f t="shared" si="28"/>
        <v>0</v>
      </c>
      <c r="L82" s="1281">
        <v>0</v>
      </c>
      <c r="M82" s="1281">
        <f t="shared" si="29"/>
        <v>0</v>
      </c>
      <c r="N82" s="1281">
        <f t="shared" si="29"/>
        <v>0</v>
      </c>
      <c r="Z82" s="2707"/>
      <c r="AA82" s="2783"/>
      <c r="AG82" s="1368"/>
      <c r="AK82" s="2783"/>
    </row>
    <row r="83" spans="1:37" ht="24">
      <c r="A83" s="2865" t="s">
        <v>2938</v>
      </c>
      <c r="B83" s="2869">
        <f>估价对象房地状况!G17</f>
        <v>0</v>
      </c>
      <c r="C83" s="2757"/>
      <c r="D83" s="1282">
        <f t="shared" si="25"/>
        <v>0</v>
      </c>
      <c r="E83" s="821"/>
      <c r="F83" s="2488"/>
      <c r="G83" s="1280"/>
      <c r="H83" s="1284" t="str">
        <f t="shared" si="26"/>
        <v>——</v>
      </c>
      <c r="I83" s="815">
        <v>0.05</v>
      </c>
      <c r="J83" s="1281">
        <f t="shared" si="27"/>
        <v>0</v>
      </c>
      <c r="K83" s="1281">
        <f t="shared" si="28"/>
        <v>0</v>
      </c>
      <c r="L83" s="1281">
        <v>0</v>
      </c>
      <c r="M83" s="1281">
        <f t="shared" si="29"/>
        <v>0</v>
      </c>
      <c r="N83" s="1281">
        <f t="shared" si="29"/>
        <v>0</v>
      </c>
      <c r="Z83" s="2707"/>
      <c r="AA83" s="2783"/>
      <c r="AG83" s="1368"/>
      <c r="AK83" s="2783"/>
    </row>
    <row r="84" spans="1:37" ht="14.25">
      <c r="A84" s="2865" t="s">
        <v>2952</v>
      </c>
      <c r="B84" s="2869">
        <f>估价对象房地状况!G22</f>
        <v>0</v>
      </c>
      <c r="C84" s="2757"/>
      <c r="D84" s="1282">
        <f t="shared" si="25"/>
        <v>0</v>
      </c>
      <c r="E84" s="821"/>
      <c r="F84" s="2488"/>
      <c r="G84" s="1280"/>
      <c r="H84" s="1284" t="str">
        <f t="shared" si="26"/>
        <v>——</v>
      </c>
      <c r="I84" s="815">
        <v>0.04</v>
      </c>
      <c r="J84" s="1281">
        <f t="shared" si="27"/>
        <v>0</v>
      </c>
      <c r="K84" s="1281">
        <f t="shared" si="28"/>
        <v>0</v>
      </c>
      <c r="L84" s="1281">
        <v>0</v>
      </c>
      <c r="M84" s="1281">
        <f t="shared" si="29"/>
        <v>0</v>
      </c>
      <c r="N84" s="1281">
        <f t="shared" si="29"/>
        <v>0</v>
      </c>
      <c r="Z84" s="2707"/>
      <c r="AA84" s="2783"/>
      <c r="AG84" s="1368"/>
      <c r="AK84" s="2783"/>
    </row>
    <row r="85" spans="1:37" ht="24">
      <c r="A85" s="2865" t="s">
        <v>2944</v>
      </c>
      <c r="B85" s="1720">
        <f>估价对象房地状况!G19</f>
        <v>0</v>
      </c>
      <c r="C85" s="2757"/>
      <c r="D85" s="1282">
        <f t="shared" si="25"/>
        <v>0</v>
      </c>
      <c r="E85" s="821"/>
      <c r="F85" s="2488"/>
      <c r="G85" s="1280"/>
      <c r="H85" s="1284" t="str">
        <f t="shared" si="26"/>
        <v>——</v>
      </c>
      <c r="I85" s="815">
        <v>0.06</v>
      </c>
      <c r="J85" s="1281">
        <f t="shared" si="27"/>
        <v>0</v>
      </c>
      <c r="K85" s="1281">
        <f t="shared" si="28"/>
        <v>0</v>
      </c>
      <c r="L85" s="1281">
        <v>0</v>
      </c>
      <c r="M85" s="1281">
        <f t="shared" si="29"/>
        <v>0</v>
      </c>
      <c r="N85" s="1281">
        <f t="shared" si="29"/>
        <v>0</v>
      </c>
      <c r="Z85" s="2707"/>
      <c r="AA85" s="2783"/>
      <c r="AG85" s="1368"/>
      <c r="AK85" s="2783"/>
    </row>
    <row r="86" spans="1:37" ht="24">
      <c r="A86" s="2865" t="s">
        <v>2945</v>
      </c>
      <c r="B86" s="1720">
        <f>估价对象房地状况!G20</f>
        <v>0</v>
      </c>
      <c r="C86" s="2757"/>
      <c r="D86" s="1282">
        <f t="shared" si="25"/>
        <v>0</v>
      </c>
      <c r="E86" s="821"/>
      <c r="F86" s="2488"/>
      <c r="G86" s="1280"/>
      <c r="H86" s="1284" t="str">
        <f t="shared" si="26"/>
        <v>——</v>
      </c>
      <c r="I86" s="815">
        <v>0.15</v>
      </c>
      <c r="J86" s="1281">
        <f t="shared" si="27"/>
        <v>0</v>
      </c>
      <c r="K86" s="1281">
        <f t="shared" si="28"/>
        <v>0</v>
      </c>
      <c r="L86" s="1281">
        <v>0</v>
      </c>
      <c r="M86" s="1281">
        <f t="shared" si="29"/>
        <v>0</v>
      </c>
      <c r="N86" s="1281">
        <f t="shared" si="29"/>
        <v>0</v>
      </c>
      <c r="Z86" s="2707"/>
      <c r="AA86" s="2783"/>
      <c r="AG86" s="1368"/>
      <c r="AK86" s="2783"/>
    </row>
    <row r="87" spans="1:37" ht="24">
      <c r="A87" s="2865" t="s">
        <v>2942</v>
      </c>
      <c r="B87" s="2871" t="s">
        <v>2956</v>
      </c>
      <c r="C87" s="2757"/>
      <c r="D87" s="1282">
        <f t="shared" si="25"/>
        <v>0</v>
      </c>
      <c r="E87" s="821"/>
      <c r="F87" s="2488"/>
      <c r="G87" s="1280"/>
      <c r="H87" s="1284" t="str">
        <f t="shared" si="26"/>
        <v>——</v>
      </c>
      <c r="I87" s="815">
        <v>0.05</v>
      </c>
      <c r="J87" s="1281">
        <f t="shared" si="27"/>
        <v>0</v>
      </c>
      <c r="K87" s="1281">
        <f t="shared" si="28"/>
        <v>0</v>
      </c>
      <c r="L87" s="1281">
        <v>0</v>
      </c>
      <c r="M87" s="1281">
        <f t="shared" si="29"/>
        <v>0</v>
      </c>
      <c r="N87" s="1281">
        <f t="shared" si="29"/>
        <v>0</v>
      </c>
      <c r="Z87" s="2707"/>
      <c r="AA87" s="2783"/>
      <c r="AG87" s="1368"/>
      <c r="AK87" s="2783"/>
    </row>
    <row r="88" spans="1:37" ht="15" thickBot="1">
      <c r="A88" s="2873" t="s">
        <v>2957</v>
      </c>
      <c r="B88" s="2878">
        <f>估价对象房地状况!G18</f>
        <v>0</v>
      </c>
      <c r="C88" s="2757"/>
      <c r="D88" s="1282">
        <f t="shared" si="25"/>
        <v>0</v>
      </c>
      <c r="E88" s="822"/>
      <c r="F88" s="2488"/>
      <c r="G88" s="1280"/>
      <c r="H88" s="1284" t="str">
        <f t="shared" si="26"/>
        <v>——</v>
      </c>
      <c r="I88" s="819">
        <v>0.06</v>
      </c>
      <c r="J88" s="1281">
        <f t="shared" si="27"/>
        <v>0</v>
      </c>
      <c r="K88" s="1281">
        <f t="shared" si="28"/>
        <v>0</v>
      </c>
      <c r="L88" s="1281">
        <v>0</v>
      </c>
      <c r="M88" s="1281">
        <f t="shared" si="29"/>
        <v>0</v>
      </c>
      <c r="N88" s="1281">
        <f t="shared" si="29"/>
        <v>0</v>
      </c>
      <c r="Z88" s="2707"/>
      <c r="AA88" s="2783"/>
      <c r="AG88" s="1368"/>
      <c r="AK88" s="2783"/>
    </row>
    <row r="90" spans="1:37">
      <c r="A90" s="3360" t="s">
        <v>2958</v>
      </c>
      <c r="B90" s="3360"/>
      <c r="C90" s="3360"/>
      <c r="D90" s="3360"/>
      <c r="E90" s="3360"/>
      <c r="F90" s="3360"/>
      <c r="G90" s="3360"/>
      <c r="H90" s="3360"/>
      <c r="I90" s="3360"/>
      <c r="J90" s="3360"/>
      <c r="K90" s="2879"/>
      <c r="L90" s="2879"/>
      <c r="M90" s="2879"/>
      <c r="N90" s="2879"/>
    </row>
    <row r="91" spans="1:37">
      <c r="A91" s="3362" t="s">
        <v>2959</v>
      </c>
      <c r="B91" s="3362" t="s">
        <v>2960</v>
      </c>
      <c r="C91" s="2833" t="s">
        <v>2961</v>
      </c>
      <c r="D91" s="2834"/>
      <c r="E91" s="2834"/>
      <c r="F91" s="2834"/>
      <c r="G91" s="2834"/>
      <c r="H91" s="2834"/>
      <c r="I91" s="2834"/>
      <c r="J91" s="2880"/>
      <c r="K91" s="2881"/>
      <c r="L91" s="2881"/>
      <c r="M91" s="2881"/>
      <c r="N91" s="2881"/>
    </row>
    <row r="92" spans="1:37">
      <c r="A92" s="3362"/>
      <c r="B92" s="3362"/>
      <c r="C92" s="940" t="s">
        <v>2825</v>
      </c>
      <c r="D92" s="940" t="s">
        <v>2826</v>
      </c>
      <c r="E92" s="940" t="s">
        <v>2827</v>
      </c>
      <c r="F92" s="940" t="s">
        <v>2828</v>
      </c>
      <c r="G92" s="940" t="s">
        <v>2829</v>
      </c>
      <c r="H92" s="940" t="s">
        <v>2830</v>
      </c>
      <c r="I92" s="940" t="s">
        <v>2831</v>
      </c>
      <c r="J92" s="940" t="s">
        <v>2832</v>
      </c>
      <c r="K92" s="940" t="s">
        <v>2833</v>
      </c>
      <c r="L92" s="940" t="s">
        <v>2834</v>
      </c>
      <c r="M92" s="940" t="s">
        <v>2835</v>
      </c>
      <c r="N92" s="940" t="s">
        <v>2836</v>
      </c>
    </row>
    <row r="93" spans="1:37">
      <c r="A93" s="3363" t="s">
        <v>2962</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64"/>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64"/>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64"/>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64"/>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64"/>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64"/>
      <c r="B99" s="2882" t="s">
        <v>2841</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65"/>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63" t="s">
        <v>2963</v>
      </c>
      <c r="B101" s="2886" t="s">
        <v>2964</v>
      </c>
      <c r="C101" s="2887">
        <f>$G$3</f>
        <v>0.93</v>
      </c>
      <c r="D101" s="2887">
        <f t="shared" ref="D101:N101" si="31">$G$3</f>
        <v>0.93</v>
      </c>
      <c r="E101" s="2887">
        <f t="shared" si="31"/>
        <v>0.93</v>
      </c>
      <c r="F101" s="2887">
        <f t="shared" si="31"/>
        <v>0.93</v>
      </c>
      <c r="G101" s="2887">
        <f t="shared" si="31"/>
        <v>0.93</v>
      </c>
      <c r="H101" s="2887">
        <f t="shared" si="31"/>
        <v>0.93</v>
      </c>
      <c r="I101" s="2887">
        <f t="shared" si="31"/>
        <v>0.93</v>
      </c>
      <c r="J101" s="2887">
        <f t="shared" si="31"/>
        <v>0.93</v>
      </c>
      <c r="K101" s="2887">
        <f t="shared" si="31"/>
        <v>0.93</v>
      </c>
      <c r="L101" s="2887">
        <f t="shared" si="31"/>
        <v>0.93</v>
      </c>
      <c r="M101" s="2887">
        <f t="shared" si="31"/>
        <v>0.93</v>
      </c>
      <c r="N101" s="2887">
        <f t="shared" si="31"/>
        <v>0.93</v>
      </c>
    </row>
    <row r="102" spans="1:14">
      <c r="A102" s="3364"/>
      <c r="B102" s="2882">
        <v>1</v>
      </c>
      <c r="C102" s="2883">
        <f>1.9362/C101</f>
        <v>2.0819354838709674</v>
      </c>
      <c r="D102" s="2883">
        <f>1.9362/D101</f>
        <v>2.0819354838709674</v>
      </c>
      <c r="E102" s="2883">
        <f>1.8629/E101</f>
        <v>2.0031182795698923</v>
      </c>
      <c r="F102" s="2883">
        <f>1.8629/F101</f>
        <v>2.0031182795698923</v>
      </c>
      <c r="G102" s="2883">
        <f>1.8629/G101</f>
        <v>2.0031182795698923</v>
      </c>
      <c r="H102" s="2883">
        <f>1.8629/H101</f>
        <v>2.0031182795698923</v>
      </c>
      <c r="I102" s="2883">
        <f>1.8629/I101</f>
        <v>2.0031182795698923</v>
      </c>
      <c r="J102" s="2883">
        <f>1.942/J101</f>
        <v>2.0881720430107524</v>
      </c>
      <c r="K102" s="2883">
        <f>1.942/K101</f>
        <v>2.0881720430107524</v>
      </c>
      <c r="L102" s="2883">
        <f>1.942/L101</f>
        <v>2.0881720430107524</v>
      </c>
      <c r="M102" s="2883">
        <f>1.942/M101</f>
        <v>2.0881720430107524</v>
      </c>
      <c r="N102" s="2883">
        <f>1.942/N101</f>
        <v>2.0881720430107524</v>
      </c>
    </row>
    <row r="103" spans="1:14">
      <c r="A103" s="3364"/>
      <c r="B103" s="2882">
        <v>2</v>
      </c>
      <c r="C103" s="2883">
        <f>1.4198/C101</f>
        <v>1.5266666666666666</v>
      </c>
      <c r="D103" s="2883">
        <f>1.4198/D101</f>
        <v>1.5266666666666666</v>
      </c>
      <c r="E103" s="2883">
        <f>1.3372/E101</f>
        <v>1.4378494623655913</v>
      </c>
      <c r="F103" s="2883">
        <f>1.3372/F101</f>
        <v>1.4378494623655913</v>
      </c>
      <c r="G103" s="2883">
        <f>1.3372/G101</f>
        <v>1.4378494623655913</v>
      </c>
      <c r="H103" s="2883">
        <f>1.3372/H101</f>
        <v>1.4378494623655913</v>
      </c>
      <c r="I103" s="2883">
        <f>1.3372/I101</f>
        <v>1.4378494623655913</v>
      </c>
      <c r="J103" s="2883">
        <f>1.2799/J101</f>
        <v>1.3762365591397849</v>
      </c>
      <c r="K103" s="2883">
        <f>1.2799/K101</f>
        <v>1.3762365591397849</v>
      </c>
      <c r="L103" s="2883">
        <f>1.2799/L101</f>
        <v>1.3762365591397849</v>
      </c>
      <c r="M103" s="2883">
        <f>1.2799/M101</f>
        <v>1.3762365591397849</v>
      </c>
      <c r="N103" s="2883">
        <f>1.2799/N101</f>
        <v>1.3762365591397849</v>
      </c>
    </row>
    <row r="104" spans="1:14">
      <c r="A104" s="3364"/>
      <c r="B104" s="2882">
        <v>3</v>
      </c>
      <c r="C104" s="2883">
        <f>1.1594/C101</f>
        <v>1.2466666666666666</v>
      </c>
      <c r="D104" s="2883">
        <f>1.1594/D101</f>
        <v>1.2466666666666666</v>
      </c>
      <c r="E104" s="2883">
        <f>1.0788/E101</f>
        <v>1.1599999999999999</v>
      </c>
      <c r="F104" s="2883">
        <f>1.0788/F101</f>
        <v>1.1599999999999999</v>
      </c>
      <c r="G104" s="2883">
        <f>1.0788/G101</f>
        <v>1.1599999999999999</v>
      </c>
      <c r="H104" s="2883">
        <f>1.0788/H101</f>
        <v>1.1599999999999999</v>
      </c>
      <c r="I104" s="2883">
        <f>1.0788/I101</f>
        <v>1.1599999999999999</v>
      </c>
      <c r="J104" s="2883">
        <f>1.0072/J101</f>
        <v>1.083010752688172</v>
      </c>
      <c r="K104" s="2883">
        <f>1.0072/K101</f>
        <v>1.083010752688172</v>
      </c>
      <c r="L104" s="2883">
        <f>1.0072/L101</f>
        <v>1.083010752688172</v>
      </c>
      <c r="M104" s="2883">
        <f>1.0072/M101</f>
        <v>1.083010752688172</v>
      </c>
      <c r="N104" s="2883">
        <f>1.0072/N101</f>
        <v>1.083010752688172</v>
      </c>
    </row>
    <row r="105" spans="1:14">
      <c r="A105" s="3364"/>
      <c r="B105" s="2882">
        <v>4</v>
      </c>
      <c r="C105" s="2883">
        <f>0.9622/C101</f>
        <v>1.0346236559139785</v>
      </c>
      <c r="D105" s="2883">
        <f>0.9622/D101</f>
        <v>1.0346236559139785</v>
      </c>
      <c r="E105" s="2883">
        <f>0.8656/E101</f>
        <v>0.93075268817204304</v>
      </c>
      <c r="F105" s="2883">
        <f>0.8656/F101</f>
        <v>0.93075268817204304</v>
      </c>
      <c r="G105" s="2883">
        <f>0.8656/G101</f>
        <v>0.93075268817204304</v>
      </c>
      <c r="H105" s="2883">
        <f>0.8656/H101</f>
        <v>0.93075268817204304</v>
      </c>
      <c r="I105" s="2883">
        <f>0.8656/I101</f>
        <v>0.93075268817204304</v>
      </c>
      <c r="J105" s="2883">
        <f>0.7525/J101</f>
        <v>0.80913978494623651</v>
      </c>
      <c r="K105" s="2883">
        <f>0.7525/K101</f>
        <v>0.80913978494623651</v>
      </c>
      <c r="L105" s="2883">
        <f>0.7525/L101</f>
        <v>0.80913978494623651</v>
      </c>
      <c r="M105" s="2883">
        <f>0.7525/M101</f>
        <v>0.80913978494623651</v>
      </c>
      <c r="N105" s="2883">
        <f>0.7525/N101</f>
        <v>0.80913978494623651</v>
      </c>
    </row>
    <row r="106" spans="1:14">
      <c r="A106" s="3364"/>
      <c r="B106" s="2882">
        <v>5</v>
      </c>
      <c r="C106" s="2883">
        <f>0.8417/C101</f>
        <v>0.90505376344086019</v>
      </c>
      <c r="D106" s="2883">
        <f>0.8417/D101</f>
        <v>0.90505376344086019</v>
      </c>
      <c r="E106" s="2883">
        <f>0.7371/E101</f>
        <v>0.79258064516129023</v>
      </c>
      <c r="F106" s="2883">
        <f>0.7371/F101</f>
        <v>0.79258064516129023</v>
      </c>
      <c r="G106" s="2883">
        <f>0.7371/G101</f>
        <v>0.79258064516129023</v>
      </c>
      <c r="H106" s="2883">
        <f>0.7371/H101</f>
        <v>0.79258064516129023</v>
      </c>
      <c r="I106" s="2883">
        <f>0.7371/I101</f>
        <v>0.79258064516129023</v>
      </c>
      <c r="J106" s="2883">
        <f>0.5659/J101</f>
        <v>0.60849462365591389</v>
      </c>
      <c r="K106" s="2883">
        <f>0.5659/K101</f>
        <v>0.60849462365591389</v>
      </c>
      <c r="L106" s="2883">
        <f>0.5659/L101</f>
        <v>0.60849462365591389</v>
      </c>
      <c r="M106" s="2883">
        <f>0.5659/M101</f>
        <v>0.60849462365591389</v>
      </c>
      <c r="N106" s="2883">
        <f>0.5659/N101</f>
        <v>0.60849462365591389</v>
      </c>
    </row>
    <row r="107" spans="1:14">
      <c r="A107" s="3364"/>
      <c r="B107" s="2882">
        <v>6</v>
      </c>
      <c r="C107" s="2883">
        <f>0.7608/C101</f>
        <v>0.8180645161290323</v>
      </c>
      <c r="D107" s="2883">
        <f>0.7608/D101</f>
        <v>0.8180645161290323</v>
      </c>
      <c r="E107" s="2883">
        <f>0.6482/E101</f>
        <v>0.69698924731182788</v>
      </c>
      <c r="F107" s="2883">
        <f>0.6482/F101</f>
        <v>0.69698924731182788</v>
      </c>
      <c r="G107" s="2883">
        <f>0.6482/G101</f>
        <v>0.69698924731182788</v>
      </c>
      <c r="H107" s="2883">
        <f>0.6482/H101</f>
        <v>0.69698924731182788</v>
      </c>
      <c r="I107" s="2883">
        <f>0.6482/I101</f>
        <v>0.69698924731182788</v>
      </c>
      <c r="J107" s="2883">
        <f>0.4525/J101</f>
        <v>0.48655913978494625</v>
      </c>
      <c r="K107" s="2883">
        <f>0.4525/K101</f>
        <v>0.48655913978494625</v>
      </c>
      <c r="L107" s="2883">
        <f>0.4525/L101</f>
        <v>0.48655913978494625</v>
      </c>
      <c r="M107" s="2883">
        <f>0.4525/M101</f>
        <v>0.48655913978494625</v>
      </c>
      <c r="N107" s="2883">
        <f>0.4525/N101</f>
        <v>0.48655913978494625</v>
      </c>
    </row>
    <row r="108" spans="1:14">
      <c r="A108" s="3364"/>
      <c r="B108" s="3188" t="s">
        <v>2965</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65"/>
      <c r="B109" s="3189"/>
      <c r="C109" s="2885">
        <f>(-0.163*(C108^2)-0.59*C108+7617)*(10^(-4))/C101</f>
        <v>0.81903225806451618</v>
      </c>
      <c r="D109" s="2885">
        <f>(-0.163*(D108^2)-0.59*D108+7617)*(10^(-4))/D101</f>
        <v>0.81903225806451618</v>
      </c>
      <c r="E109" s="2885">
        <f>(-0.161*(E108^2)-7.509*E108+6533)*(10^(-4))/E101</f>
        <v>0.70247311827956982</v>
      </c>
      <c r="F109" s="2885">
        <f>(-0.161*(F108^2)-7.509*F108+6533)*(10^(-4))/F101</f>
        <v>0.70247311827956982</v>
      </c>
      <c r="G109" s="2885">
        <f>(-0.161*(G108^2)-7.509*G108+6533)*(10^(-4))/G101</f>
        <v>0.70247311827956982</v>
      </c>
      <c r="H109" s="2885">
        <f>(-0.161*(H108^2)-7.509*H108+6533)*(10^(-4))/H101</f>
        <v>0.70247311827956982</v>
      </c>
      <c r="I109" s="2885">
        <f>(-0.161*(I108^2)-7.509*I108+6533)*(10^(-4))/I101</f>
        <v>0.70247311827956982</v>
      </c>
      <c r="J109" s="2885">
        <f>(-0.214*(J108^2)-21.991*J108+4665)*(10^(-4))/J101</f>
        <v>0.50161290322580643</v>
      </c>
      <c r="K109" s="2885">
        <f>(-0.214*(K108^2)-21.991*K108+4665)*(10^(-4))/K101</f>
        <v>0.50161290322580643</v>
      </c>
      <c r="L109" s="2885">
        <f>(-0.214*(L108^2)-21.991*L108+4665)*(10^(-4))/L101</f>
        <v>0.50161290322580643</v>
      </c>
      <c r="M109" s="2885">
        <f>(-0.214*(M108^2)-21.991*M108+4665)*(10^(-4))/M101</f>
        <v>0.50161290322580643</v>
      </c>
      <c r="N109" s="2885">
        <f>(-0.214*(N108^2)-21.991*N108+4665)*(10^(-4))/N101</f>
        <v>0.50161290322580643</v>
      </c>
    </row>
    <row r="110" spans="1:14">
      <c r="A110" s="3361" t="s">
        <v>2966</v>
      </c>
      <c r="B110" s="3361"/>
      <c r="C110" s="3361"/>
      <c r="D110" s="3361"/>
      <c r="E110" s="3361"/>
      <c r="F110" s="3361"/>
      <c r="G110" s="3361"/>
      <c r="H110" s="3361"/>
      <c r="I110" s="3361"/>
      <c r="J110" s="3361"/>
      <c r="K110" s="2888"/>
      <c r="L110" s="2888"/>
      <c r="M110" s="2888"/>
      <c r="N110" s="2888"/>
    </row>
    <row r="112" spans="1:14" ht="13.5" thickBot="1"/>
    <row r="113" spans="1:13" ht="25.5" thickBot="1">
      <c r="A113" s="898" t="s">
        <v>2967</v>
      </c>
      <c r="B113" s="1283">
        <f>G3</f>
        <v>0.93</v>
      </c>
      <c r="C113" s="899" t="s">
        <v>2968</v>
      </c>
      <c r="D113" s="900">
        <f>SUMPRODUCT((A115:A118=F113)*(B114:M114=H113)*B115:M118)</f>
        <v>0</v>
      </c>
      <c r="E113" s="2711" t="s">
        <v>2798</v>
      </c>
      <c r="F113" s="2890">
        <f>E2</f>
        <v>0</v>
      </c>
      <c r="G113" s="2711" t="s">
        <v>2799</v>
      </c>
      <c r="H113" s="2890">
        <f>G2</f>
        <v>0</v>
      </c>
      <c r="I113" s="2711"/>
      <c r="J113" s="2891"/>
      <c r="K113" s="2891"/>
      <c r="L113" s="2891"/>
      <c r="M113" s="2891"/>
    </row>
    <row r="114" spans="1:13">
      <c r="A114" s="903"/>
      <c r="B114" s="2892" t="s">
        <v>2969</v>
      </c>
      <c r="C114" s="2892" t="s">
        <v>2970</v>
      </c>
      <c r="D114" s="2892" t="s">
        <v>2971</v>
      </c>
      <c r="E114" s="2893" t="s">
        <v>2972</v>
      </c>
      <c r="F114" s="2893" t="s">
        <v>2973</v>
      </c>
      <c r="G114" s="2893" t="s">
        <v>2974</v>
      </c>
      <c r="H114" s="2894" t="s">
        <v>2975</v>
      </c>
      <c r="I114" s="2894" t="s">
        <v>2976</v>
      </c>
      <c r="J114" s="2895" t="s">
        <v>2977</v>
      </c>
      <c r="K114" s="2895" t="s">
        <v>2978</v>
      </c>
      <c r="L114" s="2895" t="s">
        <v>2979</v>
      </c>
      <c r="M114" s="2896" t="s">
        <v>2980</v>
      </c>
    </row>
    <row r="115" spans="1:13">
      <c r="A115" s="904" t="s">
        <v>2863</v>
      </c>
      <c r="B115" s="905">
        <f>ROUND(0.9335-0.0094*B113,4)</f>
        <v>0.92479999999999996</v>
      </c>
      <c r="C115" s="905">
        <f>B115</f>
        <v>0.92479999999999996</v>
      </c>
      <c r="D115" s="905">
        <f>ROUND(0.8331-0.0109*B113,4)</f>
        <v>0.82299999999999995</v>
      </c>
      <c r="E115" s="905">
        <f>D115</f>
        <v>0.82299999999999995</v>
      </c>
      <c r="F115" s="905">
        <f>E115</f>
        <v>0.82299999999999995</v>
      </c>
      <c r="G115" s="905">
        <f>F115</f>
        <v>0.82299999999999995</v>
      </c>
      <c r="H115" s="905">
        <f>G115</f>
        <v>0.82299999999999995</v>
      </c>
      <c r="I115" s="905">
        <f>ROUND(0.689-0.0155*B113,4)</f>
        <v>0.67459999999999998</v>
      </c>
      <c r="J115" s="905">
        <f t="shared" ref="J115:M118" si="33">I115</f>
        <v>0.67459999999999998</v>
      </c>
      <c r="K115" s="905">
        <f t="shared" si="33"/>
        <v>0.67459999999999998</v>
      </c>
      <c r="L115" s="905">
        <f t="shared" si="33"/>
        <v>0.67459999999999998</v>
      </c>
      <c r="M115" s="906">
        <f t="shared" si="33"/>
        <v>0.67459999999999998</v>
      </c>
    </row>
    <row r="116" spans="1:13">
      <c r="A116" s="904" t="s">
        <v>2864</v>
      </c>
      <c r="B116" s="905">
        <f>ROUND(0.949-0.012*B113,4)</f>
        <v>0.93779999999999997</v>
      </c>
      <c r="C116" s="905">
        <f>B116</f>
        <v>0.93779999999999997</v>
      </c>
      <c r="D116" s="905">
        <f>ROUND(0.8567-0.013*B113,4)</f>
        <v>0.84460000000000002</v>
      </c>
      <c r="E116" s="905">
        <f t="shared" ref="E116:H117" si="34">D116</f>
        <v>0.84460000000000002</v>
      </c>
      <c r="F116" s="905">
        <f t="shared" si="34"/>
        <v>0.84460000000000002</v>
      </c>
      <c r="G116" s="905">
        <f t="shared" si="34"/>
        <v>0.84460000000000002</v>
      </c>
      <c r="H116" s="905">
        <f t="shared" si="34"/>
        <v>0.84460000000000002</v>
      </c>
      <c r="I116" s="905">
        <f>ROUND(0.7694-0.014*B113,4)</f>
        <v>0.75639999999999996</v>
      </c>
      <c r="J116" s="905">
        <f t="shared" si="33"/>
        <v>0.75639999999999996</v>
      </c>
      <c r="K116" s="905">
        <f t="shared" si="33"/>
        <v>0.75639999999999996</v>
      </c>
      <c r="L116" s="905">
        <f t="shared" si="33"/>
        <v>0.75639999999999996</v>
      </c>
      <c r="M116" s="906">
        <f t="shared" si="33"/>
        <v>0.75639999999999996</v>
      </c>
    </row>
    <row r="117" spans="1:13">
      <c r="A117" s="904" t="s">
        <v>2865</v>
      </c>
      <c r="B117" s="905">
        <f>ROUND(0.8808-0.006*B113,4)</f>
        <v>0.87519999999999998</v>
      </c>
      <c r="C117" s="905">
        <f>B117</f>
        <v>0.87519999999999998</v>
      </c>
      <c r="D117" s="905">
        <f>ROUND(0.8748-0.008*B113,4)</f>
        <v>0.86739999999999995</v>
      </c>
      <c r="E117" s="905">
        <f t="shared" si="34"/>
        <v>0.86739999999999995</v>
      </c>
      <c r="F117" s="905">
        <f t="shared" si="34"/>
        <v>0.86739999999999995</v>
      </c>
      <c r="G117" s="905">
        <f t="shared" si="34"/>
        <v>0.86739999999999995</v>
      </c>
      <c r="H117" s="905">
        <f t="shared" si="34"/>
        <v>0.86739999999999995</v>
      </c>
      <c r="I117" s="905">
        <f>ROUND(0.7412-0.0095*B113,4)</f>
        <v>0.73240000000000005</v>
      </c>
      <c r="J117" s="905">
        <f t="shared" si="33"/>
        <v>0.73240000000000005</v>
      </c>
      <c r="K117" s="905">
        <f t="shared" si="33"/>
        <v>0.73240000000000005</v>
      </c>
      <c r="L117" s="905">
        <f t="shared" si="33"/>
        <v>0.73240000000000005</v>
      </c>
      <c r="M117" s="906">
        <f t="shared" si="33"/>
        <v>0.73240000000000005</v>
      </c>
    </row>
    <row r="118" spans="1:13" ht="13.5" thickBot="1">
      <c r="A118" s="710" t="s">
        <v>2866</v>
      </c>
      <c r="B118" s="907">
        <f>ROUND(0.7275-0.01*B113,4)</f>
        <v>0.71819999999999995</v>
      </c>
      <c r="C118" s="907">
        <f>B118</f>
        <v>0.71819999999999995</v>
      </c>
      <c r="D118" s="907">
        <f>ROUND(0.7043-0.012*B113,4)</f>
        <v>0.69310000000000005</v>
      </c>
      <c r="E118" s="907">
        <f>D118</f>
        <v>0.69310000000000005</v>
      </c>
      <c r="F118" s="907">
        <f>E118</f>
        <v>0.69310000000000005</v>
      </c>
      <c r="G118" s="907">
        <f>ROUND(0.6299-0.0122*B113,4)</f>
        <v>0.61860000000000004</v>
      </c>
      <c r="H118" s="907">
        <f>G118</f>
        <v>0.61860000000000004</v>
      </c>
      <c r="I118" s="907">
        <f>ROUND(0.5667-0.0136*B113,4)</f>
        <v>0.55410000000000004</v>
      </c>
      <c r="J118" s="907">
        <f t="shared" si="33"/>
        <v>0.55410000000000004</v>
      </c>
      <c r="K118" s="907">
        <f t="shared" si="33"/>
        <v>0.55410000000000004</v>
      </c>
      <c r="L118" s="907">
        <f t="shared" si="33"/>
        <v>0.55410000000000004</v>
      </c>
      <c r="M118" s="908">
        <f t="shared" si="33"/>
        <v>0.55410000000000004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78" t="s">
        <v>183</v>
      </c>
      <c r="B18" s="877" t="s">
        <v>560</v>
      </c>
      <c r="C18" s="878" t="s">
        <v>561</v>
      </c>
      <c r="D18" s="879"/>
      <c r="E18" s="877">
        <v>1</v>
      </c>
      <c r="F18" s="880" t="s">
        <v>562</v>
      </c>
      <c r="G18" s="881"/>
      <c r="H18" s="873"/>
      <c r="I18" s="873"/>
    </row>
    <row r="19" spans="1:9" s="882" customFormat="1" ht="19.5" customHeight="1">
      <c r="A19" s="3378"/>
      <c r="B19" s="3378" t="s">
        <v>563</v>
      </c>
      <c r="C19" s="878" t="s">
        <v>564</v>
      </c>
      <c r="D19" s="879"/>
      <c r="E19" s="877">
        <v>0.9</v>
      </c>
      <c r="F19" s="880" t="s">
        <v>565</v>
      </c>
      <c r="G19" s="881"/>
      <c r="H19" s="873"/>
      <c r="I19" s="873"/>
    </row>
    <row r="20" spans="1:9" s="882" customFormat="1" ht="19.5" customHeight="1">
      <c r="A20" s="3378"/>
      <c r="B20" s="3378"/>
      <c r="C20" s="878" t="s">
        <v>566</v>
      </c>
      <c r="D20" s="879"/>
      <c r="E20" s="877">
        <v>1.1000000000000001</v>
      </c>
      <c r="F20" s="880" t="s">
        <v>567</v>
      </c>
      <c r="G20" s="881"/>
      <c r="H20" s="873"/>
      <c r="I20" s="873"/>
    </row>
    <row r="21" spans="1:9" s="882" customFormat="1" ht="19.5" customHeight="1">
      <c r="A21" s="3378"/>
      <c r="B21" s="3378"/>
      <c r="C21" s="878" t="s">
        <v>568</v>
      </c>
      <c r="D21" s="879"/>
      <c r="E21" s="877">
        <v>0.8</v>
      </c>
      <c r="F21" s="880" t="s">
        <v>569</v>
      </c>
      <c r="G21" s="881"/>
      <c r="H21" s="873"/>
      <c r="I21" s="873"/>
    </row>
    <row r="22" spans="1:9" s="882" customFormat="1" ht="19.5" customHeight="1">
      <c r="A22" s="3378"/>
      <c r="B22" s="3378"/>
      <c r="C22" s="878" t="s">
        <v>570</v>
      </c>
      <c r="D22" s="879"/>
      <c r="E22" s="877">
        <v>0.5</v>
      </c>
      <c r="F22" s="880"/>
      <c r="G22" s="881"/>
      <c r="H22" s="873"/>
      <c r="I22" s="873"/>
    </row>
    <row r="23" spans="1:9" s="882" customFormat="1" ht="19.5" customHeight="1">
      <c r="A23" s="3378" t="s">
        <v>184</v>
      </c>
      <c r="B23" s="877" t="s">
        <v>560</v>
      </c>
      <c r="C23" s="878" t="s">
        <v>571</v>
      </c>
      <c r="D23" s="879"/>
      <c r="E23" s="877">
        <v>1</v>
      </c>
      <c r="F23" s="880" t="s">
        <v>572</v>
      </c>
      <c r="G23" s="881"/>
      <c r="H23" s="873"/>
      <c r="I23" s="873"/>
    </row>
    <row r="24" spans="1:9" s="882" customFormat="1" ht="19.5" customHeight="1">
      <c r="A24" s="3378"/>
      <c r="B24" s="3378" t="s">
        <v>563</v>
      </c>
      <c r="C24" s="878" t="s">
        <v>573</v>
      </c>
      <c r="D24" s="879"/>
      <c r="E24" s="877">
        <v>0.5</v>
      </c>
      <c r="F24" s="880"/>
      <c r="G24" s="881"/>
      <c r="H24" s="873"/>
      <c r="I24" s="873"/>
    </row>
    <row r="25" spans="1:9" s="882" customFormat="1" ht="19.5" customHeight="1">
      <c r="A25" s="3378"/>
      <c r="B25" s="3378"/>
      <c r="C25" s="878" t="s">
        <v>574</v>
      </c>
      <c r="D25" s="879"/>
      <c r="E25" s="877">
        <v>1.1000000000000001</v>
      </c>
      <c r="F25" s="880"/>
      <c r="G25" s="881"/>
      <c r="H25" s="873"/>
      <c r="I25" s="873"/>
    </row>
    <row r="26" spans="1:9" s="882" customFormat="1" ht="19.5" customHeight="1">
      <c r="A26" s="3378"/>
      <c r="B26" s="3378"/>
      <c r="C26" s="878" t="s">
        <v>575</v>
      </c>
      <c r="D26" s="879"/>
      <c r="E26" s="877">
        <v>1.1000000000000001</v>
      </c>
      <c r="F26" s="880"/>
      <c r="G26" s="881"/>
      <c r="H26" s="873"/>
      <c r="I26" s="873"/>
    </row>
    <row r="27" spans="1:9" s="882" customFormat="1" ht="19.5" customHeight="1">
      <c r="A27" s="3378"/>
      <c r="B27" s="3378"/>
      <c r="C27" s="878" t="s">
        <v>576</v>
      </c>
      <c r="D27" s="879"/>
      <c r="E27" s="877">
        <v>0.9</v>
      </c>
      <c r="F27" s="880" t="s">
        <v>577</v>
      </c>
      <c r="G27" s="881"/>
      <c r="H27" s="873"/>
      <c r="I27" s="873"/>
    </row>
    <row r="28" spans="1:9" s="882" customFormat="1" ht="19.5" customHeight="1">
      <c r="A28" s="3378"/>
      <c r="B28" s="3378"/>
      <c r="C28" s="878" t="s">
        <v>578</v>
      </c>
      <c r="D28" s="879"/>
      <c r="E28" s="877">
        <v>0.9</v>
      </c>
      <c r="F28" s="880" t="s">
        <v>579</v>
      </c>
      <c r="G28" s="881"/>
      <c r="H28" s="873"/>
      <c r="I28" s="873"/>
    </row>
    <row r="29" spans="1:9" s="882" customFormat="1" ht="19.5" customHeight="1">
      <c r="A29" s="3378"/>
      <c r="B29" s="3378"/>
      <c r="C29" s="878" t="s">
        <v>580</v>
      </c>
      <c r="D29" s="879"/>
      <c r="E29" s="877">
        <v>0.9</v>
      </c>
      <c r="F29" s="880" t="s">
        <v>581</v>
      </c>
      <c r="G29" s="881"/>
      <c r="H29" s="873"/>
      <c r="I29" s="873"/>
    </row>
    <row r="30" spans="1:9" s="882" customFormat="1" ht="19.5" customHeight="1">
      <c r="A30" s="3378"/>
      <c r="B30" s="3378"/>
      <c r="C30" s="878" t="s">
        <v>582</v>
      </c>
      <c r="D30" s="879"/>
      <c r="E30" s="877">
        <v>0.9</v>
      </c>
      <c r="F30" s="880" t="s">
        <v>583</v>
      </c>
      <c r="G30" s="881"/>
      <c r="H30" s="873"/>
      <c r="I30" s="873"/>
    </row>
    <row r="31" spans="1:9" s="882" customFormat="1" ht="19.5" customHeight="1">
      <c r="A31" s="3378"/>
      <c r="B31" s="3378"/>
      <c r="C31" s="878" t="s">
        <v>584</v>
      </c>
      <c r="D31" s="879"/>
      <c r="E31" s="877">
        <v>0.8</v>
      </c>
      <c r="F31" s="880" t="s">
        <v>585</v>
      </c>
      <c r="G31" s="881"/>
      <c r="H31" s="873"/>
      <c r="I31" s="873"/>
    </row>
    <row r="32" spans="1:9" s="882" customFormat="1" ht="19.5" customHeight="1">
      <c r="A32" s="3378"/>
      <c r="B32" s="3378"/>
      <c r="C32" s="878" t="s">
        <v>586</v>
      </c>
      <c r="D32" s="879"/>
      <c r="E32" s="877">
        <v>0.8</v>
      </c>
      <c r="F32" s="880" t="s">
        <v>587</v>
      </c>
      <c r="G32" s="881"/>
      <c r="H32" s="873"/>
      <c r="I32" s="873"/>
    </row>
    <row r="33" spans="1:9" s="882" customFormat="1" ht="19.5" customHeight="1">
      <c r="A33" s="3378" t="s">
        <v>185</v>
      </c>
      <c r="B33" s="877" t="s">
        <v>560</v>
      </c>
      <c r="C33" s="878" t="s">
        <v>588</v>
      </c>
      <c r="D33" s="879"/>
      <c r="E33" s="877">
        <v>1</v>
      </c>
      <c r="F33" s="880" t="s">
        <v>589</v>
      </c>
      <c r="G33" s="881"/>
      <c r="H33" s="873"/>
      <c r="I33" s="873"/>
    </row>
    <row r="34" spans="1:9" s="882" customFormat="1" ht="19.5" customHeight="1">
      <c r="A34" s="3378"/>
      <c r="B34" s="877" t="s">
        <v>563</v>
      </c>
      <c r="C34" s="878" t="s">
        <v>590</v>
      </c>
      <c r="D34" s="879"/>
      <c r="E34" s="877">
        <v>1.5</v>
      </c>
      <c r="F34" s="880" t="s">
        <v>591</v>
      </c>
      <c r="G34" s="881"/>
      <c r="H34" s="873"/>
      <c r="I34" s="873"/>
    </row>
    <row r="35" spans="1:9" s="882" customFormat="1" ht="19.5" customHeight="1">
      <c r="A35" s="3378" t="s">
        <v>186</v>
      </c>
      <c r="B35" s="877" t="s">
        <v>560</v>
      </c>
      <c r="C35" s="878" t="s">
        <v>592</v>
      </c>
      <c r="D35" s="879"/>
      <c r="E35" s="877">
        <v>1</v>
      </c>
      <c r="F35" s="880" t="s">
        <v>593</v>
      </c>
      <c r="G35" s="881"/>
      <c r="H35" s="873"/>
      <c r="I35" s="873"/>
    </row>
    <row r="36" spans="1:9" s="882" customFormat="1" ht="19.5" customHeight="1">
      <c r="A36" s="3378"/>
      <c r="B36" s="3378" t="s">
        <v>563</v>
      </c>
      <c r="C36" s="878" t="s">
        <v>594</v>
      </c>
      <c r="D36" s="879"/>
      <c r="E36" s="877">
        <v>1</v>
      </c>
      <c r="F36" s="880" t="s">
        <v>595</v>
      </c>
      <c r="G36" s="881"/>
      <c r="H36" s="873"/>
      <c r="I36" s="873"/>
    </row>
    <row r="37" spans="1:9" s="882" customFormat="1" ht="19.5" customHeight="1">
      <c r="A37" s="3378"/>
      <c r="B37" s="3378"/>
      <c r="C37" s="878" t="s">
        <v>596</v>
      </c>
      <c r="D37" s="879"/>
      <c r="E37" s="877">
        <v>1.5</v>
      </c>
      <c r="F37" s="880" t="s">
        <v>597</v>
      </c>
      <c r="G37" s="881"/>
      <c r="H37" s="873"/>
      <c r="I37" s="873"/>
    </row>
    <row r="38" spans="1:9" s="882" customFormat="1" ht="19.5" customHeight="1">
      <c r="A38" s="3378"/>
      <c r="B38" s="3378"/>
      <c r="C38" s="878" t="s">
        <v>598</v>
      </c>
      <c r="D38" s="879"/>
      <c r="E38" s="877">
        <v>1</v>
      </c>
      <c r="F38" s="880" t="s">
        <v>599</v>
      </c>
      <c r="G38" s="881"/>
      <c r="H38" s="873"/>
      <c r="I38" s="873"/>
    </row>
    <row r="39" spans="1:9" s="882" customFormat="1" ht="19.5" customHeight="1">
      <c r="A39" s="3378"/>
      <c r="B39" s="3378"/>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78" t="s">
        <v>614</v>
      </c>
      <c r="C61" s="813" t="s">
        <v>615</v>
      </c>
      <c r="D61" s="813" t="s">
        <v>616</v>
      </c>
      <c r="E61" s="890">
        <v>0.5</v>
      </c>
      <c r="F61" s="877">
        <v>80</v>
      </c>
    </row>
    <row r="62" spans="1:8" s="873" customFormat="1" ht="24">
      <c r="A62" s="877">
        <v>2</v>
      </c>
      <c r="B62" s="3378"/>
      <c r="C62" s="813" t="s">
        <v>617</v>
      </c>
      <c r="D62" s="813" t="s">
        <v>618</v>
      </c>
      <c r="E62" s="890">
        <v>0.5</v>
      </c>
      <c r="F62" s="877">
        <v>80</v>
      </c>
    </row>
    <row r="63" spans="1:8" s="873" customFormat="1" ht="36">
      <c r="A63" s="877">
        <v>3</v>
      </c>
      <c r="B63" s="3378"/>
      <c r="C63" s="813" t="s">
        <v>619</v>
      </c>
      <c r="D63" s="813" t="s">
        <v>620</v>
      </c>
      <c r="E63" s="890">
        <v>0.5</v>
      </c>
      <c r="F63" s="877">
        <v>80</v>
      </c>
    </row>
    <row r="64" spans="1:8" s="873" customFormat="1" ht="36">
      <c r="A64" s="877">
        <v>4</v>
      </c>
      <c r="B64" s="3378"/>
      <c r="C64" s="813" t="s">
        <v>621</v>
      </c>
      <c r="D64" s="813" t="s">
        <v>622</v>
      </c>
      <c r="E64" s="890">
        <v>0.4</v>
      </c>
      <c r="F64" s="877">
        <v>60</v>
      </c>
    </row>
    <row r="65" spans="1:6" s="873" customFormat="1" ht="36">
      <c r="A65" s="877">
        <v>5</v>
      </c>
      <c r="B65" s="3378"/>
      <c r="C65" s="813" t="s">
        <v>623</v>
      </c>
      <c r="D65" s="813" t="s">
        <v>624</v>
      </c>
      <c r="E65" s="890">
        <v>0.2</v>
      </c>
      <c r="F65" s="877">
        <v>30</v>
      </c>
    </row>
    <row r="66" spans="1:6" s="873" customFormat="1" ht="36">
      <c r="A66" s="877">
        <v>6</v>
      </c>
      <c r="B66" s="3378"/>
      <c r="C66" s="813" t="s">
        <v>625</v>
      </c>
      <c r="D66" s="813" t="s">
        <v>626</v>
      </c>
      <c r="E66" s="890">
        <v>0.3</v>
      </c>
      <c r="F66" s="877">
        <v>50</v>
      </c>
    </row>
    <row r="67" spans="1:6" s="873" customFormat="1" ht="36">
      <c r="A67" s="877">
        <v>7</v>
      </c>
      <c r="B67" s="3378"/>
      <c r="C67" s="813" t="s">
        <v>627</v>
      </c>
      <c r="D67" s="813" t="s">
        <v>628</v>
      </c>
      <c r="E67" s="890">
        <v>0.2</v>
      </c>
      <c r="F67" s="877">
        <v>30</v>
      </c>
    </row>
    <row r="68" spans="1:6" s="873" customFormat="1" ht="36">
      <c r="A68" s="877">
        <v>8</v>
      </c>
      <c r="B68" s="3378"/>
      <c r="C68" s="813" t="s">
        <v>629</v>
      </c>
      <c r="D68" s="813" t="s">
        <v>630</v>
      </c>
      <c r="E68" s="890">
        <v>0.2</v>
      </c>
      <c r="F68" s="877">
        <v>30</v>
      </c>
    </row>
    <row r="69" spans="1:6" s="873" customFormat="1" ht="36">
      <c r="A69" s="877">
        <v>9</v>
      </c>
      <c r="B69" s="3378"/>
      <c r="C69" s="813" t="s">
        <v>631</v>
      </c>
      <c r="D69" s="813" t="s">
        <v>632</v>
      </c>
      <c r="E69" s="890">
        <v>0.2</v>
      </c>
      <c r="F69" s="877">
        <v>30</v>
      </c>
    </row>
    <row r="70" spans="1:6" s="873" customFormat="1" ht="48">
      <c r="A70" s="877">
        <v>10</v>
      </c>
      <c r="B70" s="3378"/>
      <c r="C70" s="813" t="s">
        <v>633</v>
      </c>
      <c r="D70" s="813" t="s">
        <v>634</v>
      </c>
      <c r="E70" s="890">
        <v>0.2</v>
      </c>
      <c r="F70" s="877">
        <v>30</v>
      </c>
    </row>
    <row r="71" spans="1:6" s="873" customFormat="1" ht="48">
      <c r="A71" s="877">
        <v>11</v>
      </c>
      <c r="B71" s="3378"/>
      <c r="C71" s="813" t="s">
        <v>635</v>
      </c>
      <c r="D71" s="813" t="s">
        <v>636</v>
      </c>
      <c r="E71" s="890">
        <v>0.2</v>
      </c>
      <c r="F71" s="877">
        <v>30</v>
      </c>
    </row>
    <row r="72" spans="1:6" s="873" customFormat="1" ht="36">
      <c r="A72" s="877">
        <v>12</v>
      </c>
      <c r="B72" s="3378"/>
      <c r="C72" s="813" t="s">
        <v>637</v>
      </c>
      <c r="D72" s="813" t="s">
        <v>638</v>
      </c>
      <c r="E72" s="890">
        <v>0.5</v>
      </c>
      <c r="F72" s="877">
        <v>80</v>
      </c>
    </row>
    <row r="73" spans="1:6" s="873" customFormat="1" ht="24">
      <c r="A73" s="877">
        <v>13</v>
      </c>
      <c r="B73" s="3378"/>
      <c r="C73" s="813" t="s">
        <v>639</v>
      </c>
      <c r="D73" s="813" t="s">
        <v>640</v>
      </c>
      <c r="E73" s="890">
        <v>0.4</v>
      </c>
      <c r="F73" s="877">
        <v>60</v>
      </c>
    </row>
    <row r="74" spans="1:6" s="873" customFormat="1" ht="24">
      <c r="A74" s="877">
        <v>14</v>
      </c>
      <c r="B74" s="3378"/>
      <c r="C74" s="813" t="s">
        <v>641</v>
      </c>
      <c r="D74" s="813" t="s">
        <v>642</v>
      </c>
      <c r="E74" s="890">
        <v>0.2</v>
      </c>
      <c r="F74" s="877">
        <v>30</v>
      </c>
    </row>
    <row r="75" spans="1:6" s="873" customFormat="1" ht="24">
      <c r="A75" s="877">
        <v>15</v>
      </c>
      <c r="B75" s="3378"/>
      <c r="C75" s="813" t="s">
        <v>643</v>
      </c>
      <c r="D75" s="813" t="s">
        <v>644</v>
      </c>
      <c r="E75" s="890">
        <v>0.2</v>
      </c>
      <c r="F75" s="877">
        <v>30</v>
      </c>
    </row>
    <row r="76" spans="1:6" s="873" customFormat="1" ht="24">
      <c r="A76" s="877">
        <v>16</v>
      </c>
      <c r="B76" s="3378" t="s">
        <v>645</v>
      </c>
      <c r="C76" s="813" t="s">
        <v>646</v>
      </c>
      <c r="D76" s="813" t="s">
        <v>647</v>
      </c>
      <c r="E76" s="890">
        <v>0.5</v>
      </c>
      <c r="F76" s="877">
        <v>80</v>
      </c>
    </row>
    <row r="77" spans="1:6" s="873" customFormat="1" ht="24">
      <c r="A77" s="877">
        <v>17</v>
      </c>
      <c r="B77" s="3378"/>
      <c r="C77" s="813" t="s">
        <v>648</v>
      </c>
      <c r="D77" s="813" t="s">
        <v>649</v>
      </c>
      <c r="E77" s="890">
        <v>0.5</v>
      </c>
      <c r="F77" s="877">
        <v>80</v>
      </c>
    </row>
    <row r="78" spans="1:6" s="873" customFormat="1" ht="24">
      <c r="A78" s="877">
        <v>18</v>
      </c>
      <c r="B78" s="3378"/>
      <c r="C78" s="813" t="s">
        <v>650</v>
      </c>
      <c r="D78" s="813" t="s">
        <v>651</v>
      </c>
      <c r="E78" s="890">
        <v>0.2</v>
      </c>
      <c r="F78" s="877">
        <v>30</v>
      </c>
    </row>
    <row r="79" spans="1:6" s="873" customFormat="1" ht="24">
      <c r="A79" s="877">
        <v>19</v>
      </c>
      <c r="B79" s="3378"/>
      <c r="C79" s="813" t="s">
        <v>652</v>
      </c>
      <c r="D79" s="813" t="s">
        <v>653</v>
      </c>
      <c r="E79" s="890">
        <v>0.5</v>
      </c>
      <c r="F79" s="877">
        <v>80</v>
      </c>
    </row>
    <row r="80" spans="1:6" s="873" customFormat="1" ht="36">
      <c r="A80" s="877">
        <v>20</v>
      </c>
      <c r="B80" s="3378"/>
      <c r="C80" s="813" t="s">
        <v>654</v>
      </c>
      <c r="D80" s="813" t="s">
        <v>655</v>
      </c>
      <c r="E80" s="890">
        <v>0.2</v>
      </c>
      <c r="F80" s="877">
        <v>30</v>
      </c>
    </row>
    <row r="81" spans="1:6" s="873" customFormat="1" ht="36">
      <c r="A81" s="877">
        <v>21</v>
      </c>
      <c r="B81" s="3378"/>
      <c r="C81" s="813" t="s">
        <v>656</v>
      </c>
      <c r="D81" s="813" t="s">
        <v>657</v>
      </c>
      <c r="E81" s="890">
        <v>0.2</v>
      </c>
      <c r="F81" s="877">
        <v>30</v>
      </c>
    </row>
    <row r="82" spans="1:6" s="873" customFormat="1" ht="48">
      <c r="A82" s="877">
        <v>22</v>
      </c>
      <c r="B82" s="3378"/>
      <c r="C82" s="813" t="s">
        <v>658</v>
      </c>
      <c r="D82" s="813" t="s">
        <v>659</v>
      </c>
      <c r="E82" s="890">
        <v>0.2</v>
      </c>
      <c r="F82" s="877">
        <v>30</v>
      </c>
    </row>
    <row r="83" spans="1:6" s="873" customFormat="1" ht="48">
      <c r="A83" s="877">
        <v>23</v>
      </c>
      <c r="B83" s="3378"/>
      <c r="C83" s="813" t="s">
        <v>660</v>
      </c>
      <c r="D83" s="813" t="s">
        <v>661</v>
      </c>
      <c r="E83" s="890">
        <v>0.2</v>
      </c>
      <c r="F83" s="877">
        <v>30</v>
      </c>
    </row>
    <row r="84" spans="1:6" s="873" customFormat="1" ht="36">
      <c r="A84" s="877">
        <v>24</v>
      </c>
      <c r="B84" s="3378"/>
      <c r="C84" s="813" t="s">
        <v>662</v>
      </c>
      <c r="D84" s="813" t="s">
        <v>663</v>
      </c>
      <c r="E84" s="890">
        <v>0.2</v>
      </c>
      <c r="F84" s="877">
        <v>30</v>
      </c>
    </row>
    <row r="85" spans="1:6" s="873" customFormat="1" ht="36">
      <c r="A85" s="877">
        <v>25</v>
      </c>
      <c r="B85" s="3378"/>
      <c r="C85" s="813" t="s">
        <v>664</v>
      </c>
      <c r="D85" s="813" t="s">
        <v>665</v>
      </c>
      <c r="E85" s="890">
        <v>0.5</v>
      </c>
      <c r="F85" s="877">
        <v>80</v>
      </c>
    </row>
    <row r="86" spans="1:6" s="873" customFormat="1" ht="36">
      <c r="A86" s="877">
        <v>26</v>
      </c>
      <c r="B86" s="3378"/>
      <c r="C86" s="813" t="s">
        <v>666</v>
      </c>
      <c r="D86" s="813" t="s">
        <v>667</v>
      </c>
      <c r="E86" s="890">
        <v>0.2</v>
      </c>
      <c r="F86" s="877">
        <v>30</v>
      </c>
    </row>
    <row r="87" spans="1:6" s="873" customFormat="1" ht="36">
      <c r="A87" s="877">
        <v>27</v>
      </c>
      <c r="B87" s="3378"/>
      <c r="C87" s="813" t="s">
        <v>668</v>
      </c>
      <c r="D87" s="813" t="s">
        <v>669</v>
      </c>
      <c r="E87" s="890">
        <v>0.2</v>
      </c>
      <c r="F87" s="877">
        <v>30</v>
      </c>
    </row>
    <row r="88" spans="1:6" s="873" customFormat="1" ht="36">
      <c r="A88" s="877">
        <v>28</v>
      </c>
      <c r="B88" s="3378"/>
      <c r="C88" s="813" t="s">
        <v>670</v>
      </c>
      <c r="D88" s="813" t="s">
        <v>671</v>
      </c>
      <c r="E88" s="890">
        <v>0.2</v>
      </c>
      <c r="F88" s="877">
        <v>30</v>
      </c>
    </row>
    <row r="89" spans="1:6" s="873" customFormat="1" ht="24">
      <c r="A89" s="877">
        <v>29</v>
      </c>
      <c r="B89" s="3378"/>
      <c r="C89" s="813" t="s">
        <v>672</v>
      </c>
      <c r="D89" s="813" t="s">
        <v>673</v>
      </c>
      <c r="E89" s="890">
        <v>0.2</v>
      </c>
      <c r="F89" s="877">
        <v>30</v>
      </c>
    </row>
    <row r="90" spans="1:6" s="873" customFormat="1" ht="24">
      <c r="A90" s="877">
        <v>30</v>
      </c>
      <c r="B90" s="3378"/>
      <c r="C90" s="813" t="s">
        <v>674</v>
      </c>
      <c r="D90" s="813" t="s">
        <v>675</v>
      </c>
      <c r="E90" s="890">
        <v>0.2</v>
      </c>
      <c r="F90" s="877">
        <v>30</v>
      </c>
    </row>
    <row r="91" spans="1:6" s="873" customFormat="1" ht="36">
      <c r="A91" s="877">
        <v>31</v>
      </c>
      <c r="B91" s="3378"/>
      <c r="C91" s="813" t="s">
        <v>676</v>
      </c>
      <c r="D91" s="813" t="s">
        <v>677</v>
      </c>
      <c r="E91" s="890">
        <v>0.2</v>
      </c>
      <c r="F91" s="877">
        <v>30</v>
      </c>
    </row>
    <row r="92" spans="1:6" s="873" customFormat="1" ht="24">
      <c r="A92" s="877">
        <v>32</v>
      </c>
      <c r="B92" s="3378" t="s">
        <v>678</v>
      </c>
      <c r="C92" s="877" t="s">
        <v>679</v>
      </c>
      <c r="D92" s="813" t="s">
        <v>680</v>
      </c>
      <c r="E92" s="890">
        <v>0.2</v>
      </c>
      <c r="F92" s="877">
        <v>30</v>
      </c>
    </row>
    <row r="93" spans="1:6" s="873" customFormat="1" ht="36">
      <c r="A93" s="877">
        <v>33</v>
      </c>
      <c r="B93" s="3378"/>
      <c r="C93" s="877" t="s">
        <v>681</v>
      </c>
      <c r="D93" s="813" t="s">
        <v>682</v>
      </c>
      <c r="E93" s="890">
        <v>0.2</v>
      </c>
      <c r="F93" s="877">
        <v>30</v>
      </c>
    </row>
    <row r="94" spans="1:6" s="873" customFormat="1" ht="48">
      <c r="A94" s="877">
        <v>34</v>
      </c>
      <c r="B94" s="3378"/>
      <c r="C94" s="877" t="s">
        <v>683</v>
      </c>
      <c r="D94" s="813" t="s">
        <v>684</v>
      </c>
      <c r="E94" s="890">
        <v>0.2</v>
      </c>
      <c r="F94" s="877">
        <v>30</v>
      </c>
    </row>
    <row r="95" spans="1:6" s="873" customFormat="1" ht="36">
      <c r="A95" s="877">
        <v>35</v>
      </c>
      <c r="B95" s="3378"/>
      <c r="C95" s="877" t="s">
        <v>685</v>
      </c>
      <c r="D95" s="813" t="s">
        <v>686</v>
      </c>
      <c r="E95" s="890">
        <v>0.2</v>
      </c>
      <c r="F95" s="877">
        <v>30</v>
      </c>
    </row>
    <row r="96" spans="1:6" s="873" customFormat="1" ht="48">
      <c r="A96" s="877">
        <v>36</v>
      </c>
      <c r="B96" s="3378"/>
      <c r="C96" s="813" t="s">
        <v>687</v>
      </c>
      <c r="D96" s="813" t="s">
        <v>688</v>
      </c>
      <c r="E96" s="890">
        <v>0.2</v>
      </c>
      <c r="F96" s="877">
        <v>30</v>
      </c>
    </row>
    <row r="97" spans="1:6" s="873" customFormat="1" ht="36">
      <c r="A97" s="877">
        <v>37</v>
      </c>
      <c r="B97" s="3378"/>
      <c r="C97" s="877" t="s">
        <v>689</v>
      </c>
      <c r="D97" s="813" t="s">
        <v>690</v>
      </c>
      <c r="E97" s="890">
        <v>0.2</v>
      </c>
      <c r="F97" s="877">
        <v>30</v>
      </c>
    </row>
    <row r="98" spans="1:6" s="873" customFormat="1" ht="36">
      <c r="A98" s="877">
        <v>38</v>
      </c>
      <c r="B98" s="3378"/>
      <c r="C98" s="877" t="s">
        <v>691</v>
      </c>
      <c r="D98" s="813" t="s">
        <v>692</v>
      </c>
      <c r="E98" s="890">
        <v>0.2</v>
      </c>
      <c r="F98" s="877">
        <v>30</v>
      </c>
    </row>
    <row r="99" spans="1:6" s="873" customFormat="1" ht="36">
      <c r="A99" s="877">
        <v>39</v>
      </c>
      <c r="B99" s="3378" t="s">
        <v>693</v>
      </c>
      <c r="C99" s="877" t="s">
        <v>694</v>
      </c>
      <c r="D99" s="813" t="s">
        <v>695</v>
      </c>
      <c r="E99" s="890">
        <v>0.3</v>
      </c>
      <c r="F99" s="877">
        <v>50</v>
      </c>
    </row>
    <row r="100" spans="1:6" s="873" customFormat="1" ht="24">
      <c r="A100" s="877">
        <v>40</v>
      </c>
      <c r="B100" s="3378"/>
      <c r="C100" s="877" t="s">
        <v>696</v>
      </c>
      <c r="D100" s="813" t="s">
        <v>697</v>
      </c>
      <c r="E100" s="890">
        <v>0.2</v>
      </c>
      <c r="F100" s="877">
        <v>30</v>
      </c>
    </row>
    <row r="101" spans="1:6" s="873" customFormat="1" ht="36">
      <c r="A101" s="877">
        <v>41</v>
      </c>
      <c r="B101" s="3378"/>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78" t="s">
        <v>708</v>
      </c>
      <c r="C105" s="877" t="s">
        <v>709</v>
      </c>
      <c r="D105" s="813" t="s">
        <v>710</v>
      </c>
      <c r="E105" s="890">
        <v>0.2</v>
      </c>
      <c r="F105" s="877">
        <v>30</v>
      </c>
    </row>
    <row r="106" spans="1:6" s="873" customFormat="1" ht="36">
      <c r="A106" s="877">
        <v>46</v>
      </c>
      <c r="B106" s="3378"/>
      <c r="C106" s="877" t="s">
        <v>711</v>
      </c>
      <c r="D106" s="813" t="s">
        <v>712</v>
      </c>
      <c r="E106" s="890">
        <v>0.2</v>
      </c>
      <c r="F106" s="877">
        <v>30</v>
      </c>
    </row>
    <row r="107" spans="1:6" s="873" customFormat="1" ht="36">
      <c r="A107" s="877">
        <v>47</v>
      </c>
      <c r="B107" s="3378" t="s">
        <v>713</v>
      </c>
      <c r="C107" s="877" t="s">
        <v>714</v>
      </c>
      <c r="D107" s="813" t="s">
        <v>715</v>
      </c>
      <c r="E107" s="890">
        <v>0.3</v>
      </c>
      <c r="F107" s="877">
        <v>50</v>
      </c>
    </row>
    <row r="108" spans="1:6" s="873" customFormat="1" ht="36">
      <c r="A108" s="877">
        <v>48</v>
      </c>
      <c r="B108" s="3378"/>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78" t="s">
        <v>724</v>
      </c>
      <c r="C111" s="877" t="s">
        <v>725</v>
      </c>
      <c r="D111" s="813" t="s">
        <v>726</v>
      </c>
      <c r="E111" s="890">
        <v>0.2</v>
      </c>
      <c r="F111" s="877">
        <v>30</v>
      </c>
    </row>
    <row r="112" spans="1:6" s="873" customFormat="1" ht="24">
      <c r="A112" s="877">
        <v>52</v>
      </c>
      <c r="B112" s="3378"/>
      <c r="C112" s="877" t="s">
        <v>727</v>
      </c>
      <c r="D112" s="813" t="s">
        <v>728</v>
      </c>
      <c r="E112" s="890">
        <v>0.2</v>
      </c>
      <c r="F112" s="877">
        <v>30</v>
      </c>
    </row>
    <row r="113" spans="1:6" s="873" customFormat="1" ht="24">
      <c r="A113" s="877">
        <v>53</v>
      </c>
      <c r="B113" s="3378"/>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78" t="s">
        <v>737</v>
      </c>
      <c r="C116" s="877" t="s">
        <v>738</v>
      </c>
      <c r="D116" s="813" t="s">
        <v>739</v>
      </c>
      <c r="E116" s="890">
        <v>0.2</v>
      </c>
      <c r="F116" s="877">
        <v>30</v>
      </c>
    </row>
    <row r="117" spans="1:6" ht="36">
      <c r="A117" s="877">
        <v>57</v>
      </c>
      <c r="B117" s="3378"/>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8">
      <c r="A3" s="3074" t="str">
        <f>IF(项目基本情况!B9="房地产市场价值","估价结果一览表（市场价值不需“结果表-1”）","估价结果一览表")</f>
        <v>估价结果一览表</v>
      </c>
      <c r="B3" s="3074"/>
      <c r="C3" s="3074"/>
      <c r="D3" s="3074"/>
      <c r="E3" s="3074"/>
    </row>
    <row r="4" spans="1:5" ht="19.5" thickBot="1">
      <c r="A4" s="1956"/>
      <c r="B4" s="3072" t="s">
        <v>1630</v>
      </c>
      <c r="C4" s="3072"/>
      <c r="D4" s="3072"/>
      <c r="E4" s="1956"/>
    </row>
    <row r="5" spans="1:5" ht="16.5" thickTop="1">
      <c r="A5" s="1954"/>
      <c r="B5" s="3070" t="s">
        <v>1622</v>
      </c>
      <c r="C5" s="1957" t="s">
        <v>1623</v>
      </c>
      <c r="D5" s="1038">
        <f ca="1">结果表!H101</f>
        <v>14574</v>
      </c>
      <c r="E5" s="1954"/>
    </row>
    <row r="6" spans="1:5" ht="15.75">
      <c r="A6" s="1954"/>
      <c r="B6" s="3070"/>
      <c r="C6" s="1957" t="s">
        <v>1624</v>
      </c>
      <c r="D6" s="1038" t="str">
        <f ca="1">NUMBERSTRING(INT(D5*10000),2)&amp;"元整"</f>
        <v>壹亿肆仟伍佰柒拾肆万元整</v>
      </c>
      <c r="E6" s="1954"/>
    </row>
    <row r="7" spans="1:5" ht="15.75">
      <c r="A7" s="1954"/>
      <c r="B7" s="3075"/>
      <c r="C7" s="1958" t="s">
        <v>1625</v>
      </c>
      <c r="D7" s="1039">
        <f ca="1">结果表!H102</f>
        <v>2022</v>
      </c>
      <c r="E7" s="1954"/>
    </row>
    <row r="8" spans="1:5" ht="15.75">
      <c r="A8" s="1954"/>
      <c r="B8" s="3076" t="str">
        <f>结果表!E103</f>
        <v>2.估价师知悉的法定优先受偿款</v>
      </c>
      <c r="C8" s="1959" t="s">
        <v>1626</v>
      </c>
      <c r="D8" s="1039">
        <f>结果表!H103</f>
        <v>0</v>
      </c>
      <c r="E8" s="1954"/>
    </row>
    <row r="9" spans="1:5" ht="15.75">
      <c r="A9" s="1954"/>
      <c r="B9" s="3078"/>
      <c r="C9" s="1957" t="s">
        <v>1624</v>
      </c>
      <c r="D9" s="1038" t="str">
        <f>NUMBERSTRING(INT(D8*10000),2)&amp;"元整"</f>
        <v>零元整</v>
      </c>
      <c r="E9" s="1954"/>
    </row>
    <row r="10" spans="1:5" ht="15">
      <c r="A10" s="1954"/>
      <c r="B10" s="1960" t="s">
        <v>1629</v>
      </c>
      <c r="C10" s="1961" t="s">
        <v>1627</v>
      </c>
      <c r="D10" s="1040">
        <f>结果表!H104</f>
        <v>0</v>
      </c>
      <c r="E10" s="1954"/>
    </row>
    <row r="11" spans="1:5" ht="15">
      <c r="A11" s="1954"/>
      <c r="B11" s="1960" t="s">
        <v>1631</v>
      </c>
      <c r="C11" s="1961" t="s">
        <v>1632</v>
      </c>
      <c r="D11" s="1040">
        <f>结果表!H105</f>
        <v>0</v>
      </c>
      <c r="E11" s="1954"/>
    </row>
    <row r="12" spans="1:5" ht="15">
      <c r="A12" s="1954"/>
      <c r="B12" s="1960" t="s">
        <v>1633</v>
      </c>
      <c r="C12" s="1961" t="s">
        <v>1632</v>
      </c>
      <c r="D12" s="1040">
        <f>结果表!H106</f>
        <v>0</v>
      </c>
      <c r="E12" s="1954"/>
    </row>
    <row r="13" spans="1:5" ht="15.75">
      <c r="A13" s="1954"/>
      <c r="B13" s="3069" t="str">
        <f>结果表!E107</f>
        <v>3.房地产抵押价值</v>
      </c>
      <c r="C13" s="1962" t="s">
        <v>1623</v>
      </c>
      <c r="D13" s="1041">
        <f ca="1">结果表!H107</f>
        <v>14574</v>
      </c>
      <c r="E13" s="1954"/>
    </row>
    <row r="14" spans="1:5" ht="15.75">
      <c r="A14" s="1954"/>
      <c r="B14" s="3070"/>
      <c r="C14" s="1957" t="s">
        <v>1624</v>
      </c>
      <c r="D14" s="1038" t="str">
        <f ca="1">NUMBERSTRING(INT(D13*10000),2)&amp;"元整"</f>
        <v>壹亿肆仟伍佰柒拾肆万元整</v>
      </c>
      <c r="E14" s="1954"/>
    </row>
    <row r="15" spans="1:5" ht="15">
      <c r="A15" s="1954"/>
      <c r="B15" s="3075"/>
      <c r="C15" s="1958" t="s">
        <v>1634</v>
      </c>
      <c r="D15" s="1050">
        <f ca="1">结果表!H108</f>
        <v>2022</v>
      </c>
      <c r="E15" s="1954"/>
    </row>
    <row r="16" spans="1:5" ht="15">
      <c r="A16" s="1954"/>
      <c r="B16" s="3076" t="str">
        <f>结果表!E109</f>
        <v>——</v>
      </c>
      <c r="C16" s="1962" t="s">
        <v>1635</v>
      </c>
      <c r="D16" s="1963" t="str">
        <f>结果表!H109</f>
        <v>——</v>
      </c>
      <c r="E16" s="1954"/>
    </row>
    <row r="17" spans="1:5" ht="15.75">
      <c r="A17" s="1954"/>
      <c r="B17" s="3077"/>
      <c r="C17" s="1957" t="s">
        <v>1636</v>
      </c>
      <c r="D17" s="1038" t="e">
        <f>NUMBERSTRING(INT(D16*10000),2)&amp;"元整"</f>
        <v>#VALUE!</v>
      </c>
      <c r="E17" s="1954"/>
    </row>
    <row r="18" spans="1:5" ht="15">
      <c r="A18" s="1954"/>
      <c r="B18" s="3078"/>
      <c r="C18" s="1958" t="s">
        <v>1625</v>
      </c>
      <c r="D18" s="1050" t="str">
        <f>结果表!H110</f>
        <v>——</v>
      </c>
      <c r="E18" s="1954"/>
    </row>
    <row r="19" spans="1:5" ht="15.75">
      <c r="A19" s="1954"/>
      <c r="B19" s="3069" t="str">
        <f>结果表!E111</f>
        <v>——</v>
      </c>
      <c r="C19" s="1962" t="s">
        <v>1623</v>
      </c>
      <c r="D19" s="1039" t="str">
        <f>结果表!H111</f>
        <v>——</v>
      </c>
      <c r="E19" s="1954"/>
    </row>
    <row r="20" spans="1:5" ht="15.75">
      <c r="A20" s="1954"/>
      <c r="B20" s="3070"/>
      <c r="C20" s="1957" t="s">
        <v>1636</v>
      </c>
      <c r="D20" s="1038" t="e">
        <f>NUMBERSTRING(INT(D19*10000),2)&amp;"元整"</f>
        <v>#VALUE!</v>
      </c>
      <c r="E20" s="1954"/>
    </row>
    <row r="21" spans="1:5" ht="15.75" thickBot="1">
      <c r="A21" s="1954"/>
      <c r="B21" s="3071"/>
      <c r="C21" s="1964" t="s">
        <v>1634</v>
      </c>
      <c r="D21" s="1051"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48" t="s">
        <v>2989</v>
      </c>
    </row>
    <row r="2" spans="1:5" ht="15.75">
      <c r="A2" s="2897" t="s">
        <v>2981</v>
      </c>
      <c r="B2" s="2898" t="e">
        <f ca="1">SUMIF(B6:B13,"&lt;&gt;#ref!",B6:B13)</f>
        <v>#DIV/0!</v>
      </c>
      <c r="C2" s="2897" t="s">
        <v>2982</v>
      </c>
      <c r="D2" s="2897" t="s">
        <v>2983</v>
      </c>
      <c r="E2" s="2898" t="e">
        <f ca="1">SUM(E6:E13)</f>
        <v>#REF!</v>
      </c>
    </row>
    <row r="3" spans="1:5" ht="15.75">
      <c r="A3" s="2897" t="s">
        <v>2984</v>
      </c>
      <c r="B3" s="2898" t="e">
        <f ca="1">ROUND(B2*10000/E2,0)</f>
        <v>#DIV/0!</v>
      </c>
      <c r="C3" s="2897" t="s">
        <v>2990</v>
      </c>
      <c r="D3" s="2899"/>
      <c r="E3" s="2899"/>
    </row>
    <row r="4" spans="1:5" ht="15.75">
      <c r="A4" s="2900"/>
      <c r="B4" s="2899"/>
      <c r="C4" s="2899"/>
      <c r="D4" s="2899"/>
      <c r="E4" s="2899"/>
    </row>
    <row r="5" spans="1:5" ht="28.5">
      <c r="A5" s="2901" t="s">
        <v>2985</v>
      </c>
      <c r="B5" s="2897" t="s">
        <v>2986</v>
      </c>
      <c r="C5" s="2898"/>
      <c r="D5" s="2899"/>
      <c r="E5" s="2897" t="s">
        <v>2987</v>
      </c>
    </row>
    <row r="6" spans="1:5" ht="15.75">
      <c r="A6" s="2902" t="s">
        <v>2988</v>
      </c>
      <c r="B6" s="2898" t="e">
        <f ca="1">SUMIF(INDIRECT("'"&amp;A6&amp;"'"&amp;"!A:A"),"总价",INDIRECT("'"&amp;A6&amp;"'"&amp;"!B:B"))</f>
        <v>#DIV/0!</v>
      </c>
      <c r="C6" s="2897" t="s">
        <v>2982</v>
      </c>
      <c r="D6" s="2899"/>
      <c r="E6" s="2562">
        <f ca="1">SUMIF(INDIRECT("'"&amp;A6&amp;"'"&amp;"!C:C"),"建筑面积",INDIRECT("'"&amp;A6&amp;"'"&amp;"!D:D"))</f>
        <v>0</v>
      </c>
    </row>
    <row r="7" spans="1:5" ht="15.75">
      <c r="A7" s="2902"/>
      <c r="B7" s="2898" t="e">
        <f ca="1">SUMIF(INDIRECT("'"&amp;A7&amp;"'"&amp;"!A:A"),"总价",INDIRECT("'"&amp;A7&amp;"'"&amp;"!B:B"))</f>
        <v>#REF!</v>
      </c>
      <c r="C7" s="2897" t="s">
        <v>2982</v>
      </c>
      <c r="D7" s="2899"/>
      <c r="E7" s="2562" t="e">
        <f t="shared" ref="E7:E13" ca="1" si="0">SUMIF(INDIRECT("'"&amp;A7&amp;"'"&amp;"!C:C"),"建筑面积",INDIRECT("'"&amp;A7&amp;"'"&amp;"!D:D"))</f>
        <v>#REF!</v>
      </c>
    </row>
    <row r="8" spans="1:5" ht="15.75">
      <c r="A8" s="2902"/>
      <c r="B8" s="2898" t="e">
        <f t="shared" ref="B8:B13" ca="1" si="1">SUMIF(INDIRECT("'"&amp;A8&amp;"'"&amp;"!A:A"),"总价",INDIRECT("'"&amp;A8&amp;"'"&amp;"!B:B"))</f>
        <v>#REF!</v>
      </c>
      <c r="C8" s="2897" t="s">
        <v>2982</v>
      </c>
      <c r="D8" s="2899"/>
      <c r="E8" s="2562" t="e">
        <f t="shared" ca="1" si="0"/>
        <v>#REF!</v>
      </c>
    </row>
    <row r="9" spans="1:5" ht="15.75">
      <c r="A9" s="2902"/>
      <c r="B9" s="2898" t="e">
        <f t="shared" ca="1" si="1"/>
        <v>#REF!</v>
      </c>
      <c r="C9" s="2897" t="s">
        <v>2982</v>
      </c>
      <c r="D9" s="2899"/>
      <c r="E9" s="2562" t="e">
        <f t="shared" ca="1" si="0"/>
        <v>#REF!</v>
      </c>
    </row>
    <row r="10" spans="1:5" ht="15.75">
      <c r="A10" s="2902"/>
      <c r="B10" s="2898" t="e">
        <f t="shared" ca="1" si="1"/>
        <v>#REF!</v>
      </c>
      <c r="C10" s="2897" t="s">
        <v>2982</v>
      </c>
      <c r="D10" s="2899"/>
      <c r="E10" s="2562" t="e">
        <f t="shared" ca="1" si="0"/>
        <v>#REF!</v>
      </c>
    </row>
    <row r="11" spans="1:5" ht="15.75">
      <c r="A11" s="2902"/>
      <c r="B11" s="2898" t="e">
        <f t="shared" ca="1" si="1"/>
        <v>#REF!</v>
      </c>
      <c r="C11" s="2897" t="s">
        <v>2982</v>
      </c>
      <c r="D11" s="2899"/>
      <c r="E11" s="2562" t="e">
        <f t="shared" ca="1" si="0"/>
        <v>#REF!</v>
      </c>
    </row>
    <row r="12" spans="1:5" ht="15.75">
      <c r="A12" s="2902"/>
      <c r="B12" s="2898" t="e">
        <f t="shared" ca="1" si="1"/>
        <v>#REF!</v>
      </c>
      <c r="C12" s="2897" t="s">
        <v>2982</v>
      </c>
      <c r="D12" s="2899"/>
      <c r="E12" s="2562" t="e">
        <f t="shared" ca="1" si="0"/>
        <v>#REF!</v>
      </c>
    </row>
    <row r="13" spans="1:5" ht="15.75">
      <c r="A13" s="2902"/>
      <c r="B13" s="2898" t="e">
        <f t="shared" ca="1" si="1"/>
        <v>#REF!</v>
      </c>
      <c r="C13" s="2897" t="s">
        <v>2982</v>
      </c>
      <c r="D13" s="2899"/>
      <c r="E13" s="25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84" t="s">
        <v>1150</v>
      </c>
      <c r="C1" s="3384"/>
      <c r="D1" s="3384"/>
      <c r="E1" s="3384"/>
      <c r="F1" s="3384"/>
      <c r="G1" s="3380" t="s">
        <v>1151</v>
      </c>
      <c r="H1" s="3380"/>
      <c r="I1" s="3380"/>
      <c r="J1" s="3380"/>
      <c r="K1" s="3380"/>
      <c r="L1" s="3380"/>
      <c r="N1" s="3380" t="s">
        <v>1152</v>
      </c>
      <c r="O1" s="3380"/>
      <c r="P1" s="3380"/>
      <c r="Q1" s="3380"/>
      <c r="R1" s="1442"/>
      <c r="S1" s="3380" t="s">
        <v>1153</v>
      </c>
      <c r="T1" s="3380"/>
      <c r="U1" s="3380"/>
      <c r="V1" s="3380"/>
      <c r="X1" s="3379" t="s">
        <v>1154</v>
      </c>
      <c r="Y1" s="3380"/>
      <c r="Z1" s="3380"/>
      <c r="AA1" s="3380"/>
      <c r="AB1" s="3380"/>
      <c r="AD1" s="3379" t="s">
        <v>1155</v>
      </c>
      <c r="AE1" s="3380"/>
      <c r="AF1" s="3380"/>
      <c r="AG1" s="3380"/>
      <c r="AH1" s="3380"/>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16" customFormat="1" ht="14.25">
      <c r="A3" s="2925" t="s">
        <v>3020</v>
      </c>
      <c r="B3" s="2917"/>
      <c r="C3" s="2917"/>
      <c r="D3" s="2918"/>
      <c r="E3" s="2918"/>
      <c r="F3" s="2917"/>
      <c r="G3" s="2919"/>
      <c r="H3" s="2920"/>
      <c r="I3" s="2921">
        <f>ROUND(AVERAGE($I6:$I21),2)</f>
        <v>2.4500000000000002</v>
      </c>
      <c r="J3" s="2921">
        <f>ROUND(AVERAGE($J6:$J21),2)</f>
        <v>1.65</v>
      </c>
      <c r="K3" s="2921">
        <f>ROUND(AVERAGE($K6:$K21),2)</f>
        <v>2.71</v>
      </c>
      <c r="L3" s="2921">
        <f>ROUND(AVERAGE($L6:$L21),2)</f>
        <v>1.39</v>
      </c>
      <c r="N3" s="2919"/>
      <c r="O3" s="2922"/>
      <c r="P3" s="2922"/>
      <c r="Q3" s="2922"/>
      <c r="R3" s="2922"/>
      <c r="S3" s="2919"/>
      <c r="T3" s="2922"/>
      <c r="U3" s="2922"/>
      <c r="V3" s="2922"/>
      <c r="W3" s="2914"/>
      <c r="X3" s="2923">
        <f>ROUND(SUMPRODUCT(PRODUCT(1+N3:N$20)),4)</f>
        <v>1.4274</v>
      </c>
      <c r="Y3" s="2923">
        <f>ROUND(SUMPRODUCT(PRODUCT(1+O3:O$20)),4)</f>
        <v>1.2685</v>
      </c>
      <c r="Z3" s="2923">
        <f t="shared" ref="Z3:Z18" si="0">Y3</f>
        <v>1.2685</v>
      </c>
      <c r="AA3" s="2923">
        <f>ROUND(SUMPRODUCT(PRODUCT(1+P3:P$20)),4)</f>
        <v>1.4825999999999999</v>
      </c>
      <c r="AB3" s="2923">
        <f>ROUND(SUMPRODUCT(PRODUCT(1+Q3:Q$20)),4)</f>
        <v>1.2309000000000001</v>
      </c>
      <c r="AD3" s="2924">
        <f>ROUND(AVERAGE(I3:I$21)/100,4)</f>
        <v>2.3099999999999999E-2</v>
      </c>
      <c r="AE3" s="2924">
        <f>ROUND(AVERAGE(J3:J$21)/100,4)</f>
        <v>1.5599999999999999E-2</v>
      </c>
      <c r="AF3" s="2924">
        <f t="shared" ref="AF3:AF19" si="1">AE3</f>
        <v>1.5599999999999999E-2</v>
      </c>
      <c r="AG3" s="2924">
        <f>ROUND(AVERAGE(K3:K$21)/100,4)</f>
        <v>2.5600000000000001E-2</v>
      </c>
      <c r="AH3" s="2924">
        <f>ROUND(AVERAGE(L3:L$21)/100,4)</f>
        <v>1.32E-2</v>
      </c>
    </row>
    <row r="4" spans="1:34" s="1449" customFormat="1" ht="14.25">
      <c r="B4" s="1450"/>
      <c r="C4" s="1450"/>
      <c r="D4" s="1451"/>
      <c r="E4" s="1451"/>
      <c r="F4" s="1450"/>
      <c r="G4" s="1452"/>
      <c r="H4" s="1453"/>
      <c r="I4" s="2910"/>
      <c r="J4" s="2910"/>
      <c r="K4" s="2910"/>
      <c r="L4" s="2910"/>
      <c r="N4" s="1452"/>
      <c r="O4" s="1454"/>
      <c r="P4" s="1454"/>
      <c r="Q4" s="1454"/>
      <c r="R4" s="1454"/>
      <c r="S4" s="1452"/>
      <c r="T4" s="1454"/>
      <c r="U4" s="1454"/>
      <c r="V4" s="1454"/>
      <c r="X4" s="1455"/>
      <c r="Y4" s="1455"/>
      <c r="Z4" s="1455"/>
      <c r="AA4" s="1455"/>
      <c r="AB4" s="1455"/>
      <c r="AD4" s="1456"/>
      <c r="AE4" s="1456"/>
      <c r="AF4" s="1456"/>
      <c r="AG4" s="1456"/>
      <c r="AH4" s="1456"/>
    </row>
    <row r="5" spans="1:34" s="1726" customFormat="1" ht="13.5" thickBot="1">
      <c r="A5" s="1724" t="s">
        <v>3019</v>
      </c>
      <c r="B5" s="1786">
        <f t="shared" ref="B5" si="2">B6*(1+N5)</f>
        <v>439.19121308559727</v>
      </c>
      <c r="C5" s="1786">
        <f t="shared" ref="C5" si="3">C6*(1+O5)</f>
        <v>326.28510789673351</v>
      </c>
      <c r="D5" s="1786">
        <f t="shared" ref="D5" si="4">C5</f>
        <v>326.28510789673351</v>
      </c>
      <c r="E5" s="1786">
        <f t="shared" ref="E5" si="5">E6*(1+P5)</f>
        <v>626.49404043656455</v>
      </c>
      <c r="F5" s="1786">
        <f t="shared" ref="F5" si="6">F6*(1+Q5)</f>
        <v>283.46416215500358</v>
      </c>
      <c r="G5" s="2913">
        <v>2018</v>
      </c>
      <c r="H5" s="1725">
        <v>1</v>
      </c>
      <c r="I5" s="2911">
        <v>0</v>
      </c>
      <c r="J5" s="2911">
        <v>0</v>
      </c>
      <c r="K5" s="2911">
        <v>0</v>
      </c>
      <c r="L5" s="2911">
        <v>0</v>
      </c>
      <c r="N5" s="1463">
        <f t="shared" ref="N5:N10" si="7">I5/100</f>
        <v>0</v>
      </c>
      <c r="O5" s="1463">
        <f t="shared" ref="O5" si="8">J5/100</f>
        <v>0</v>
      </c>
      <c r="P5" s="1463">
        <f t="shared" ref="P5" si="9">K5/100</f>
        <v>0</v>
      </c>
      <c r="Q5" s="1463">
        <f t="shared" ref="Q5" si="10">L5/100</f>
        <v>0</v>
      </c>
      <c r="R5" s="1727"/>
      <c r="S5" s="1728"/>
      <c r="T5" s="1727"/>
      <c r="U5" s="1727"/>
      <c r="V5" s="1727"/>
      <c r="W5" s="2915" t="s">
        <v>3021</v>
      </c>
      <c r="X5" s="1721">
        <f>ROUND(SUMPRODUCT(PRODUCT(1+N5:N$20)),4)</f>
        <v>1.4274</v>
      </c>
      <c r="Y5" s="1721">
        <f>ROUND(SUMPRODUCT(PRODUCT(1+O5:O$20)),4)</f>
        <v>1.2685</v>
      </c>
      <c r="Z5" s="1721">
        <f t="shared" ref="Z5" si="11">Y5</f>
        <v>1.2685</v>
      </c>
      <c r="AA5" s="1721">
        <f>ROUND(SUMPRODUCT(PRODUCT(1+P5:P$20)),4)</f>
        <v>1.4825999999999999</v>
      </c>
      <c r="AB5" s="1721">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3016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3">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3017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09"/>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5"/>
      <c r="X7" s="1783">
        <f>ROUND(SUMPRODUCT(PRODUCT(1+N7:N$20)),4)</f>
        <v>1.4034</v>
      </c>
      <c r="Y7" s="1783">
        <f>ROUND(SUMPRODUCT(PRODUCT(1+O7:O$20)),4)</f>
        <v>1.2463</v>
      </c>
      <c r="Z7" s="1783">
        <f t="shared" si="0"/>
        <v>1.2463</v>
      </c>
      <c r="AA7" s="1783">
        <f>ROUND(SUMPRODUCT(PRODUCT(1+P7:P$20)),4)</f>
        <v>1.4577</v>
      </c>
      <c r="AB7" s="1783">
        <f>ROUND(SUMPRODUCT(PRODUCT(1+Q7:Q$20)),4)</f>
        <v>1.2136</v>
      </c>
      <c r="AC7" s="1785"/>
      <c r="AD7" s="1784">
        <f>ROUND(AVERAGE(I7:I$21)/100,4)</f>
        <v>2.4899999999999999E-2</v>
      </c>
      <c r="AE7" s="1784">
        <f>ROUND(AVERAGE(J7:J$21)/100,4)</f>
        <v>1.6400000000000001E-2</v>
      </c>
      <c r="AF7" s="1784">
        <f t="shared" si="1"/>
        <v>1.6400000000000001E-2</v>
      </c>
      <c r="AG7" s="1784">
        <f>ROUND(AVERAGE(K7:K$21)/100,4)</f>
        <v>2.7799999999999998E-2</v>
      </c>
      <c r="AH7" s="1784">
        <f>ROUND(AVERAGE(L7:L$21)/100,4)</f>
        <v>1.3899999999999999E-2</v>
      </c>
    </row>
    <row r="8" spans="1:34" s="1726"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08"/>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3">
        <f>ROUND(SUMPRODUCT(PRODUCT(1+N8:N$20)),4)</f>
        <v>1.3628</v>
      </c>
      <c r="Y8" s="1783">
        <f>ROUND(SUMPRODUCT(PRODUCT(1+O8:O$20)),4)</f>
        <v>1.2205999999999999</v>
      </c>
      <c r="Z8" s="1783">
        <f t="shared" si="0"/>
        <v>1.2205999999999999</v>
      </c>
      <c r="AA8" s="1783">
        <f>ROUND(SUMPRODUCT(PRODUCT(1+P8:P$20)),4)</f>
        <v>1.4118999999999999</v>
      </c>
      <c r="AB8" s="1783">
        <f>ROUND(SUMPRODUCT(PRODUCT(1+Q8:Q$20)),4)</f>
        <v>1.1930000000000001</v>
      </c>
      <c r="AC8" s="1449"/>
      <c r="AD8" s="1784">
        <f>ROUND(AVERAGE(I8:I$21)/100,4)</f>
        <v>2.46E-2</v>
      </c>
      <c r="AE8" s="1784">
        <f>ROUND(AVERAGE(J8:J$21)/100,4)</f>
        <v>1.6E-2</v>
      </c>
      <c r="AF8" s="1784">
        <f t="shared" si="1"/>
        <v>1.6E-2</v>
      </c>
      <c r="AG8" s="1784">
        <f>ROUND(AVERAGE(K8:K$21)/100,4)</f>
        <v>2.75E-2</v>
      </c>
      <c r="AH8" s="1784">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09"/>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5"/>
      <c r="X9" s="1783">
        <f>ROUND(SUMPRODUCT(PRODUCT(1+N9:N$20)),4)</f>
        <v>1.3180000000000001</v>
      </c>
      <c r="Y9" s="1783">
        <f>ROUND(SUMPRODUCT(PRODUCT(1+O9:O$20)),4)</f>
        <v>1.1966000000000001</v>
      </c>
      <c r="Z9" s="1783">
        <f t="shared" si="0"/>
        <v>1.1966000000000001</v>
      </c>
      <c r="AA9" s="1783">
        <f>ROUND(SUMPRODUCT(PRODUCT(1+P9:P$20)),4)</f>
        <v>1.36</v>
      </c>
      <c r="AB9" s="1783">
        <f>ROUND(SUMPRODUCT(PRODUCT(1+Q9:Q$20)),4)</f>
        <v>1.1733</v>
      </c>
      <c r="AC9" s="1785"/>
      <c r="AD9" s="1784">
        <f>ROUND(AVERAGE(I9:I$21)/100,4)</f>
        <v>2.3900000000000001E-2</v>
      </c>
      <c r="AE9" s="1784">
        <f>ROUND(AVERAGE(J9:J$21)/100,4)</f>
        <v>1.5699999999999999E-2</v>
      </c>
      <c r="AF9" s="1784">
        <f t="shared" si="1"/>
        <v>1.5699999999999999E-2</v>
      </c>
      <c r="AG9" s="1784">
        <f>ROUND(AVERAGE(K9:K$21)/100,4)</f>
        <v>2.6599999999999999E-2</v>
      </c>
      <c r="AH9" s="1784">
        <f>ROUND(AVERAGE(L9:L$21)/100,4)</f>
        <v>1.34E-2</v>
      </c>
    </row>
    <row r="10" spans="1:34">
      <c r="A10" s="1457" t="s">
        <v>154</v>
      </c>
      <c r="B10" s="1465">
        <v>392</v>
      </c>
      <c r="C10" s="1465">
        <v>302</v>
      </c>
      <c r="D10" s="1465">
        <f>C10</f>
        <v>302</v>
      </c>
      <c r="E10" s="1465">
        <v>553</v>
      </c>
      <c r="F10" s="1466">
        <v>266</v>
      </c>
      <c r="G10" s="3385">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82"/>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82"/>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83"/>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81">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82"/>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82"/>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83"/>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81">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82"/>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82"/>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83"/>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2">
        <f>I21/100</f>
        <v>2.9700000000000001E-2</v>
      </c>
      <c r="AE21" s="1722">
        <f>J21/100</f>
        <v>2.3399999999999997E-2</v>
      </c>
      <c r="AF21" s="1722">
        <f>AE21</f>
        <v>2.3399999999999997E-2</v>
      </c>
      <c r="AG21" s="1722">
        <f>K21/100</f>
        <v>3.2799999999999996E-2</v>
      </c>
      <c r="AH21" s="1722">
        <f>L21/100</f>
        <v>1.3600000000000001E-2</v>
      </c>
    </row>
    <row r="22" spans="1:34" ht="13.5" thickBot="1">
      <c r="A22" s="1457" t="s">
        <v>1163</v>
      </c>
      <c r="B22" s="1465">
        <v>299</v>
      </c>
      <c r="C22" s="1465">
        <v>252</v>
      </c>
      <c r="D22" s="1465">
        <f t="shared" si="35"/>
        <v>252</v>
      </c>
      <c r="E22" s="1465">
        <v>409</v>
      </c>
      <c r="F22" s="1466">
        <v>227</v>
      </c>
      <c r="G22" s="3386">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87"/>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87"/>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88"/>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81">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82"/>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82"/>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83"/>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81">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82">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82">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83">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81">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82">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82">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83">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81">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82">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82">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83">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81">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82">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82">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83">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81">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82">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82">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83">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81">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82">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82">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83">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81">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82">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82">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83">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81">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82">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82">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83">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81">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82">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82">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83">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81">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82">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82">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83">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27473</v>
      </c>
      <c r="C2" s="2" t="s">
        <v>133</v>
      </c>
      <c r="D2" s="241"/>
      <c r="E2" s="241"/>
      <c r="F2" s="241"/>
      <c r="G2" s="241"/>
    </row>
    <row r="3" spans="1:7" s="242" customFormat="1" ht="18" customHeight="1" thickBot="1">
      <c r="A3" s="245" t="s">
        <v>85</v>
      </c>
      <c r="B3" s="246">
        <f ca="1">ROUND(B2*10000/'数据-汇总表'!E3,0)</f>
        <v>3811</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1148</v>
      </c>
    </row>
    <row r="9" spans="1:7" s="256" customFormat="1" ht="13.5" customHeight="1">
      <c r="A9" s="948" t="s">
        <v>800</v>
      </c>
      <c r="B9" s="266" t="s">
        <v>93</v>
      </c>
      <c r="C9" s="267">
        <f>ROUND(D9*E9/10000,0)</f>
        <v>603</v>
      </c>
      <c r="D9" s="1030">
        <f>'数据-汇总表'!E5</f>
        <v>46364.71</v>
      </c>
      <c r="E9" s="267">
        <f>'数据-取费表'!B27</f>
        <v>130</v>
      </c>
      <c r="F9" s="263"/>
      <c r="G9" s="268"/>
    </row>
    <row r="10" spans="1:7" s="256" customFormat="1" ht="13.5" customHeight="1">
      <c r="A10" s="948" t="s">
        <v>801</v>
      </c>
      <c r="B10" s="266" t="s">
        <v>94</v>
      </c>
      <c r="C10" s="267">
        <f>ROUND(D10*E10/10000,0)</f>
        <v>334</v>
      </c>
      <c r="D10" s="1030">
        <f>'数据-汇总表'!E6</f>
        <v>25721.239999999983</v>
      </c>
      <c r="E10" s="267">
        <f>'数据-取费表'!B28</f>
        <v>130</v>
      </c>
      <c r="F10" s="263"/>
      <c r="G10" s="268"/>
    </row>
    <row r="11" spans="1:7" s="256" customFormat="1" ht="13.5" hidden="1" customHeight="1">
      <c r="A11" s="269" t="s">
        <v>7</v>
      </c>
      <c r="B11" s="257" t="s">
        <v>95</v>
      </c>
      <c r="C11" s="253"/>
      <c r="D11" s="1032"/>
      <c r="E11" s="260"/>
      <c r="F11" s="260"/>
      <c r="G11" s="261"/>
    </row>
    <row r="12" spans="1:7" s="256" customFormat="1" ht="13.5" hidden="1" customHeight="1">
      <c r="A12" s="269" t="s">
        <v>8</v>
      </c>
      <c r="B12" s="257" t="s">
        <v>96</v>
      </c>
      <c r="C12" s="253">
        <v>0</v>
      </c>
      <c r="D12" s="1032"/>
      <c r="E12" s="270"/>
      <c r="F12" s="263">
        <v>3.0499999999999999E-2</v>
      </c>
      <c r="G12" s="261"/>
    </row>
    <row r="13" spans="1:7" s="256" customFormat="1" ht="13.5" hidden="1" customHeight="1">
      <c r="A13" s="269" t="s">
        <v>9</v>
      </c>
      <c r="B13" s="257" t="s">
        <v>97</v>
      </c>
      <c r="C13" s="253"/>
      <c r="D13" s="1032"/>
      <c r="E13" s="260"/>
      <c r="F13" s="260"/>
      <c r="G13" s="261"/>
    </row>
    <row r="14" spans="1:7" s="256" customFormat="1" ht="13.5" hidden="1" customHeight="1">
      <c r="A14" s="269" t="s">
        <v>10</v>
      </c>
      <c r="B14" s="257" t="s">
        <v>92</v>
      </c>
      <c r="C14" s="253"/>
      <c r="D14" s="1032"/>
      <c r="E14" s="260"/>
      <c r="F14" s="260"/>
      <c r="G14" s="261" t="s">
        <v>98</v>
      </c>
    </row>
    <row r="15" spans="1:7" s="256" customFormat="1" ht="13.5" hidden="1" customHeight="1">
      <c r="A15" s="269" t="s">
        <v>11</v>
      </c>
      <c r="B15" s="257" t="s">
        <v>99</v>
      </c>
      <c r="C15" s="262"/>
      <c r="D15" s="1032"/>
      <c r="E15" s="260"/>
      <c r="F15" s="260"/>
      <c r="G15" s="261" t="s">
        <v>100</v>
      </c>
    </row>
    <row r="16" spans="1:7" s="256" customFormat="1" ht="13.5" hidden="1" customHeight="1">
      <c r="A16" s="269" t="s">
        <v>12</v>
      </c>
      <c r="B16" s="257" t="s">
        <v>92</v>
      </c>
      <c r="C16" s="262"/>
      <c r="D16" s="1032"/>
      <c r="E16" s="260"/>
      <c r="F16" s="260"/>
      <c r="G16" s="261"/>
    </row>
    <row r="17" spans="1:7" s="256" customFormat="1" ht="13.5" hidden="1" customHeight="1">
      <c r="A17" s="269" t="s">
        <v>13</v>
      </c>
      <c r="B17" s="257" t="s">
        <v>101</v>
      </c>
      <c r="C17" s="271"/>
      <c r="D17" s="1033"/>
      <c r="E17" s="271"/>
      <c r="F17" s="271"/>
      <c r="G17" s="261" t="s">
        <v>100</v>
      </c>
    </row>
    <row r="18" spans="1:7" s="256" customFormat="1" ht="13.5" hidden="1" customHeight="1">
      <c r="A18" s="269" t="s">
        <v>14</v>
      </c>
      <c r="B18" s="257" t="s">
        <v>102</v>
      </c>
      <c r="C18" s="262">
        <v>0</v>
      </c>
      <c r="D18" s="1032"/>
      <c r="E18" s="260"/>
      <c r="F18" s="263">
        <v>3.0499999999999999E-2</v>
      </c>
      <c r="G18" s="261" t="s">
        <v>103</v>
      </c>
    </row>
    <row r="19" spans="1:7" s="265" customFormat="1" ht="13.5" customHeight="1">
      <c r="A19" s="946" t="s">
        <v>1055</v>
      </c>
      <c r="B19" s="252" t="s">
        <v>111</v>
      </c>
      <c r="C19" s="253">
        <f>IF(G19="已包含在土地取得成本中","0",ROUND(D19*E19/10000,0))</f>
        <v>1442</v>
      </c>
      <c r="D19" s="1034">
        <f>'数据-汇总表'!E3</f>
        <v>72085.949999999983</v>
      </c>
      <c r="E19" s="253">
        <f>'数据-取费表'!B31</f>
        <v>200</v>
      </c>
      <c r="F19" s="273"/>
      <c r="G19" s="1" t="s">
        <v>1074</v>
      </c>
    </row>
    <row r="20" spans="1:7" s="256" customFormat="1" ht="13.5" customHeight="1">
      <c r="A20" s="946" t="s">
        <v>1057</v>
      </c>
      <c r="B20" s="252" t="s">
        <v>104</v>
      </c>
      <c r="C20" s="274">
        <f>ROUND((C5+C19)*F20,0)</f>
        <v>441</v>
      </c>
      <c r="D20" s="274"/>
      <c r="E20" s="274"/>
      <c r="F20" s="275">
        <f>'数据-取费表'!B37</f>
        <v>0.02</v>
      </c>
      <c r="G20" s="1285" t="s">
        <v>1068</v>
      </c>
    </row>
    <row r="21" spans="1:7" s="256" customFormat="1" ht="13.5" customHeight="1">
      <c r="A21" s="946" t="s">
        <v>1059</v>
      </c>
      <c r="B21" s="252" t="s">
        <v>105</v>
      </c>
      <c r="C21" s="277">
        <f>F21</f>
        <v>0.02</v>
      </c>
      <c r="D21" s="278" t="s">
        <v>126</v>
      </c>
      <c r="E21" s="274"/>
      <c r="F21" s="275">
        <f>'数据-取费表'!B38</f>
        <v>0.02</v>
      </c>
      <c r="G21" s="276" t="s">
        <v>106</v>
      </c>
    </row>
    <row r="22" spans="1:7" s="256" customFormat="1" ht="13.5" customHeight="1">
      <c r="A22" s="946" t="s">
        <v>786</v>
      </c>
      <c r="B22" s="252" t="s">
        <v>107</v>
      </c>
      <c r="C22" s="1350">
        <f ca="1">ROUND(SUM(C23:C25),0)</f>
        <v>523</v>
      </c>
      <c r="D22" s="277">
        <f ca="1">C26</f>
        <v>2.0000000000000001E-4</v>
      </c>
      <c r="E22" s="278" t="s">
        <v>126</v>
      </c>
      <c r="F22" s="279">
        <f ca="1">'数据-取费表'!B40</f>
        <v>4.7500000000000001E-2</v>
      </c>
      <c r="G22" s="1285" t="str">
        <f>IF('数据-取费表'!B22&lt;=1,"单利计息","复利计息")</f>
        <v>复利计息</v>
      </c>
    </row>
    <row r="23" spans="1:7" s="256" customFormat="1" ht="13.5" customHeight="1">
      <c r="A23" s="949" t="s">
        <v>794</v>
      </c>
      <c r="B23" s="257" t="s">
        <v>1061</v>
      </c>
      <c r="C23" s="1351">
        <f ca="1">ROUND(IF('数据-取费表'!B22&lt;=1,C5*F22*'数据-取费表'!B23,C5*(POWER((1+F22),'数据-取费表'!B23)-1)),0)</f>
        <v>484</v>
      </c>
      <c r="D23" s="280"/>
      <c r="E23" s="280"/>
      <c r="F23" s="281"/>
      <c r="G23" s="282" t="s">
        <v>108</v>
      </c>
    </row>
    <row r="24" spans="1:7" s="256" customFormat="1" ht="13.5" customHeight="1">
      <c r="A24" s="949" t="s">
        <v>792</v>
      </c>
      <c r="B24" s="257" t="s">
        <v>1056</v>
      </c>
      <c r="C24" s="1351">
        <f ca="1">ROUND(IF('数据-取费表'!B22&lt;=1,C19*F22*('数据-取费表'!B19/2+'数据-取费表'!B21),C19*(POWER((1+F22),('数据-取费表'!B19/2+'数据-取费表'!B21))-1)),0)</f>
        <v>34</v>
      </c>
      <c r="D24" s="280"/>
      <c r="E24" s="280"/>
      <c r="F24" s="281"/>
      <c r="G24" s="282" t="s">
        <v>109</v>
      </c>
    </row>
    <row r="25" spans="1:7" s="256" customFormat="1" ht="24">
      <c r="A25" s="949" t="s">
        <v>793</v>
      </c>
      <c r="B25" s="257" t="s">
        <v>1058</v>
      </c>
      <c r="C25" s="1351">
        <f ca="1">ROUND(IF('数据-取费表'!B22&lt;=1,C20*F22*'数据-取费表'!B23/2,C20*(POWER((1+F22),'数据-取费表'!B23/2)-1)),0)</f>
        <v>5</v>
      </c>
      <c r="D25" s="280"/>
      <c r="E25" s="283"/>
      <c r="F25" s="281"/>
      <c r="G25" s="284" t="s">
        <v>110</v>
      </c>
    </row>
    <row r="26" spans="1:7" s="256" customFormat="1">
      <c r="A26" s="949" t="s">
        <v>795</v>
      </c>
      <c r="B26" s="257" t="s">
        <v>1060</v>
      </c>
      <c r="C26" s="280">
        <f ca="1">ROUND(IF('数据-取费表'!B22&lt;=1,F21*F22*'数据-取费表'!B23/2,F21*(POWER((1+F22),'数据-取费表'!B23/2)-1)),4)</f>
        <v>2.0000000000000001E-4</v>
      </c>
      <c r="D26" s="280"/>
      <c r="E26" s="283"/>
      <c r="F26" s="281"/>
      <c r="G26" s="285"/>
    </row>
    <row r="27" spans="1:7" s="256" customFormat="1" ht="24.75">
      <c r="A27" s="946" t="s">
        <v>787</v>
      </c>
      <c r="B27" s="286" t="s">
        <v>112</v>
      </c>
      <c r="C27" s="287">
        <f>C28</f>
        <v>1181</v>
      </c>
      <c r="D27" s="277">
        <f>C29</f>
        <v>1.1000000000000001E-3</v>
      </c>
      <c r="E27" s="278" t="s">
        <v>126</v>
      </c>
      <c r="F27" s="288">
        <f>'数据-取费表'!Q16</f>
        <v>0.21</v>
      </c>
      <c r="G27" s="289" t="s">
        <v>1069</v>
      </c>
    </row>
    <row r="28" spans="1:7" s="256" customFormat="1" ht="13.5" customHeight="1">
      <c r="A28" s="949" t="s">
        <v>794</v>
      </c>
      <c r="B28" s="290" t="s">
        <v>1062</v>
      </c>
      <c r="C28" s="291">
        <f>ROUND((C5+C19+C20)*F27*'数据-取费表'!B21/'数据-取费表'!B20,0)</f>
        <v>1181</v>
      </c>
      <c r="D28" s="277"/>
      <c r="E28" s="278"/>
      <c r="F28" s="288"/>
      <c r="G28" s="289"/>
    </row>
    <row r="29" spans="1:7" s="256" customFormat="1" ht="13.5" customHeight="1">
      <c r="A29" s="949" t="s">
        <v>792</v>
      </c>
      <c r="B29" s="290" t="s">
        <v>1063</v>
      </c>
      <c r="C29" s="280">
        <f>ROUND(C21*F27*'数据-取费表'!B21/'数据-取费表'!B20,4)</f>
        <v>1.1000000000000001E-3</v>
      </c>
      <c r="D29" s="277"/>
      <c r="E29" s="278"/>
      <c r="F29" s="288"/>
      <c r="G29" s="289"/>
    </row>
    <row r="30" spans="1:7" s="256" customFormat="1" ht="13.5" customHeight="1">
      <c r="A30" s="946"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26149</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980</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840</v>
      </c>
      <c r="D34" s="259"/>
      <c r="E34" s="262"/>
      <c r="F34" s="299">
        <f>IF('数据-取费表'!B24=0,1,'数据-取费表'!N16)</f>
        <v>0.05</v>
      </c>
      <c r="G34" s="261" t="s">
        <v>116</v>
      </c>
    </row>
    <row r="35" spans="1:7" ht="13.5" customHeight="1">
      <c r="A35" s="949" t="s">
        <v>796</v>
      </c>
      <c r="B35" s="257" t="s">
        <v>60</v>
      </c>
      <c r="C35" s="262">
        <f>ROUND(C34*F35,0)</f>
        <v>25</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30</v>
      </c>
      <c r="D36" s="262"/>
      <c r="E36" s="262"/>
      <c r="F36" s="301">
        <f>'数据-取费表'!B34</f>
        <v>0.05</v>
      </c>
      <c r="G36" s="302" t="s">
        <v>62</v>
      </c>
    </row>
    <row r="37" spans="1:7" s="300" customFormat="1" ht="13.5" customHeight="1">
      <c r="A37" s="949" t="s">
        <v>798</v>
      </c>
      <c r="B37" s="257" t="s">
        <v>118</v>
      </c>
      <c r="C37" s="291">
        <f>ROUND(E37*D37*F34/10000,0)</f>
        <v>72</v>
      </c>
      <c r="D37" s="259">
        <f>'数据-汇总表'!E3</f>
        <v>72085.949999999983</v>
      </c>
      <c r="E37" s="291">
        <f>'数据-取费表'!B35</f>
        <v>200</v>
      </c>
      <c r="F37" s="301"/>
      <c r="G37" s="303" t="s">
        <v>119</v>
      </c>
    </row>
    <row r="38" spans="1:7" ht="13.5" customHeight="1">
      <c r="A38" s="949" t="s">
        <v>799</v>
      </c>
      <c r="B38" s="257" t="s">
        <v>63</v>
      </c>
      <c r="C38" s="262">
        <f>ROUND(C34*F38,0)</f>
        <v>13</v>
      </c>
      <c r="D38" s="262"/>
      <c r="E38" s="262"/>
      <c r="F38" s="301">
        <f>'数据-取费表'!B36</f>
        <v>1.4999999999999999E-2</v>
      </c>
      <c r="G38" s="261" t="s">
        <v>117</v>
      </c>
    </row>
    <row r="39" spans="1:7" s="256" customFormat="1" ht="13.5" customHeight="1">
      <c r="A39" s="946" t="s">
        <v>783</v>
      </c>
      <c r="B39" s="252" t="s">
        <v>104</v>
      </c>
      <c r="C39" s="274">
        <f>ROUND(C33*F20,0)</f>
        <v>20</v>
      </c>
      <c r="D39" s="274"/>
      <c r="E39" s="274"/>
      <c r="F39" s="275"/>
      <c r="G39" s="1285" t="s">
        <v>1071</v>
      </c>
    </row>
    <row r="40" spans="1:7" s="256" customFormat="1" ht="13.5" customHeight="1">
      <c r="A40" s="946" t="s">
        <v>784</v>
      </c>
      <c r="B40" s="252" t="s">
        <v>105</v>
      </c>
      <c r="C40" s="304">
        <f>F21</f>
        <v>0.02</v>
      </c>
      <c r="D40" s="278" t="s">
        <v>129</v>
      </c>
      <c r="E40" s="274"/>
      <c r="F40" s="275"/>
      <c r="G40" s="276" t="s">
        <v>120</v>
      </c>
    </row>
    <row r="41" spans="1:7" s="256" customFormat="1" ht="13.5" customHeight="1">
      <c r="A41" s="946" t="s">
        <v>785</v>
      </c>
      <c r="B41" s="252" t="s">
        <v>107</v>
      </c>
      <c r="C41" s="274">
        <f ca="1">ROUND(SUM(C42:C43),0)</f>
        <v>11</v>
      </c>
      <c r="D41" s="277">
        <f ca="1">C44</f>
        <v>2.0000000000000001E-4</v>
      </c>
      <c r="E41" s="278" t="s">
        <v>129</v>
      </c>
      <c r="F41" s="279"/>
      <c r="G41" s="1285" t="str">
        <f>IF('数据-取费表'!B22&lt;=1,"单利计息","复利计息")</f>
        <v>复利计息</v>
      </c>
    </row>
    <row r="42" spans="1:7" ht="13.5" customHeight="1">
      <c r="A42" s="949" t="s">
        <v>794</v>
      </c>
      <c r="B42" s="257" t="s">
        <v>1061</v>
      </c>
      <c r="C42" s="280">
        <f ca="1">ROUND(IF('数据-取费表'!B22&lt;=1,C33*F22*'数据-取费表'!B21/2,C33*(POWER((1+F22),'数据-取费表'!B21/2)-1)),0)</f>
        <v>11</v>
      </c>
      <c r="D42" s="280"/>
      <c r="E42" s="280"/>
      <c r="F42" s="281"/>
      <c r="G42" s="3254" t="s">
        <v>121</v>
      </c>
    </row>
    <row r="43" spans="1:7" ht="13.5" customHeight="1">
      <c r="A43" s="949" t="s">
        <v>792</v>
      </c>
      <c r="B43" s="257" t="s">
        <v>1064</v>
      </c>
      <c r="C43" s="280">
        <f ca="1">ROUND(IF('数据-取费表'!B22&lt;=1,C39*F22*'数据-取费表'!B21/2,C39*(POWER((1+F22),'数据-取费表'!B21/2)-1)),0)</f>
        <v>0</v>
      </c>
      <c r="D43" s="280"/>
      <c r="E43" s="280"/>
      <c r="F43" s="281"/>
      <c r="G43" s="3255"/>
    </row>
    <row r="44" spans="1:7" ht="13.5" customHeight="1">
      <c r="A44" s="949" t="s">
        <v>793</v>
      </c>
      <c r="B44" s="257" t="s">
        <v>1066</v>
      </c>
      <c r="C44" s="280">
        <f ca="1">ROUND(IF('数据-取费表'!B22&lt;=1,C40*F22*'数据-取费表'!B21/2,C40*(POWER((1+F22),'数据-取费表'!B21/2)-1)),4)</f>
        <v>2.0000000000000001E-4</v>
      </c>
      <c r="D44" s="280"/>
      <c r="E44" s="280"/>
      <c r="F44" s="281"/>
      <c r="G44" s="3256"/>
    </row>
    <row r="45" spans="1:7" s="256" customFormat="1" ht="13.5" customHeight="1">
      <c r="A45" s="946" t="s">
        <v>786</v>
      </c>
      <c r="B45" s="286" t="s">
        <v>112</v>
      </c>
      <c r="C45" s="287">
        <f>C46</f>
        <v>210</v>
      </c>
      <c r="D45" s="277">
        <f>C47</f>
        <v>4.1999999999999997E-3</v>
      </c>
      <c r="E45" s="278" t="s">
        <v>129</v>
      </c>
      <c r="F45" s="288"/>
      <c r="G45" s="289" t="s">
        <v>1072</v>
      </c>
    </row>
    <row r="46" spans="1:7" s="256" customFormat="1" ht="13.5" customHeight="1">
      <c r="A46" s="949" t="s">
        <v>794</v>
      </c>
      <c r="B46" s="290" t="s">
        <v>1065</v>
      </c>
      <c r="C46" s="291">
        <f>ROUND((C33+C39)*F27,0)</f>
        <v>210</v>
      </c>
      <c r="D46" s="305"/>
      <c r="E46" s="278"/>
      <c r="F46" s="288"/>
      <c r="G46" s="289"/>
    </row>
    <row r="47" spans="1:7" s="256" customFormat="1" ht="13.5" customHeight="1">
      <c r="A47" s="949" t="s">
        <v>792</v>
      </c>
      <c r="B47" s="290" t="s">
        <v>1067</v>
      </c>
      <c r="C47" s="280">
        <f>ROUND(C40*F27,4)</f>
        <v>4.1999999999999997E-3</v>
      </c>
      <c r="D47" s="305"/>
      <c r="E47" s="278"/>
      <c r="F47" s="288"/>
      <c r="G47" s="289"/>
    </row>
    <row r="48" spans="1:7" s="256" customFormat="1" ht="13.5" customHeight="1">
      <c r="A48" s="946" t="s">
        <v>787</v>
      </c>
      <c r="B48" s="252" t="s">
        <v>122</v>
      </c>
      <c r="C48" s="304">
        <f>F30</f>
        <v>5.6000000000000001E-2</v>
      </c>
      <c r="D48" s="278" t="s">
        <v>130</v>
      </c>
      <c r="E48" s="274"/>
      <c r="F48" s="279"/>
      <c r="G48" s="276" t="s">
        <v>123</v>
      </c>
    </row>
    <row r="49" spans="1:7" ht="16.5" customHeight="1">
      <c r="A49" s="946" t="s">
        <v>788</v>
      </c>
      <c r="B49" s="252" t="s">
        <v>131</v>
      </c>
      <c r="C49" s="274">
        <f ca="1">ROUND((C33+C39+C41+C45)/(1-C40-D41-D45-C48/(1+'数据-取费表'!B42)),0)</f>
        <v>1324</v>
      </c>
      <c r="D49" s="274"/>
      <c r="E49" s="274"/>
      <c r="F49" s="306"/>
      <c r="G49" s="276" t="s">
        <v>1073</v>
      </c>
    </row>
    <row r="50" spans="1:7" s="300" customFormat="1" ht="24">
      <c r="A50" s="946" t="s">
        <v>789</v>
      </c>
      <c r="B50" s="252" t="s">
        <v>124</v>
      </c>
      <c r="C50" s="274"/>
      <c r="D50" s="274"/>
      <c r="E50" s="274"/>
      <c r="F50" s="306">
        <f>IF('数据-取费表'!B24=0,'数据-取费表'!N16,1)</f>
        <v>1</v>
      </c>
      <c r="G50" s="289" t="s">
        <v>125</v>
      </c>
    </row>
    <row r="51" spans="1:7" ht="16.5" customHeight="1">
      <c r="A51" s="946" t="s">
        <v>790</v>
      </c>
      <c r="B51" s="252" t="s">
        <v>132</v>
      </c>
      <c r="C51" s="274">
        <f ca="1">ROUND(C49*F50,0)</f>
        <v>1324</v>
      </c>
      <c r="D51" s="274"/>
      <c r="E51" s="274"/>
      <c r="F51" s="306"/>
      <c r="G51" s="276" t="s">
        <v>64</v>
      </c>
    </row>
    <row r="52" spans="1:7" s="250" customFormat="1" ht="16.5" thickBot="1">
      <c r="A52" s="307" t="s">
        <v>65</v>
      </c>
      <c r="B52" s="308"/>
      <c r="C52" s="309">
        <f ca="1">C31+C51</f>
        <v>27473</v>
      </c>
      <c r="D52" s="308"/>
      <c r="E52" s="308"/>
      <c r="F52" s="308"/>
      <c r="G52" s="310"/>
    </row>
    <row r="55" spans="1:7" ht="15">
      <c r="B55" s="312" t="s">
        <v>66</v>
      </c>
      <c r="C55" s="313"/>
    </row>
    <row r="56" spans="1:7">
      <c r="B56" s="315" t="s">
        <v>67</v>
      </c>
      <c r="C56" s="316">
        <f ca="1">ROUND(C51/C52,3)</f>
        <v>4.8000000000000001E-2</v>
      </c>
    </row>
    <row r="57" spans="1:7">
      <c r="B57" s="315" t="s">
        <v>68</v>
      </c>
      <c r="C57" s="317">
        <f ca="1">1-C56</f>
        <v>0.95199999999999996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89" t="s">
        <v>156</v>
      </c>
      <c r="B1" s="3389"/>
      <c r="C1" s="3389"/>
      <c r="D1" s="3389"/>
      <c r="E1" s="3389"/>
      <c r="F1" s="3389"/>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90" t="s">
        <v>169</v>
      </c>
      <c r="B2" s="3390"/>
      <c r="C2" s="3390"/>
      <c r="D2" s="3390"/>
      <c r="E2" s="3390"/>
      <c r="F2" s="3390"/>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91"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92"/>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89" t="s">
        <v>871</v>
      </c>
      <c r="B1" s="3389"/>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43207</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1" sqref="A31"/>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23" sqref="N2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1"/>
    <col min="46" max="16384" width="9" style="137"/>
  </cols>
  <sheetData>
    <row r="1" spans="1:45" ht="14.25" customHeight="1" thickBot="1">
      <c r="A1" s="153"/>
      <c r="B1" s="1202" t="s">
        <v>2991</v>
      </c>
      <c r="C1" s="3394" t="s">
        <v>2992</v>
      </c>
      <c r="D1" s="3395"/>
      <c r="E1" s="3395"/>
      <c r="F1" s="3395"/>
      <c r="G1" s="3395"/>
      <c r="H1" s="3395"/>
      <c r="I1" s="3395"/>
      <c r="J1" s="3395"/>
      <c r="K1" s="3395"/>
      <c r="L1" s="3395"/>
      <c r="M1" s="3395"/>
      <c r="N1" s="3395"/>
      <c r="O1" s="3395"/>
      <c r="P1" s="3395"/>
      <c r="Q1" s="3395"/>
      <c r="R1" s="3395"/>
      <c r="S1" s="3396"/>
      <c r="T1" s="1202" t="s">
        <v>2993</v>
      </c>
    </row>
    <row r="2" spans="1:45" s="705" customFormat="1" ht="38.25">
      <c r="A2" s="1203"/>
      <c r="B2" s="701" t="s">
        <v>2994</v>
      </c>
      <c r="C2" s="702" t="str">
        <f t="shared" ref="C2:L2" si="0">C3&amp;"(含)"&amp;"-"&amp;D3</f>
        <v>0(含)-100</v>
      </c>
      <c r="D2" s="703" t="str">
        <f t="shared" si="0"/>
        <v>100(含)-200</v>
      </c>
      <c r="E2" s="703" t="str">
        <f t="shared" si="0"/>
        <v>200(含)-300</v>
      </c>
      <c r="F2" s="703" t="str">
        <f t="shared" si="0"/>
        <v>300(含)-400</v>
      </c>
      <c r="G2" s="703" t="str">
        <f t="shared" si="0"/>
        <v>400(含)-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5"/>
      <c r="B3" s="706"/>
      <c r="C3" s="593">
        <v>0</v>
      </c>
      <c r="D3" s="593">
        <v>100</v>
      </c>
      <c r="E3" s="593">
        <v>200</v>
      </c>
      <c r="F3" s="593">
        <v>300</v>
      </c>
      <c r="G3" s="593">
        <v>400</v>
      </c>
      <c r="H3" s="1699"/>
      <c r="I3" s="1699"/>
      <c r="J3" s="1699"/>
      <c r="K3" s="1699"/>
      <c r="L3" s="1700"/>
      <c r="M3" s="1701"/>
      <c r="N3" s="1701"/>
      <c r="O3" s="1699"/>
      <c r="P3" s="1699"/>
      <c r="Q3" s="1699"/>
      <c r="R3" s="1699"/>
      <c r="S3" s="1702"/>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6"/>
      <c r="B4" s="1207"/>
      <c r="C4" s="558">
        <v>100</v>
      </c>
      <c r="D4" s="534">
        <v>99</v>
      </c>
      <c r="E4" s="534">
        <v>98</v>
      </c>
      <c r="F4" s="558">
        <v>97</v>
      </c>
      <c r="G4" s="534">
        <v>96</v>
      </c>
      <c r="H4" s="1703"/>
      <c r="I4" s="1703"/>
      <c r="J4" s="1703"/>
      <c r="K4" s="1703"/>
      <c r="L4" s="1703"/>
      <c r="M4" s="1704"/>
      <c r="N4" s="1704"/>
      <c r="O4" s="1703"/>
      <c r="P4" s="1703"/>
      <c r="Q4" s="1703"/>
      <c r="R4" s="1703"/>
      <c r="S4" s="1705"/>
      <c r="T4" s="1212"/>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14.25" thickTop="1">
      <c r="A5" s="1213"/>
      <c r="B5" s="3050" t="s">
        <v>3521</v>
      </c>
      <c r="C5" s="2942" t="s">
        <v>3474</v>
      </c>
      <c r="D5" s="2942" t="s">
        <v>3475</v>
      </c>
      <c r="E5" s="2942" t="s">
        <v>3476</v>
      </c>
      <c r="F5" s="3049" t="s">
        <v>3477</v>
      </c>
      <c r="G5" s="2942" t="s">
        <v>3478</v>
      </c>
      <c r="H5" s="1706"/>
      <c r="I5" s="1706"/>
      <c r="J5" s="1706"/>
      <c r="K5" s="1706"/>
      <c r="L5" s="1707"/>
      <c r="M5" s="1708"/>
      <c r="N5" s="1708"/>
      <c r="O5" s="1706"/>
      <c r="P5" s="1706"/>
      <c r="Q5" s="1706"/>
      <c r="R5" s="1706"/>
      <c r="S5" s="1709"/>
      <c r="T5" s="1217">
        <v>2</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3"/>
      <c r="B6" s="1114"/>
      <c r="C6" s="1120">
        <v>100</v>
      </c>
      <c r="D6" s="1117">
        <f>C6-$T5</f>
        <v>98</v>
      </c>
      <c r="E6" s="1117">
        <f t="shared" ref="E6:S6" si="7">D6-$T5</f>
        <v>96</v>
      </c>
      <c r="F6" s="1710">
        <f t="shared" si="7"/>
        <v>94</v>
      </c>
      <c r="G6" s="1710">
        <f t="shared" si="7"/>
        <v>92</v>
      </c>
      <c r="H6" s="1710">
        <f t="shared" si="7"/>
        <v>90</v>
      </c>
      <c r="I6" s="1710">
        <f t="shared" si="7"/>
        <v>88</v>
      </c>
      <c r="J6" s="1710">
        <f t="shared" si="7"/>
        <v>86</v>
      </c>
      <c r="K6" s="1710">
        <f t="shared" si="7"/>
        <v>84</v>
      </c>
      <c r="L6" s="1710">
        <f t="shared" si="7"/>
        <v>82</v>
      </c>
      <c r="M6" s="1710">
        <f t="shared" si="7"/>
        <v>80</v>
      </c>
      <c r="N6" s="1710">
        <f t="shared" si="7"/>
        <v>78</v>
      </c>
      <c r="O6" s="1710">
        <f t="shared" si="7"/>
        <v>76</v>
      </c>
      <c r="P6" s="1710">
        <f t="shared" si="7"/>
        <v>74</v>
      </c>
      <c r="Q6" s="1710">
        <f t="shared" si="7"/>
        <v>72</v>
      </c>
      <c r="R6" s="1710">
        <f t="shared" si="7"/>
        <v>70</v>
      </c>
      <c r="S6" s="1710">
        <f t="shared" si="7"/>
        <v>68</v>
      </c>
      <c r="T6" s="1116"/>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ht="14.25" thickTop="1">
      <c r="A7" s="1213"/>
      <c r="B7" s="3051" t="s">
        <v>3522</v>
      </c>
      <c r="C7" s="2942" t="s">
        <v>3474</v>
      </c>
      <c r="D7" s="2942" t="s">
        <v>3475</v>
      </c>
      <c r="E7" s="2942" t="s">
        <v>3476</v>
      </c>
      <c r="F7" s="3049" t="s">
        <v>3477</v>
      </c>
      <c r="G7" s="2942" t="s">
        <v>3478</v>
      </c>
      <c r="H7" s="1711"/>
      <c r="I7" s="1711"/>
      <c r="J7" s="1711"/>
      <c r="K7" s="1711"/>
      <c r="L7" s="1711"/>
      <c r="M7" s="1712"/>
      <c r="N7" s="1713"/>
      <c r="O7" s="1714"/>
      <c r="P7" s="1715"/>
      <c r="Q7" s="1716"/>
      <c r="R7" s="1717"/>
      <c r="S7" s="1718"/>
      <c r="T7" s="709">
        <v>2</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3"/>
      <c r="B8" s="1114"/>
      <c r="C8" s="1120">
        <v>100</v>
      </c>
      <c r="D8" s="1117">
        <f>C8-$T7</f>
        <v>98</v>
      </c>
      <c r="E8" s="1117">
        <f t="shared" ref="E8:S8" si="8">D8-$T7</f>
        <v>96</v>
      </c>
      <c r="F8" s="1710">
        <f t="shared" si="8"/>
        <v>94</v>
      </c>
      <c r="G8" s="1710">
        <f t="shared" si="8"/>
        <v>92</v>
      </c>
      <c r="H8" s="1710">
        <f t="shared" si="8"/>
        <v>90</v>
      </c>
      <c r="I8" s="1710">
        <f t="shared" si="8"/>
        <v>88</v>
      </c>
      <c r="J8" s="1710">
        <f t="shared" si="8"/>
        <v>86</v>
      </c>
      <c r="K8" s="1710">
        <f t="shared" si="8"/>
        <v>84</v>
      </c>
      <c r="L8" s="1710">
        <f t="shared" si="8"/>
        <v>82</v>
      </c>
      <c r="M8" s="1710">
        <f t="shared" si="8"/>
        <v>80</v>
      </c>
      <c r="N8" s="1710">
        <f t="shared" si="8"/>
        <v>78</v>
      </c>
      <c r="O8" s="1710">
        <f t="shared" si="8"/>
        <v>76</v>
      </c>
      <c r="P8" s="1710">
        <f t="shared" si="8"/>
        <v>74</v>
      </c>
      <c r="Q8" s="1710">
        <f t="shared" si="8"/>
        <v>72</v>
      </c>
      <c r="R8" s="1710">
        <f t="shared" si="8"/>
        <v>70</v>
      </c>
      <c r="S8" s="1710">
        <f t="shared" si="8"/>
        <v>68</v>
      </c>
      <c r="T8" s="1116"/>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3"/>
      <c r="B9" s="1765" t="s">
        <v>2995</v>
      </c>
      <c r="C9" s="1119"/>
      <c r="D9" s="1113"/>
      <c r="E9" s="1113"/>
      <c r="F9" s="1711"/>
      <c r="G9" s="1711"/>
      <c r="H9" s="1711"/>
      <c r="I9" s="1711"/>
      <c r="J9" s="1711"/>
      <c r="K9" s="1711"/>
      <c r="L9" s="1719"/>
      <c r="M9" s="1712"/>
      <c r="N9" s="1713"/>
      <c r="O9" s="1714"/>
      <c r="P9" s="1715"/>
      <c r="Q9" s="1716"/>
      <c r="R9" s="1717"/>
      <c r="S9" s="1718"/>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3"/>
      <c r="B10" s="1207"/>
      <c r="C10" s="1218">
        <v>100</v>
      </c>
      <c r="D10" s="1219">
        <f>C10-$T9</f>
        <v>100</v>
      </c>
      <c r="E10" s="1219">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2"/>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3"/>
      <c r="B11" s="1764" t="s">
        <v>2996</v>
      </c>
      <c r="C11" s="1214"/>
      <c r="D11" s="1215"/>
      <c r="E11" s="1215"/>
      <c r="F11" s="1215"/>
      <c r="G11" s="1215"/>
      <c r="H11" s="1215"/>
      <c r="I11" s="1215"/>
      <c r="J11" s="1215"/>
      <c r="K11" s="1215"/>
      <c r="L11" s="1215"/>
      <c r="M11" s="1216"/>
      <c r="N11" s="1220"/>
      <c r="O11" s="1221"/>
      <c r="P11" s="1222"/>
      <c r="Q11" s="1223"/>
      <c r="R11" s="1224"/>
      <c r="S11" s="1225"/>
      <c r="T11" s="1217"/>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3"/>
      <c r="B13" s="1764" t="s">
        <v>2997</v>
      </c>
      <c r="C13" s="1214"/>
      <c r="D13" s="1215"/>
      <c r="E13" s="1215"/>
      <c r="F13" s="1215"/>
      <c r="G13" s="1215"/>
      <c r="H13" s="1215"/>
      <c r="I13" s="1215"/>
      <c r="J13" s="1215"/>
      <c r="K13" s="1215"/>
      <c r="L13" s="1215"/>
      <c r="M13" s="1216"/>
      <c r="N13" s="1220"/>
      <c r="O13" s="1221"/>
      <c r="P13" s="1222"/>
      <c r="Q13" s="1223"/>
      <c r="R13" s="1224"/>
      <c r="S13" s="1225"/>
      <c r="T13" s="1226"/>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3"/>
      <c r="B15" s="1764" t="s">
        <v>2998</v>
      </c>
      <c r="C15" s="1214"/>
      <c r="D15" s="1215"/>
      <c r="E15" s="1215"/>
      <c r="F15" s="1215"/>
      <c r="G15" s="1215"/>
      <c r="H15" s="1215"/>
      <c r="I15" s="1215"/>
      <c r="J15" s="1215"/>
      <c r="K15" s="1215"/>
      <c r="L15" s="1215"/>
      <c r="M15" s="1216"/>
      <c r="N15" s="1220"/>
      <c r="O15" s="1221"/>
      <c r="P15" s="1222"/>
      <c r="Q15" s="1223"/>
      <c r="R15" s="1224"/>
      <c r="S15" s="1225"/>
      <c r="T15" s="1226"/>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ht="42" thickTop="1">
      <c r="A17" s="2903" t="s">
        <v>2999</v>
      </c>
      <c r="B17" s="2904" t="s">
        <v>3000</v>
      </c>
      <c r="C17" s="552" t="s">
        <v>3479</v>
      </c>
      <c r="D17" s="552" t="s">
        <v>3514</v>
      </c>
      <c r="E17" s="552" t="s">
        <v>3480</v>
      </c>
      <c r="F17" s="552" t="s">
        <v>3481</v>
      </c>
      <c r="G17" s="552" t="s">
        <v>3482</v>
      </c>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2"/>
      <c r="AS17" s="792"/>
    </row>
    <row r="18" spans="1:45" s="705" customFormat="1" ht="15" thickBot="1">
      <c r="A18" s="1238"/>
      <c r="B18" s="1239"/>
      <c r="C18" s="534">
        <v>100</v>
      </c>
      <c r="D18" s="534">
        <v>90</v>
      </c>
      <c r="E18" s="534">
        <v>75</v>
      </c>
      <c r="F18" s="534">
        <v>65</v>
      </c>
      <c r="G18" s="534">
        <v>55</v>
      </c>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6"/>
      <c r="B19" s="166"/>
      <c r="C19" s="166"/>
      <c r="D19" s="2905" t="s">
        <v>3001</v>
      </c>
      <c r="E19" s="1787"/>
      <c r="F19" s="1787"/>
      <c r="G19" s="1787"/>
      <c r="H19" s="1276"/>
      <c r="I19" s="166"/>
      <c r="J19" s="166"/>
      <c r="K19" s="166"/>
      <c r="L19" s="166"/>
      <c r="M19" s="166"/>
      <c r="N19" s="166"/>
      <c r="O19" s="166"/>
      <c r="P19" s="166"/>
      <c r="Q19" s="166"/>
      <c r="R19" s="784"/>
      <c r="S19" s="136"/>
    </row>
    <row r="20" spans="1:45" ht="16.5" thickBot="1">
      <c r="A20" s="711" t="s">
        <v>3002</v>
      </c>
      <c r="B20" s="336">
        <f ca="1">IF(D20="——",S22,S22-F20)</f>
        <v>10046</v>
      </c>
      <c r="C20" s="166"/>
      <c r="D20" s="2906" t="s">
        <v>70</v>
      </c>
      <c r="E20" s="1788"/>
      <c r="F20" s="1202" t="e">
        <f ca="1">SUMIF(INDIRECT("'"&amp;H20&amp;"'"&amp;"!A:A"),"承租人权益价值",INDIRECT("'"&amp;H20&amp;"'"&amp;"!c:c"))</f>
        <v>#N/A</v>
      </c>
      <c r="G20" s="1202" t="s">
        <v>3003</v>
      </c>
      <c r="H20" s="2907" t="s">
        <v>3119</v>
      </c>
      <c r="I20" s="166"/>
      <c r="J20" s="166"/>
      <c r="K20" s="166"/>
      <c r="L20" s="166"/>
      <c r="M20" s="166"/>
      <c r="N20" s="166"/>
      <c r="O20" s="166"/>
      <c r="P20" s="166"/>
      <c r="Q20" s="166"/>
      <c r="R20" s="784"/>
      <c r="S20" s="136"/>
    </row>
    <row r="21" spans="1:45" ht="15.75">
      <c r="A21" s="711" t="s">
        <v>3004</v>
      </c>
      <c r="B21" s="336">
        <f ca="1">R22</f>
        <v>2023</v>
      </c>
      <c r="C21" s="166"/>
      <c r="D21" s="166"/>
      <c r="E21" s="166"/>
      <c r="F21" s="166"/>
      <c r="G21" s="166"/>
      <c r="H21" s="166"/>
      <c r="I21" s="166"/>
      <c r="J21" s="166"/>
      <c r="K21" s="166"/>
      <c r="L21" s="166"/>
      <c r="M21" s="166"/>
      <c r="N21" s="166"/>
      <c r="O21" s="166"/>
      <c r="P21" s="166"/>
      <c r="Q21" s="166"/>
      <c r="R21" s="784"/>
      <c r="S21" s="136"/>
    </row>
    <row r="22" spans="1:45">
      <c r="A22" s="359" t="s">
        <v>3005</v>
      </c>
      <c r="B22" s="24">
        <f>SUM(B24:B10000)</f>
        <v>49665.649999999994</v>
      </c>
      <c r="C22" s="3169" t="s">
        <v>33</v>
      </c>
      <c r="D22" s="3170"/>
      <c r="E22" s="3170"/>
      <c r="F22" s="3170"/>
      <c r="G22" s="3170"/>
      <c r="H22" s="3170"/>
      <c r="I22" s="3170"/>
      <c r="J22" s="3170"/>
      <c r="K22" s="3170"/>
      <c r="L22" s="3170"/>
      <c r="M22" s="3170"/>
      <c r="N22" s="3170"/>
      <c r="O22" s="3170"/>
      <c r="P22" s="3170"/>
      <c r="Q22" s="3393"/>
      <c r="R22" s="712">
        <f ca="1">ROUND(S22*10000/B22,0)</f>
        <v>2023</v>
      </c>
      <c r="S22" s="24">
        <f ca="1">SUM(S24:S10000)</f>
        <v>10046</v>
      </c>
    </row>
    <row r="23" spans="1:45" s="12" customFormat="1" ht="24">
      <c r="A23" s="11" t="s">
        <v>3006</v>
      </c>
      <c r="B23" s="11" t="s">
        <v>3007</v>
      </c>
      <c r="C23" s="11" t="s">
        <v>3008</v>
      </c>
      <c r="D23" s="11" t="str">
        <f>B5</f>
        <v>平面位置</v>
      </c>
      <c r="E23" s="11" t="s">
        <v>3008</v>
      </c>
      <c r="F23" s="11" t="str">
        <f>B7</f>
        <v>人流量</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3" t="s">
        <v>3009</v>
      </c>
      <c r="S23" s="11" t="s">
        <v>3010</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61" t="s">
        <v>3122</v>
      </c>
      <c r="B24" s="714">
        <f>'数据-汇总表'!F19</f>
        <v>46364.71</v>
      </c>
      <c r="C24" s="715">
        <v>1</v>
      </c>
      <c r="D24" s="716"/>
      <c r="E24" s="715">
        <v>1</v>
      </c>
      <c r="F24" s="716"/>
      <c r="G24" s="715">
        <v>1</v>
      </c>
      <c r="H24" s="716"/>
      <c r="I24" s="715">
        <v>1</v>
      </c>
      <c r="J24" s="716"/>
      <c r="K24" s="715">
        <v>1</v>
      </c>
      <c r="L24" s="716"/>
      <c r="M24" s="715">
        <v>1</v>
      </c>
      <c r="N24" s="716"/>
      <c r="O24" s="715">
        <v>1</v>
      </c>
      <c r="P24" s="716"/>
      <c r="Q24" s="715">
        <v>1</v>
      </c>
      <c r="R24" s="717">
        <f ca="1">结果表!G20</f>
        <v>2022</v>
      </c>
      <c r="S24" s="715">
        <f t="shared" ref="S24:S54" ca="1" si="11">ROUND(R24*B24/10000,0)</f>
        <v>9375</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7">
        <v>9</v>
      </c>
      <c r="B25" s="59">
        <f>Sheet3!I20</f>
        <v>424.85</v>
      </c>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 ca="1">IF(B25="",0,ROUND($R$24*C25*E25*G25*I25*K25*M25*O25*Q25,0))</f>
        <v>2022</v>
      </c>
      <c r="S25" s="359">
        <f t="shared" ca="1" si="11"/>
        <v>86</v>
      </c>
    </row>
    <row r="26" spans="1:45">
      <c r="A26" s="157">
        <v>24</v>
      </c>
      <c r="B26" s="59">
        <f>Sheet3!I21</f>
        <v>424.85</v>
      </c>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ca="1" si="20">IF(B26="",0,ROUND($R$24*C26*E26*G26*I26*K26*M26*O26*Q26,0))</f>
        <v>2022</v>
      </c>
      <c r="S26" s="359">
        <f t="shared" ca="1" si="11"/>
        <v>86</v>
      </c>
    </row>
    <row r="27" spans="1:45">
      <c r="A27" s="157">
        <v>28</v>
      </c>
      <c r="B27" s="59">
        <f>Sheet3!I22</f>
        <v>343.86</v>
      </c>
      <c r="C27" s="24">
        <f t="shared" si="12"/>
        <v>1.01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ca="1" si="20"/>
        <v>2042</v>
      </c>
      <c r="S27" s="359">
        <f t="shared" ca="1" si="11"/>
        <v>70</v>
      </c>
    </row>
    <row r="28" spans="1:45">
      <c r="A28" s="157">
        <v>36</v>
      </c>
      <c r="B28" s="59">
        <f>Sheet3!I23</f>
        <v>315.01</v>
      </c>
      <c r="C28" s="24">
        <f t="shared" si="12"/>
        <v>1.01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ca="1" si="20"/>
        <v>2042</v>
      </c>
      <c r="S28" s="359">
        <f t="shared" ca="1" si="11"/>
        <v>64</v>
      </c>
    </row>
    <row r="29" spans="1:45">
      <c r="A29" s="157">
        <v>40</v>
      </c>
      <c r="B29" s="59">
        <f>Sheet3!I24</f>
        <v>313.74</v>
      </c>
      <c r="C29" s="24">
        <f t="shared" si="12"/>
        <v>1.01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ca="1" si="20"/>
        <v>2042</v>
      </c>
      <c r="S29" s="359">
        <f t="shared" ca="1" si="11"/>
        <v>64</v>
      </c>
    </row>
    <row r="30" spans="1:45">
      <c r="A30" s="157">
        <v>46</v>
      </c>
      <c r="B30" s="59">
        <f>Sheet3!I25</f>
        <v>424.85</v>
      </c>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ca="1" si="20"/>
        <v>2022</v>
      </c>
      <c r="S30" s="359">
        <f t="shared" ca="1" si="11"/>
        <v>86</v>
      </c>
    </row>
    <row r="31" spans="1:45">
      <c r="A31" s="157">
        <v>47</v>
      </c>
      <c r="B31" s="59">
        <f>Sheet3!I26</f>
        <v>424.85</v>
      </c>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ca="1" si="20"/>
        <v>2022</v>
      </c>
      <c r="S31" s="359">
        <f t="shared" ca="1" si="11"/>
        <v>86</v>
      </c>
    </row>
    <row r="32" spans="1:45">
      <c r="A32" s="157">
        <v>49</v>
      </c>
      <c r="B32" s="59">
        <f>Sheet3!I27</f>
        <v>312.85000000000002</v>
      </c>
      <c r="C32" s="24">
        <f t="shared" si="12"/>
        <v>1.01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ca="1" si="20"/>
        <v>2042</v>
      </c>
      <c r="S32" s="359">
        <f t="shared" ca="1" si="11"/>
        <v>64</v>
      </c>
    </row>
    <row r="33" spans="1:19">
      <c r="A33" s="157">
        <v>50</v>
      </c>
      <c r="B33" s="59">
        <f>Sheet3!I28</f>
        <v>316.08</v>
      </c>
      <c r="C33" s="24">
        <f t="shared" si="12"/>
        <v>1.01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ca="1" si="20"/>
        <v>2042</v>
      </c>
      <c r="S33" s="359">
        <f t="shared" ca="1" si="11"/>
        <v>65</v>
      </c>
    </row>
    <row r="34" spans="1:19">
      <c r="A34" s="157"/>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9">
        <f t="shared" si="11"/>
        <v>0</v>
      </c>
    </row>
    <row r="35" spans="1:19">
      <c r="A35" s="157"/>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9">
        <f t="shared" si="11"/>
        <v>0</v>
      </c>
    </row>
    <row r="36" spans="1:19">
      <c r="A36" s="157"/>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9">
        <f t="shared" si="11"/>
        <v>0</v>
      </c>
    </row>
    <row r="37" spans="1:19">
      <c r="A37" s="157"/>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9">
        <f t="shared" si="11"/>
        <v>0</v>
      </c>
    </row>
    <row r="38" spans="1:19">
      <c r="A38" s="157"/>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9">
        <f t="shared" si="11"/>
        <v>0</v>
      </c>
    </row>
    <row r="39" spans="1:19">
      <c r="A39" s="157"/>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9">
        <f t="shared" si="11"/>
        <v>0</v>
      </c>
    </row>
    <row r="40" spans="1:19">
      <c r="A40" s="157"/>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9">
        <f t="shared" si="11"/>
        <v>0</v>
      </c>
    </row>
    <row r="41" spans="1:19">
      <c r="A41" s="157"/>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9">
        <f t="shared" si="11"/>
        <v>0</v>
      </c>
    </row>
    <row r="42" spans="1:19">
      <c r="A42" s="157"/>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9">
        <f t="shared" si="11"/>
        <v>0</v>
      </c>
    </row>
    <row r="43" spans="1:19">
      <c r="A43" s="157"/>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9">
        <f t="shared" si="11"/>
        <v>0</v>
      </c>
    </row>
    <row r="44" spans="1:19">
      <c r="A44" s="157"/>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9">
        <f t="shared" si="11"/>
        <v>0</v>
      </c>
    </row>
    <row r="45" spans="1:19">
      <c r="A45" s="157"/>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9">
        <f t="shared" si="11"/>
        <v>0</v>
      </c>
    </row>
    <row r="46" spans="1:19">
      <c r="A46" s="157"/>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9">
        <f t="shared" si="11"/>
        <v>0</v>
      </c>
    </row>
    <row r="47" spans="1:19">
      <c r="A47" s="157"/>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9">
        <f t="shared" si="11"/>
        <v>0</v>
      </c>
    </row>
    <row r="48" spans="1:19">
      <c r="A48" s="157"/>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9">
        <f t="shared" si="11"/>
        <v>0</v>
      </c>
    </row>
    <row r="49" spans="1:19">
      <c r="A49" s="157"/>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9">
        <f t="shared" si="11"/>
        <v>0</v>
      </c>
    </row>
    <row r="50" spans="1:19">
      <c r="A50" s="157"/>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9">
        <f t="shared" si="11"/>
        <v>0</v>
      </c>
    </row>
    <row r="51" spans="1:19">
      <c r="A51" s="157"/>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9">
        <f t="shared" si="11"/>
        <v>0</v>
      </c>
    </row>
    <row r="52" spans="1:19">
      <c r="A52" s="157"/>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9">
        <f t="shared" si="11"/>
        <v>0</v>
      </c>
    </row>
    <row r="53" spans="1:19">
      <c r="A53" s="157"/>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9">
        <f t="shared" si="11"/>
        <v>0</v>
      </c>
    </row>
    <row r="54" spans="1:19">
      <c r="A54" s="157"/>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9">
        <f t="shared" si="11"/>
        <v>0</v>
      </c>
    </row>
    <row r="55" spans="1:19">
      <c r="A55" s="157"/>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9">
        <f t="shared" ref="S55:S77" si="21">ROUND(R55*B55/10000,0)</f>
        <v>0</v>
      </c>
    </row>
    <row r="56" spans="1:19">
      <c r="A56" s="157"/>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9">
        <f t="shared" si="21"/>
        <v>0</v>
      </c>
    </row>
    <row r="57" spans="1:19">
      <c r="A57" s="157"/>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9">
        <f t="shared" si="21"/>
        <v>0</v>
      </c>
    </row>
    <row r="58" spans="1:19">
      <c r="A58" s="157"/>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9">
        <f t="shared" si="21"/>
        <v>0</v>
      </c>
    </row>
    <row r="59" spans="1:19">
      <c r="A59" s="157"/>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9">
        <f t="shared" si="21"/>
        <v>0</v>
      </c>
    </row>
    <row r="60" spans="1:19">
      <c r="A60" s="157"/>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9">
        <f t="shared" si="21"/>
        <v>0</v>
      </c>
    </row>
    <row r="61" spans="1:19">
      <c r="A61" s="157"/>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9">
        <f t="shared" si="21"/>
        <v>0</v>
      </c>
    </row>
    <row r="62" spans="1:19">
      <c r="A62" s="157"/>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9">
        <f t="shared" si="21"/>
        <v>0</v>
      </c>
    </row>
    <row r="63" spans="1:19">
      <c r="A63" s="157"/>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9">
        <f t="shared" si="21"/>
        <v>0</v>
      </c>
    </row>
    <row r="64" spans="1:19">
      <c r="A64" s="157"/>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9">
        <f t="shared" si="21"/>
        <v>0</v>
      </c>
    </row>
    <row r="65" spans="1:19">
      <c r="A65" s="157"/>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9">
        <f t="shared" si="21"/>
        <v>0</v>
      </c>
    </row>
    <row r="66" spans="1:19">
      <c r="A66" s="157"/>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9">
        <f t="shared" si="21"/>
        <v>0</v>
      </c>
    </row>
    <row r="67" spans="1:19">
      <c r="A67" s="157"/>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9">
        <f t="shared" si="21"/>
        <v>0</v>
      </c>
    </row>
    <row r="68" spans="1:19">
      <c r="A68" s="157"/>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9">
        <f t="shared" si="21"/>
        <v>0</v>
      </c>
    </row>
    <row r="69" spans="1:19">
      <c r="A69" s="157"/>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9">
        <f t="shared" si="21"/>
        <v>0</v>
      </c>
    </row>
    <row r="70" spans="1:19">
      <c r="A70" s="157"/>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9">
        <f t="shared" si="21"/>
        <v>0</v>
      </c>
    </row>
    <row r="71" spans="1:19">
      <c r="A71" s="157"/>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9">
        <f t="shared" si="21"/>
        <v>0</v>
      </c>
    </row>
    <row r="72" spans="1:19">
      <c r="A72" s="157"/>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9">
        <f t="shared" si="21"/>
        <v>0</v>
      </c>
    </row>
    <row r="73" spans="1:19">
      <c r="A73" s="157"/>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9">
        <f t="shared" si="21"/>
        <v>0</v>
      </c>
    </row>
    <row r="74" spans="1:19">
      <c r="A74" s="157"/>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9">
        <f t="shared" si="21"/>
        <v>0</v>
      </c>
    </row>
    <row r="75" spans="1:19">
      <c r="A75" s="157"/>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9">
        <f t="shared" si="21"/>
        <v>0</v>
      </c>
    </row>
    <row r="76" spans="1:19">
      <c r="A76" s="157"/>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9">
        <f t="shared" si="21"/>
        <v>0</v>
      </c>
    </row>
    <row r="77" spans="1:19">
      <c r="A77" s="157"/>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9">
        <f t="shared" si="21"/>
        <v>0</v>
      </c>
    </row>
    <row r="78" spans="1:19">
      <c r="A78" s="157"/>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9">
        <f t="shared" ref="S78:S122" si="22">ROUND(R78*B78/10000,0)</f>
        <v>0</v>
      </c>
    </row>
    <row r="79" spans="1:19">
      <c r="A79" s="157"/>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9">
        <f t="shared" si="22"/>
        <v>0</v>
      </c>
    </row>
    <row r="80" spans="1:19">
      <c r="A80" s="157"/>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9">
        <f t="shared" si="22"/>
        <v>0</v>
      </c>
    </row>
    <row r="81" spans="1:19">
      <c r="A81" s="157"/>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9">
        <f t="shared" si="22"/>
        <v>0</v>
      </c>
    </row>
    <row r="82" spans="1:19">
      <c r="A82" s="157"/>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9">
        <f t="shared" si="22"/>
        <v>0</v>
      </c>
    </row>
    <row r="83" spans="1:19">
      <c r="A83" s="157"/>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9">
        <f t="shared" si="22"/>
        <v>0</v>
      </c>
    </row>
    <row r="84" spans="1:19">
      <c r="A84" s="157"/>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9">
        <f t="shared" si="22"/>
        <v>0</v>
      </c>
    </row>
    <row r="85" spans="1:19">
      <c r="A85" s="157"/>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9">
        <f t="shared" si="22"/>
        <v>0</v>
      </c>
    </row>
    <row r="86" spans="1:19">
      <c r="A86" s="157"/>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9">
        <f t="shared" si="22"/>
        <v>0</v>
      </c>
    </row>
    <row r="87" spans="1:19">
      <c r="A87" s="157"/>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9">
        <f t="shared" si="22"/>
        <v>0</v>
      </c>
    </row>
    <row r="88" spans="1:19">
      <c r="A88" s="157"/>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9">
        <f t="shared" si="22"/>
        <v>0</v>
      </c>
    </row>
    <row r="89" spans="1:19">
      <c r="A89" s="157"/>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9">
        <f t="shared" si="22"/>
        <v>0</v>
      </c>
    </row>
    <row r="90" spans="1:19">
      <c r="A90" s="157"/>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9">
        <f t="shared" si="22"/>
        <v>0</v>
      </c>
    </row>
    <row r="91" spans="1:19">
      <c r="A91" s="157"/>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9">
        <f t="shared" si="22"/>
        <v>0</v>
      </c>
    </row>
    <row r="92" spans="1:19">
      <c r="A92" s="157"/>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9">
        <f t="shared" si="22"/>
        <v>0</v>
      </c>
    </row>
    <row r="93" spans="1:19">
      <c r="A93" s="157"/>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9">
        <f t="shared" si="22"/>
        <v>0</v>
      </c>
    </row>
    <row r="94" spans="1:19">
      <c r="A94" s="157"/>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9">
        <f t="shared" si="22"/>
        <v>0</v>
      </c>
    </row>
    <row r="95" spans="1:19">
      <c r="A95" s="157"/>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9">
        <f t="shared" si="22"/>
        <v>0</v>
      </c>
    </row>
    <row r="96" spans="1:19">
      <c r="A96" s="157"/>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9">
        <f t="shared" si="22"/>
        <v>0</v>
      </c>
    </row>
    <row r="97" spans="1:19">
      <c r="A97" s="157"/>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9">
        <f t="shared" si="22"/>
        <v>0</v>
      </c>
    </row>
    <row r="98" spans="1:19">
      <c r="A98" s="157"/>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9">
        <f t="shared" si="22"/>
        <v>0</v>
      </c>
    </row>
    <row r="99" spans="1:19">
      <c r="A99" s="157"/>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9">
        <f t="shared" si="22"/>
        <v>0</v>
      </c>
    </row>
    <row r="100" spans="1:19">
      <c r="A100" s="157"/>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9">
        <f t="shared" si="22"/>
        <v>0</v>
      </c>
    </row>
    <row r="101" spans="1:19">
      <c r="A101" s="157"/>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9">
        <f t="shared" si="22"/>
        <v>0</v>
      </c>
    </row>
    <row r="102" spans="1:19">
      <c r="A102" s="157"/>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9">
        <f t="shared" si="22"/>
        <v>0</v>
      </c>
    </row>
    <row r="103" spans="1:19">
      <c r="A103" s="157"/>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9">
        <f t="shared" si="22"/>
        <v>0</v>
      </c>
    </row>
    <row r="104" spans="1:19">
      <c r="A104" s="157"/>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9">
        <f t="shared" si="22"/>
        <v>0</v>
      </c>
    </row>
    <row r="105" spans="1:19">
      <c r="A105" s="157"/>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9">
        <f t="shared" si="22"/>
        <v>0</v>
      </c>
    </row>
    <row r="106" spans="1:19">
      <c r="A106" s="157"/>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9">
        <f t="shared" si="22"/>
        <v>0</v>
      </c>
    </row>
    <row r="107" spans="1:19">
      <c r="A107" s="157"/>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9">
        <f t="shared" si="22"/>
        <v>0</v>
      </c>
    </row>
    <row r="108" spans="1:19">
      <c r="A108" s="157"/>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9">
        <f t="shared" si="22"/>
        <v>0</v>
      </c>
    </row>
    <row r="109" spans="1:19">
      <c r="A109" s="157"/>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9">
        <f t="shared" si="22"/>
        <v>0</v>
      </c>
    </row>
    <row r="110" spans="1:19">
      <c r="A110" s="157"/>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9">
        <f t="shared" si="22"/>
        <v>0</v>
      </c>
    </row>
    <row r="111" spans="1:19">
      <c r="A111" s="157"/>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9">
        <f t="shared" si="22"/>
        <v>0</v>
      </c>
    </row>
    <row r="112" spans="1:19">
      <c r="A112" s="157"/>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9">
        <f t="shared" si="22"/>
        <v>0</v>
      </c>
    </row>
    <row r="113" spans="1:19">
      <c r="A113" s="157"/>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9">
        <f t="shared" si="22"/>
        <v>0</v>
      </c>
    </row>
    <row r="114" spans="1:19">
      <c r="A114" s="157"/>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9">
        <f t="shared" si="22"/>
        <v>0</v>
      </c>
    </row>
    <row r="115" spans="1:19">
      <c r="A115" s="157"/>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9">
        <f t="shared" si="22"/>
        <v>0</v>
      </c>
    </row>
    <row r="116" spans="1:19">
      <c r="A116" s="157"/>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9">
        <f t="shared" si="22"/>
        <v>0</v>
      </c>
    </row>
    <row r="117" spans="1:19">
      <c r="A117" s="157"/>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9">
        <f t="shared" si="22"/>
        <v>0</v>
      </c>
    </row>
    <row r="118" spans="1:19">
      <c r="A118" s="157"/>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9">
        <f t="shared" si="22"/>
        <v>0</v>
      </c>
    </row>
    <row r="119" spans="1:19">
      <c r="A119" s="157"/>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9">
        <f t="shared" si="22"/>
        <v>0</v>
      </c>
    </row>
    <row r="120" spans="1:19">
      <c r="A120" s="157"/>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9">
        <f t="shared" si="22"/>
        <v>0</v>
      </c>
    </row>
    <row r="121" spans="1:19">
      <c r="A121" s="157"/>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9">
        <f t="shared" si="22"/>
        <v>0</v>
      </c>
    </row>
    <row r="122" spans="1:19">
      <c r="A122" s="157"/>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9">
        <f t="shared" si="22"/>
        <v>0</v>
      </c>
    </row>
    <row r="123" spans="1:19">
      <c r="A123" s="157"/>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9">
        <f t="shared" ref="S123:S186" si="32">ROUND(R123*B123/10000,0)</f>
        <v>0</v>
      </c>
    </row>
    <row r="124" spans="1:19">
      <c r="A124" s="157"/>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9">
        <f t="shared" si="32"/>
        <v>0</v>
      </c>
    </row>
    <row r="125" spans="1:19">
      <c r="A125" s="157"/>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9">
        <f t="shared" si="32"/>
        <v>0</v>
      </c>
    </row>
    <row r="126" spans="1:19">
      <c r="A126" s="157"/>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9">
        <f t="shared" si="32"/>
        <v>0</v>
      </c>
    </row>
    <row r="127" spans="1:19">
      <c r="A127" s="157"/>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9">
        <f t="shared" si="32"/>
        <v>0</v>
      </c>
    </row>
    <row r="128" spans="1:19">
      <c r="A128" s="157"/>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9">
        <f t="shared" si="32"/>
        <v>0</v>
      </c>
    </row>
    <row r="129" spans="1:19">
      <c r="A129" s="157"/>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9">
        <f t="shared" si="32"/>
        <v>0</v>
      </c>
    </row>
    <row r="130" spans="1:19">
      <c r="A130" s="157"/>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9">
        <f t="shared" si="32"/>
        <v>0</v>
      </c>
    </row>
    <row r="131" spans="1:19">
      <c r="A131" s="157"/>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9">
        <f t="shared" si="32"/>
        <v>0</v>
      </c>
    </row>
    <row r="132" spans="1:19">
      <c r="A132" s="157"/>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9">
        <f t="shared" si="32"/>
        <v>0</v>
      </c>
    </row>
    <row r="133" spans="1:19">
      <c r="A133" s="157"/>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9">
        <f t="shared" si="32"/>
        <v>0</v>
      </c>
    </row>
    <row r="134" spans="1:19">
      <c r="A134" s="157"/>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9">
        <f t="shared" si="32"/>
        <v>0</v>
      </c>
    </row>
    <row r="135" spans="1:19">
      <c r="A135" s="157"/>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9">
        <f t="shared" si="32"/>
        <v>0</v>
      </c>
    </row>
    <row r="136" spans="1:19">
      <c r="A136" s="157"/>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9">
        <f t="shared" si="32"/>
        <v>0</v>
      </c>
    </row>
    <row r="137" spans="1:19">
      <c r="A137" s="157"/>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9">
        <f t="shared" si="32"/>
        <v>0</v>
      </c>
    </row>
    <row r="138" spans="1:19">
      <c r="A138" s="157"/>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9">
        <f t="shared" si="32"/>
        <v>0</v>
      </c>
    </row>
    <row r="139" spans="1:19">
      <c r="A139" s="157"/>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9">
        <f t="shared" si="32"/>
        <v>0</v>
      </c>
    </row>
    <row r="140" spans="1:19">
      <c r="A140" s="157"/>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9">
        <f t="shared" si="32"/>
        <v>0</v>
      </c>
    </row>
    <row r="141" spans="1:19">
      <c r="A141" s="157"/>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9">
        <f t="shared" si="32"/>
        <v>0</v>
      </c>
    </row>
    <row r="142" spans="1:19">
      <c r="A142" s="157"/>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9">
        <f t="shared" si="32"/>
        <v>0</v>
      </c>
    </row>
    <row r="143" spans="1:19">
      <c r="A143" s="157"/>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9">
        <f t="shared" si="32"/>
        <v>0</v>
      </c>
    </row>
    <row r="144" spans="1:19">
      <c r="A144" s="157"/>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9">
        <f t="shared" si="32"/>
        <v>0</v>
      </c>
    </row>
    <row r="145" spans="1:19">
      <c r="A145" s="157"/>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9">
        <f t="shared" si="32"/>
        <v>0</v>
      </c>
    </row>
    <row r="146" spans="1:19">
      <c r="A146" s="157"/>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9">
        <f t="shared" si="32"/>
        <v>0</v>
      </c>
    </row>
    <row r="147" spans="1:19">
      <c r="A147" s="157"/>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9">
        <f t="shared" si="32"/>
        <v>0</v>
      </c>
    </row>
    <row r="148" spans="1:19">
      <c r="A148" s="157"/>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9">
        <f t="shared" si="32"/>
        <v>0</v>
      </c>
    </row>
    <row r="149" spans="1:19">
      <c r="A149" s="157"/>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9">
        <f t="shared" si="32"/>
        <v>0</v>
      </c>
    </row>
    <row r="150" spans="1:19">
      <c r="A150" s="157"/>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9">
        <f t="shared" si="32"/>
        <v>0</v>
      </c>
    </row>
    <row r="151" spans="1:19">
      <c r="A151" s="157"/>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9">
        <f t="shared" si="32"/>
        <v>0</v>
      </c>
    </row>
    <row r="152" spans="1:19">
      <c r="A152" s="157"/>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9">
        <f t="shared" si="32"/>
        <v>0</v>
      </c>
    </row>
    <row r="153" spans="1:19">
      <c r="A153" s="157"/>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9">
        <f t="shared" si="32"/>
        <v>0</v>
      </c>
    </row>
    <row r="154" spans="1:19">
      <c r="A154" s="157"/>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9">
        <f t="shared" si="32"/>
        <v>0</v>
      </c>
    </row>
    <row r="155" spans="1:19">
      <c r="A155" s="157"/>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9">
        <f t="shared" si="32"/>
        <v>0</v>
      </c>
    </row>
    <row r="156" spans="1:19">
      <c r="A156" s="157"/>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9">
        <f t="shared" si="32"/>
        <v>0</v>
      </c>
    </row>
    <row r="157" spans="1:19">
      <c r="A157" s="157"/>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9">
        <f t="shared" si="32"/>
        <v>0</v>
      </c>
    </row>
    <row r="158" spans="1:19">
      <c r="A158" s="157"/>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9">
        <f t="shared" si="32"/>
        <v>0</v>
      </c>
    </row>
    <row r="159" spans="1:19">
      <c r="A159" s="157"/>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9">
        <f t="shared" si="32"/>
        <v>0</v>
      </c>
    </row>
    <row r="160" spans="1:19">
      <c r="A160" s="157"/>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9">
        <f t="shared" si="32"/>
        <v>0</v>
      </c>
    </row>
    <row r="161" spans="1:19">
      <c r="A161" s="157"/>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9">
        <f t="shared" si="32"/>
        <v>0</v>
      </c>
    </row>
    <row r="162" spans="1:19">
      <c r="A162" s="157"/>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9">
        <f t="shared" si="32"/>
        <v>0</v>
      </c>
    </row>
    <row r="163" spans="1:19">
      <c r="A163" s="157"/>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9">
        <f t="shared" si="32"/>
        <v>0</v>
      </c>
    </row>
    <row r="164" spans="1:19">
      <c r="A164" s="157"/>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9">
        <f t="shared" si="32"/>
        <v>0</v>
      </c>
    </row>
    <row r="165" spans="1:19">
      <c r="A165" s="157"/>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9">
        <f t="shared" si="32"/>
        <v>0</v>
      </c>
    </row>
    <row r="166" spans="1:19">
      <c r="A166" s="157"/>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9">
        <f t="shared" si="32"/>
        <v>0</v>
      </c>
    </row>
    <row r="167" spans="1:19">
      <c r="A167" s="157"/>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9">
        <f t="shared" si="32"/>
        <v>0</v>
      </c>
    </row>
    <row r="168" spans="1:19">
      <c r="A168" s="157"/>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9">
        <f t="shared" si="32"/>
        <v>0</v>
      </c>
    </row>
    <row r="169" spans="1:19">
      <c r="A169" s="157"/>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9">
        <f t="shared" si="32"/>
        <v>0</v>
      </c>
    </row>
    <row r="170" spans="1:19">
      <c r="A170" s="157"/>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9">
        <f t="shared" si="32"/>
        <v>0</v>
      </c>
    </row>
    <row r="171" spans="1:19">
      <c r="A171" s="157"/>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9">
        <f t="shared" si="32"/>
        <v>0</v>
      </c>
    </row>
    <row r="172" spans="1:19">
      <c r="A172" s="157"/>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9">
        <f t="shared" si="32"/>
        <v>0</v>
      </c>
    </row>
    <row r="173" spans="1:19">
      <c r="A173" s="157"/>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9">
        <f t="shared" si="32"/>
        <v>0</v>
      </c>
    </row>
    <row r="174" spans="1:19">
      <c r="A174" s="157"/>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9">
        <f t="shared" si="32"/>
        <v>0</v>
      </c>
    </row>
    <row r="175" spans="1:19">
      <c r="A175" s="157"/>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9">
        <f t="shared" si="32"/>
        <v>0</v>
      </c>
    </row>
    <row r="176" spans="1:19">
      <c r="A176" s="157"/>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9">
        <f t="shared" si="32"/>
        <v>0</v>
      </c>
    </row>
    <row r="177" spans="1:19">
      <c r="A177" s="157"/>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9">
        <f t="shared" si="32"/>
        <v>0</v>
      </c>
    </row>
    <row r="178" spans="1:19">
      <c r="A178" s="157"/>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9">
        <f t="shared" si="32"/>
        <v>0</v>
      </c>
    </row>
    <row r="179" spans="1:19">
      <c r="A179" s="157"/>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9">
        <f t="shared" si="32"/>
        <v>0</v>
      </c>
    </row>
    <row r="180" spans="1:19">
      <c r="A180" s="157"/>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9">
        <f t="shared" si="32"/>
        <v>0</v>
      </c>
    </row>
    <row r="181" spans="1:19">
      <c r="A181" s="157"/>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9">
        <f t="shared" si="32"/>
        <v>0</v>
      </c>
    </row>
    <row r="182" spans="1:19">
      <c r="A182" s="157"/>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9">
        <f t="shared" si="32"/>
        <v>0</v>
      </c>
    </row>
    <row r="183" spans="1:19">
      <c r="A183" s="157"/>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9">
        <f t="shared" si="32"/>
        <v>0</v>
      </c>
    </row>
    <row r="184" spans="1:19">
      <c r="A184" s="157"/>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9">
        <f t="shared" si="32"/>
        <v>0</v>
      </c>
    </row>
    <row r="185" spans="1:19">
      <c r="A185" s="157"/>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9">
        <f t="shared" si="32"/>
        <v>0</v>
      </c>
    </row>
    <row r="186" spans="1:19">
      <c r="A186" s="157"/>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9">
        <f t="shared" si="32"/>
        <v>0</v>
      </c>
    </row>
    <row r="187" spans="1:19">
      <c r="A187" s="157"/>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9">
        <f t="shared" ref="S187:S222" si="42">ROUND(R187*B187/10000,0)</f>
        <v>0</v>
      </c>
    </row>
    <row r="188" spans="1:19">
      <c r="A188" s="157"/>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9">
        <f t="shared" si="42"/>
        <v>0</v>
      </c>
    </row>
    <row r="189" spans="1:19">
      <c r="A189" s="157"/>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9">
        <f t="shared" si="42"/>
        <v>0</v>
      </c>
    </row>
    <row r="190" spans="1:19">
      <c r="A190" s="157"/>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9">
        <f t="shared" si="42"/>
        <v>0</v>
      </c>
    </row>
    <row r="191" spans="1:19">
      <c r="A191" s="157"/>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9">
        <f t="shared" si="42"/>
        <v>0</v>
      </c>
    </row>
    <row r="192" spans="1:19">
      <c r="A192" s="157"/>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9">
        <f t="shared" si="42"/>
        <v>0</v>
      </c>
    </row>
    <row r="193" spans="1:19">
      <c r="A193" s="157"/>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9">
        <f t="shared" si="42"/>
        <v>0</v>
      </c>
    </row>
    <row r="194" spans="1:19">
      <c r="A194" s="157"/>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9">
        <f t="shared" si="42"/>
        <v>0</v>
      </c>
    </row>
    <row r="195" spans="1:19">
      <c r="A195" s="157"/>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9">
        <f t="shared" si="42"/>
        <v>0</v>
      </c>
    </row>
    <row r="196" spans="1:19">
      <c r="A196" s="157"/>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9">
        <f t="shared" si="42"/>
        <v>0</v>
      </c>
    </row>
    <row r="197" spans="1:19">
      <c r="A197" s="157"/>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9">
        <f t="shared" si="42"/>
        <v>0</v>
      </c>
    </row>
    <row r="198" spans="1:19">
      <c r="A198" s="157"/>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9">
        <f t="shared" si="42"/>
        <v>0</v>
      </c>
    </row>
    <row r="199" spans="1:19">
      <c r="A199" s="157"/>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9">
        <f t="shared" si="42"/>
        <v>0</v>
      </c>
    </row>
    <row r="200" spans="1:19">
      <c r="A200" s="157"/>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9">
        <f t="shared" si="42"/>
        <v>0</v>
      </c>
    </row>
    <row r="201" spans="1:19">
      <c r="A201" s="157"/>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9">
        <f t="shared" si="42"/>
        <v>0</v>
      </c>
    </row>
    <row r="202" spans="1:19">
      <c r="A202" s="157"/>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9">
        <f t="shared" si="42"/>
        <v>0</v>
      </c>
    </row>
    <row r="203" spans="1:19">
      <c r="A203" s="157"/>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9">
        <f t="shared" si="42"/>
        <v>0</v>
      </c>
    </row>
    <row r="204" spans="1:19">
      <c r="A204" s="157"/>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9">
        <f t="shared" si="42"/>
        <v>0</v>
      </c>
    </row>
    <row r="205" spans="1:19">
      <c r="A205" s="157"/>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9">
        <f t="shared" si="42"/>
        <v>0</v>
      </c>
    </row>
    <row r="206" spans="1:19">
      <c r="A206" s="157"/>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9">
        <f t="shared" si="42"/>
        <v>0</v>
      </c>
    </row>
    <row r="207" spans="1:19">
      <c r="A207" s="157"/>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9">
        <f t="shared" si="42"/>
        <v>0</v>
      </c>
    </row>
    <row r="208" spans="1:19">
      <c r="A208" s="157"/>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9">
        <f t="shared" si="42"/>
        <v>0</v>
      </c>
    </row>
    <row r="209" spans="1:19">
      <c r="A209" s="157"/>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9">
        <f t="shared" si="42"/>
        <v>0</v>
      </c>
    </row>
    <row r="210" spans="1:19">
      <c r="A210" s="157"/>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9">
        <f t="shared" si="42"/>
        <v>0</v>
      </c>
    </row>
    <row r="211" spans="1:19">
      <c r="A211" s="157"/>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9">
        <f t="shared" si="42"/>
        <v>0</v>
      </c>
    </row>
    <row r="212" spans="1:19">
      <c r="A212" s="157"/>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9">
        <f t="shared" si="42"/>
        <v>0</v>
      </c>
    </row>
    <row r="213" spans="1:19">
      <c r="A213" s="157"/>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9">
        <f t="shared" si="42"/>
        <v>0</v>
      </c>
    </row>
    <row r="214" spans="1:19">
      <c r="A214" s="157"/>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9">
        <f t="shared" si="42"/>
        <v>0</v>
      </c>
    </row>
    <row r="215" spans="1:19">
      <c r="A215" s="157"/>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9">
        <f t="shared" si="42"/>
        <v>0</v>
      </c>
    </row>
    <row r="216" spans="1:19">
      <c r="A216" s="157"/>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9">
        <f t="shared" si="42"/>
        <v>0</v>
      </c>
    </row>
    <row r="217" spans="1:19">
      <c r="A217" s="157"/>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9">
        <f t="shared" si="42"/>
        <v>0</v>
      </c>
    </row>
    <row r="218" spans="1:19">
      <c r="A218" s="157"/>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9">
        <f t="shared" si="42"/>
        <v>0</v>
      </c>
    </row>
    <row r="219" spans="1:19">
      <c r="A219" s="157"/>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9">
        <f t="shared" si="42"/>
        <v>0</v>
      </c>
    </row>
    <row r="220" spans="1:19">
      <c r="A220" s="157"/>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9">
        <f t="shared" si="42"/>
        <v>0</v>
      </c>
    </row>
    <row r="221" spans="1:19">
      <c r="A221" s="157"/>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9">
        <f t="shared" si="42"/>
        <v>0</v>
      </c>
    </row>
    <row r="222" spans="1:19">
      <c r="A222" s="157"/>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9">
        <f t="shared" si="42"/>
        <v>0</v>
      </c>
    </row>
    <row r="223" spans="1:19">
      <c r="A223" s="157"/>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9">
        <f t="shared" ref="S223:S286" si="52">ROUND(R223*B223/10000,0)</f>
        <v>0</v>
      </c>
    </row>
    <row r="224" spans="1:19">
      <c r="A224" s="157"/>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9">
        <f t="shared" si="52"/>
        <v>0</v>
      </c>
    </row>
    <row r="225" spans="1:19">
      <c r="A225" s="157"/>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9">
        <f t="shared" si="52"/>
        <v>0</v>
      </c>
    </row>
    <row r="226" spans="1:19">
      <c r="A226" s="157"/>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9">
        <f t="shared" si="52"/>
        <v>0</v>
      </c>
    </row>
    <row r="227" spans="1:19">
      <c r="A227" s="157"/>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9">
        <f t="shared" si="52"/>
        <v>0</v>
      </c>
    </row>
    <row r="228" spans="1:19">
      <c r="A228" s="157"/>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9">
        <f t="shared" si="52"/>
        <v>0</v>
      </c>
    </row>
    <row r="229" spans="1:19">
      <c r="A229" s="157"/>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9">
        <f t="shared" si="52"/>
        <v>0</v>
      </c>
    </row>
    <row r="230" spans="1:19">
      <c r="A230" s="157"/>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9">
        <f t="shared" si="52"/>
        <v>0</v>
      </c>
    </row>
    <row r="231" spans="1:19">
      <c r="A231" s="157"/>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9">
        <f t="shared" si="52"/>
        <v>0</v>
      </c>
    </row>
    <row r="232" spans="1:19">
      <c r="A232" s="157"/>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9">
        <f t="shared" si="52"/>
        <v>0</v>
      </c>
    </row>
    <row r="233" spans="1:19">
      <c r="A233" s="157"/>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9">
        <f t="shared" si="52"/>
        <v>0</v>
      </c>
    </row>
    <row r="234" spans="1:19">
      <c r="A234" s="157"/>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9">
        <f t="shared" si="52"/>
        <v>0</v>
      </c>
    </row>
    <row r="235" spans="1:19">
      <c r="A235" s="157"/>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9">
        <f t="shared" si="52"/>
        <v>0</v>
      </c>
    </row>
    <row r="236" spans="1:19">
      <c r="A236" s="157"/>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9">
        <f t="shared" si="52"/>
        <v>0</v>
      </c>
    </row>
    <row r="237" spans="1:19">
      <c r="A237" s="157"/>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9">
        <f t="shared" si="52"/>
        <v>0</v>
      </c>
    </row>
    <row r="238" spans="1:19">
      <c r="A238" s="157"/>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9">
        <f t="shared" si="52"/>
        <v>0</v>
      </c>
    </row>
    <row r="239" spans="1:19">
      <c r="A239" s="157"/>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9">
        <f t="shared" si="52"/>
        <v>0</v>
      </c>
    </row>
    <row r="240" spans="1:19">
      <c r="A240" s="157"/>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9">
        <f t="shared" si="52"/>
        <v>0</v>
      </c>
    </row>
    <row r="241" spans="1:19">
      <c r="A241" s="157"/>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9">
        <f t="shared" si="52"/>
        <v>0</v>
      </c>
    </row>
    <row r="242" spans="1:19">
      <c r="A242" s="157"/>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9">
        <f t="shared" si="52"/>
        <v>0</v>
      </c>
    </row>
    <row r="243" spans="1:19">
      <c r="A243" s="157"/>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9">
        <f t="shared" si="52"/>
        <v>0</v>
      </c>
    </row>
    <row r="244" spans="1:19">
      <c r="A244" s="157"/>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9">
        <f t="shared" si="52"/>
        <v>0</v>
      </c>
    </row>
    <row r="245" spans="1:19">
      <c r="A245" s="157"/>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9">
        <f t="shared" si="52"/>
        <v>0</v>
      </c>
    </row>
    <row r="246" spans="1:19">
      <c r="A246" s="157"/>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9">
        <f t="shared" si="52"/>
        <v>0</v>
      </c>
    </row>
    <row r="247" spans="1:19">
      <c r="A247" s="157"/>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9">
        <f t="shared" si="52"/>
        <v>0</v>
      </c>
    </row>
    <row r="248" spans="1:19">
      <c r="A248" s="157"/>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9">
        <f t="shared" si="52"/>
        <v>0</v>
      </c>
    </row>
    <row r="249" spans="1:19">
      <c r="A249" s="157"/>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9">
        <f t="shared" si="52"/>
        <v>0</v>
      </c>
    </row>
    <row r="250" spans="1:19">
      <c r="A250" s="157"/>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9">
        <f t="shared" si="52"/>
        <v>0</v>
      </c>
    </row>
    <row r="251" spans="1:19">
      <c r="A251" s="157"/>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9">
        <f t="shared" si="52"/>
        <v>0</v>
      </c>
    </row>
    <row r="252" spans="1:19">
      <c r="A252" s="157"/>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9">
        <f t="shared" si="52"/>
        <v>0</v>
      </c>
    </row>
    <row r="253" spans="1:19">
      <c r="A253" s="157"/>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9">
        <f t="shared" si="52"/>
        <v>0</v>
      </c>
    </row>
    <row r="254" spans="1:19">
      <c r="A254" s="157"/>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9">
        <f t="shared" si="52"/>
        <v>0</v>
      </c>
    </row>
    <row r="255" spans="1:19">
      <c r="A255" s="157"/>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9">
        <f t="shared" si="52"/>
        <v>0</v>
      </c>
    </row>
    <row r="256" spans="1:19">
      <c r="A256" s="157"/>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9">
        <f t="shared" si="52"/>
        <v>0</v>
      </c>
    </row>
    <row r="257" spans="1:19">
      <c r="A257" s="157"/>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9">
        <f t="shared" si="52"/>
        <v>0</v>
      </c>
    </row>
    <row r="258" spans="1:19">
      <c r="A258" s="157"/>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9">
        <f t="shared" si="52"/>
        <v>0</v>
      </c>
    </row>
    <row r="259" spans="1:19">
      <c r="A259" s="157"/>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9">
        <f t="shared" si="52"/>
        <v>0</v>
      </c>
    </row>
    <row r="260" spans="1:19">
      <c r="A260" s="157"/>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9">
        <f t="shared" si="52"/>
        <v>0</v>
      </c>
    </row>
    <row r="261" spans="1:19">
      <c r="A261" s="157"/>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9">
        <f t="shared" si="52"/>
        <v>0</v>
      </c>
    </row>
    <row r="262" spans="1:19">
      <c r="A262" s="157"/>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9">
        <f t="shared" si="52"/>
        <v>0</v>
      </c>
    </row>
    <row r="263" spans="1:19">
      <c r="A263" s="157"/>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9">
        <f t="shared" si="52"/>
        <v>0</v>
      </c>
    </row>
    <row r="264" spans="1:19">
      <c r="A264" s="157"/>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9">
        <f t="shared" si="52"/>
        <v>0</v>
      </c>
    </row>
    <row r="265" spans="1:19">
      <c r="A265" s="157"/>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9">
        <f t="shared" si="52"/>
        <v>0</v>
      </c>
    </row>
    <row r="266" spans="1:19">
      <c r="A266" s="157"/>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9">
        <f t="shared" si="52"/>
        <v>0</v>
      </c>
    </row>
    <row r="267" spans="1:19">
      <c r="A267" s="157"/>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9">
        <f t="shared" si="52"/>
        <v>0</v>
      </c>
    </row>
    <row r="268" spans="1:19">
      <c r="A268" s="157"/>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9">
        <f t="shared" si="52"/>
        <v>0</v>
      </c>
    </row>
    <row r="269" spans="1:19">
      <c r="A269" s="157"/>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9">
        <f t="shared" si="52"/>
        <v>0</v>
      </c>
    </row>
    <row r="270" spans="1:19">
      <c r="A270" s="157"/>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9">
        <f t="shared" si="52"/>
        <v>0</v>
      </c>
    </row>
    <row r="271" spans="1:19">
      <c r="A271" s="157"/>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9">
        <f t="shared" si="52"/>
        <v>0</v>
      </c>
    </row>
    <row r="272" spans="1:19">
      <c r="A272" s="157"/>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9">
        <f t="shared" si="52"/>
        <v>0</v>
      </c>
    </row>
    <row r="273" spans="1:19">
      <c r="A273" s="157"/>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9">
        <f t="shared" si="52"/>
        <v>0</v>
      </c>
    </row>
    <row r="274" spans="1:19">
      <c r="A274" s="157"/>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9">
        <f t="shared" si="52"/>
        <v>0</v>
      </c>
    </row>
    <row r="275" spans="1:19">
      <c r="A275" s="157"/>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9">
        <f t="shared" si="52"/>
        <v>0</v>
      </c>
    </row>
    <row r="276" spans="1:19">
      <c r="A276" s="157"/>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9">
        <f t="shared" si="52"/>
        <v>0</v>
      </c>
    </row>
    <row r="277" spans="1:19">
      <c r="A277" s="157"/>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9">
        <f t="shared" si="52"/>
        <v>0</v>
      </c>
    </row>
    <row r="278" spans="1:19">
      <c r="A278" s="157"/>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9">
        <f t="shared" si="52"/>
        <v>0</v>
      </c>
    </row>
    <row r="279" spans="1:19">
      <c r="A279" s="157"/>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9">
        <f t="shared" si="52"/>
        <v>0</v>
      </c>
    </row>
    <row r="280" spans="1:19">
      <c r="A280" s="157"/>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9">
        <f t="shared" si="52"/>
        <v>0</v>
      </c>
    </row>
    <row r="281" spans="1:19">
      <c r="A281" s="157"/>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9">
        <f t="shared" si="52"/>
        <v>0</v>
      </c>
    </row>
    <row r="282" spans="1:19">
      <c r="A282" s="157"/>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9">
        <f t="shared" si="52"/>
        <v>0</v>
      </c>
    </row>
    <row r="283" spans="1:19">
      <c r="A283" s="157"/>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9">
        <f t="shared" si="52"/>
        <v>0</v>
      </c>
    </row>
    <row r="284" spans="1:19">
      <c r="A284" s="157"/>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9">
        <f t="shared" si="52"/>
        <v>0</v>
      </c>
    </row>
    <row r="285" spans="1:19">
      <c r="A285" s="157"/>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9">
        <f t="shared" si="52"/>
        <v>0</v>
      </c>
    </row>
    <row r="286" spans="1:19">
      <c r="A286" s="157"/>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9">
        <f t="shared" si="52"/>
        <v>0</v>
      </c>
    </row>
    <row r="287" spans="1:19">
      <c r="A287" s="157"/>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9">
        <f t="shared" ref="S287:S320" si="62">ROUND(R287*B287/10000,0)</f>
        <v>0</v>
      </c>
    </row>
    <row r="288" spans="1:19">
      <c r="A288" s="157"/>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9">
        <f t="shared" si="62"/>
        <v>0</v>
      </c>
    </row>
    <row r="289" spans="1:19">
      <c r="A289" s="157"/>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9">
        <f t="shared" si="62"/>
        <v>0</v>
      </c>
    </row>
    <row r="290" spans="1:19">
      <c r="A290" s="157"/>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9">
        <f t="shared" si="62"/>
        <v>0</v>
      </c>
    </row>
    <row r="291" spans="1:19">
      <c r="A291" s="157"/>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9">
        <f t="shared" si="62"/>
        <v>0</v>
      </c>
    </row>
    <row r="292" spans="1:19">
      <c r="A292" s="157"/>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9">
        <f t="shared" si="62"/>
        <v>0</v>
      </c>
    </row>
    <row r="293" spans="1:19">
      <c r="A293" s="157"/>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9">
        <f t="shared" si="62"/>
        <v>0</v>
      </c>
    </row>
    <row r="294" spans="1:19">
      <c r="A294" s="157"/>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9">
        <f t="shared" si="62"/>
        <v>0</v>
      </c>
    </row>
    <row r="295" spans="1:19">
      <c r="A295" s="157"/>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9">
        <f t="shared" si="62"/>
        <v>0</v>
      </c>
    </row>
    <row r="296" spans="1:19">
      <c r="A296" s="157"/>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9">
        <f t="shared" si="62"/>
        <v>0</v>
      </c>
    </row>
    <row r="297" spans="1:19">
      <c r="A297" s="157"/>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9">
        <f t="shared" si="62"/>
        <v>0</v>
      </c>
    </row>
    <row r="298" spans="1:19">
      <c r="A298" s="157"/>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9">
        <f t="shared" si="62"/>
        <v>0</v>
      </c>
    </row>
    <row r="299" spans="1:19">
      <c r="A299" s="157"/>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9">
        <f t="shared" si="62"/>
        <v>0</v>
      </c>
    </row>
    <row r="300" spans="1:19">
      <c r="A300" s="157"/>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9">
        <f t="shared" si="62"/>
        <v>0</v>
      </c>
    </row>
    <row r="301" spans="1:19">
      <c r="A301" s="157"/>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9">
        <f t="shared" si="62"/>
        <v>0</v>
      </c>
    </row>
    <row r="302" spans="1:19">
      <c r="A302" s="157"/>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9">
        <f t="shared" si="62"/>
        <v>0</v>
      </c>
    </row>
    <row r="303" spans="1:19">
      <c r="A303" s="157"/>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9">
        <f t="shared" si="62"/>
        <v>0</v>
      </c>
    </row>
    <row r="304" spans="1:19">
      <c r="A304" s="157"/>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9">
        <f t="shared" si="62"/>
        <v>0</v>
      </c>
    </row>
    <row r="305" spans="1:19">
      <c r="A305" s="157"/>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9">
        <f t="shared" si="62"/>
        <v>0</v>
      </c>
    </row>
    <row r="306" spans="1:19">
      <c r="A306" s="157"/>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9">
        <f t="shared" si="62"/>
        <v>0</v>
      </c>
    </row>
    <row r="307" spans="1:19">
      <c r="A307" s="157"/>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9">
        <f t="shared" si="62"/>
        <v>0</v>
      </c>
    </row>
    <row r="308" spans="1:19">
      <c r="A308" s="157"/>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9">
        <f t="shared" si="62"/>
        <v>0</v>
      </c>
    </row>
    <row r="309" spans="1:19">
      <c r="A309" s="157"/>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9">
        <f t="shared" si="62"/>
        <v>0</v>
      </c>
    </row>
    <row r="310" spans="1:19">
      <c r="A310" s="157"/>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9">
        <f t="shared" si="62"/>
        <v>0</v>
      </c>
    </row>
    <row r="311" spans="1:19">
      <c r="A311" s="157"/>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9">
        <f t="shared" si="62"/>
        <v>0</v>
      </c>
    </row>
    <row r="312" spans="1:19">
      <c r="A312" s="157"/>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9">
        <f t="shared" si="62"/>
        <v>0</v>
      </c>
    </row>
    <row r="313" spans="1:19">
      <c r="A313" s="157"/>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9">
        <f t="shared" si="62"/>
        <v>0</v>
      </c>
    </row>
    <row r="314" spans="1:19">
      <c r="A314" s="157"/>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9">
        <f t="shared" si="62"/>
        <v>0</v>
      </c>
    </row>
    <row r="315" spans="1:19">
      <c r="A315" s="157"/>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9">
        <f t="shared" si="62"/>
        <v>0</v>
      </c>
    </row>
    <row r="316" spans="1:19">
      <c r="A316" s="157"/>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9">
        <f t="shared" si="62"/>
        <v>0</v>
      </c>
    </row>
    <row r="317" spans="1:19">
      <c r="A317" s="157"/>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9">
        <f t="shared" si="62"/>
        <v>0</v>
      </c>
    </row>
    <row r="318" spans="1:19">
      <c r="A318" s="157"/>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9">
        <f t="shared" si="62"/>
        <v>0</v>
      </c>
    </row>
    <row r="319" spans="1:19">
      <c r="A319" s="157"/>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9">
        <f t="shared" si="62"/>
        <v>0</v>
      </c>
    </row>
    <row r="320" spans="1:19">
      <c r="A320" s="157"/>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9">
        <f t="shared" si="62"/>
        <v>0</v>
      </c>
    </row>
    <row r="321" spans="1:19">
      <c r="A321" s="157"/>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9">
        <f t="shared" ref="S321:S384" si="63">ROUND(R321*B321/10000,0)</f>
        <v>0</v>
      </c>
    </row>
    <row r="322" spans="1:19">
      <c r="A322" s="157"/>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9">
        <f t="shared" si="63"/>
        <v>0</v>
      </c>
    </row>
    <row r="323" spans="1:19">
      <c r="A323" s="157"/>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9">
        <f t="shared" si="63"/>
        <v>0</v>
      </c>
    </row>
    <row r="324" spans="1:19">
      <c r="A324" s="157"/>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9">
        <f t="shared" si="63"/>
        <v>0</v>
      </c>
    </row>
    <row r="325" spans="1:19">
      <c r="A325" s="157"/>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9">
        <f t="shared" si="63"/>
        <v>0</v>
      </c>
    </row>
    <row r="326" spans="1:19">
      <c r="A326" s="157"/>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9">
        <f t="shared" si="63"/>
        <v>0</v>
      </c>
    </row>
    <row r="327" spans="1:19">
      <c r="A327" s="157"/>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9">
        <f t="shared" si="63"/>
        <v>0</v>
      </c>
    </row>
    <row r="328" spans="1:19">
      <c r="A328" s="157"/>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9">
        <f t="shared" si="63"/>
        <v>0</v>
      </c>
    </row>
    <row r="329" spans="1:19">
      <c r="A329" s="157"/>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9">
        <f t="shared" si="63"/>
        <v>0</v>
      </c>
    </row>
    <row r="330" spans="1:19">
      <c r="A330" s="157"/>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9">
        <f t="shared" si="63"/>
        <v>0</v>
      </c>
    </row>
    <row r="331" spans="1:19">
      <c r="A331" s="157"/>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9">
        <f t="shared" si="63"/>
        <v>0</v>
      </c>
    </row>
    <row r="332" spans="1:19">
      <c r="A332" s="157"/>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9">
        <f t="shared" si="63"/>
        <v>0</v>
      </c>
    </row>
    <row r="333" spans="1:19">
      <c r="A333" s="157"/>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9">
        <f t="shared" si="63"/>
        <v>0</v>
      </c>
    </row>
    <row r="334" spans="1:19">
      <c r="A334" s="157"/>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9">
        <f t="shared" si="63"/>
        <v>0</v>
      </c>
    </row>
    <row r="335" spans="1:19">
      <c r="A335" s="157"/>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9">
        <f t="shared" si="63"/>
        <v>0</v>
      </c>
    </row>
    <row r="336" spans="1:19">
      <c r="A336" s="157"/>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9">
        <f t="shared" si="63"/>
        <v>0</v>
      </c>
    </row>
    <row r="337" spans="1:19">
      <c r="A337" s="157"/>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9">
        <f t="shared" si="63"/>
        <v>0</v>
      </c>
    </row>
    <row r="338" spans="1:19">
      <c r="A338" s="157"/>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9">
        <f t="shared" si="63"/>
        <v>0</v>
      </c>
    </row>
    <row r="339" spans="1:19">
      <c r="A339" s="157"/>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9">
        <f t="shared" si="63"/>
        <v>0</v>
      </c>
    </row>
    <row r="340" spans="1:19">
      <c r="A340" s="157"/>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9">
        <f t="shared" si="63"/>
        <v>0</v>
      </c>
    </row>
    <row r="341" spans="1:19">
      <c r="A341" s="157"/>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9">
        <f t="shared" si="63"/>
        <v>0</v>
      </c>
    </row>
    <row r="342" spans="1:19">
      <c r="A342" s="157"/>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9">
        <f t="shared" si="63"/>
        <v>0</v>
      </c>
    </row>
    <row r="343" spans="1:19">
      <c r="A343" s="157"/>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9">
        <f t="shared" si="63"/>
        <v>0</v>
      </c>
    </row>
    <row r="344" spans="1:19">
      <c r="A344" s="157"/>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9">
        <f t="shared" si="63"/>
        <v>0</v>
      </c>
    </row>
    <row r="345" spans="1:19">
      <c r="A345" s="157"/>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9">
        <f t="shared" si="63"/>
        <v>0</v>
      </c>
    </row>
    <row r="346" spans="1:19">
      <c r="A346" s="157"/>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9">
        <f t="shared" si="63"/>
        <v>0</v>
      </c>
    </row>
    <row r="347" spans="1:19">
      <c r="A347" s="157"/>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9">
        <f t="shared" si="63"/>
        <v>0</v>
      </c>
    </row>
    <row r="348" spans="1:19">
      <c r="A348" s="157"/>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9">
        <f t="shared" si="63"/>
        <v>0</v>
      </c>
    </row>
    <row r="349" spans="1:19">
      <c r="A349" s="157"/>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9">
        <f t="shared" si="63"/>
        <v>0</v>
      </c>
    </row>
    <row r="350" spans="1:19">
      <c r="A350" s="157"/>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9">
        <f t="shared" si="63"/>
        <v>0</v>
      </c>
    </row>
    <row r="351" spans="1:19">
      <c r="A351" s="157"/>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9">
        <f t="shared" si="63"/>
        <v>0</v>
      </c>
    </row>
    <row r="352" spans="1:19">
      <c r="A352" s="157"/>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9">
        <f t="shared" si="63"/>
        <v>0</v>
      </c>
    </row>
    <row r="353" spans="1:19">
      <c r="A353" s="157"/>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9">
        <f t="shared" si="63"/>
        <v>0</v>
      </c>
    </row>
    <row r="354" spans="1:19">
      <c r="A354" s="157"/>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9">
        <f t="shared" si="63"/>
        <v>0</v>
      </c>
    </row>
    <row r="355" spans="1:19">
      <c r="A355" s="157"/>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9">
        <f t="shared" si="63"/>
        <v>0</v>
      </c>
    </row>
    <row r="356" spans="1:19">
      <c r="A356" s="157"/>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9">
        <f t="shared" si="63"/>
        <v>0</v>
      </c>
    </row>
    <row r="357" spans="1:19">
      <c r="A357" s="157"/>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9">
        <f t="shared" si="63"/>
        <v>0</v>
      </c>
    </row>
    <row r="358" spans="1:19">
      <c r="A358" s="157"/>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9">
        <f t="shared" si="63"/>
        <v>0</v>
      </c>
    </row>
    <row r="359" spans="1:19">
      <c r="A359" s="157"/>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9">
        <f t="shared" si="63"/>
        <v>0</v>
      </c>
    </row>
    <row r="360" spans="1:19">
      <c r="A360" s="157"/>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9">
        <f t="shared" si="63"/>
        <v>0</v>
      </c>
    </row>
    <row r="361" spans="1:19">
      <c r="A361" s="157"/>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9">
        <f t="shared" si="63"/>
        <v>0</v>
      </c>
    </row>
    <row r="362" spans="1:19">
      <c r="A362" s="157"/>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9">
        <f t="shared" si="63"/>
        <v>0</v>
      </c>
    </row>
    <row r="363" spans="1:19">
      <c r="A363" s="157"/>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9">
        <f t="shared" si="63"/>
        <v>0</v>
      </c>
    </row>
    <row r="364" spans="1:19">
      <c r="A364" s="157"/>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9">
        <f t="shared" si="63"/>
        <v>0</v>
      </c>
    </row>
    <row r="365" spans="1:19">
      <c r="A365" s="157"/>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9">
        <f t="shared" si="63"/>
        <v>0</v>
      </c>
    </row>
    <row r="366" spans="1:19">
      <c r="A366" s="157"/>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9">
        <f t="shared" si="63"/>
        <v>0</v>
      </c>
    </row>
    <row r="367" spans="1:19">
      <c r="A367" s="157"/>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9">
        <f t="shared" si="63"/>
        <v>0</v>
      </c>
    </row>
    <row r="368" spans="1:19">
      <c r="A368" s="157"/>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9">
        <f t="shared" si="63"/>
        <v>0</v>
      </c>
    </row>
    <row r="369" spans="1:19">
      <c r="A369" s="157"/>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9">
        <f t="shared" si="63"/>
        <v>0</v>
      </c>
    </row>
    <row r="370" spans="1:19">
      <c r="A370" s="157"/>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9">
        <f t="shared" si="63"/>
        <v>0</v>
      </c>
    </row>
    <row r="371" spans="1:19">
      <c r="A371" s="157"/>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9">
        <f t="shared" si="63"/>
        <v>0</v>
      </c>
    </row>
    <row r="372" spans="1:19">
      <c r="A372" s="157"/>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9">
        <f t="shared" si="63"/>
        <v>0</v>
      </c>
    </row>
    <row r="373" spans="1:19">
      <c r="A373" s="157"/>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9">
        <f t="shared" si="63"/>
        <v>0</v>
      </c>
    </row>
    <row r="374" spans="1:19">
      <c r="A374" s="157"/>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9">
        <f t="shared" si="63"/>
        <v>0</v>
      </c>
    </row>
    <row r="375" spans="1:19">
      <c r="A375" s="157"/>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9">
        <f t="shared" si="63"/>
        <v>0</v>
      </c>
    </row>
    <row r="376" spans="1:19">
      <c r="A376" s="157"/>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9">
        <f t="shared" si="63"/>
        <v>0</v>
      </c>
    </row>
    <row r="377" spans="1:19">
      <c r="A377" s="157"/>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9">
        <f t="shared" si="63"/>
        <v>0</v>
      </c>
    </row>
    <row r="378" spans="1:19">
      <c r="A378" s="157"/>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9">
        <f t="shared" si="63"/>
        <v>0</v>
      </c>
    </row>
    <row r="379" spans="1:19">
      <c r="A379" s="157"/>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9">
        <f t="shared" si="63"/>
        <v>0</v>
      </c>
    </row>
    <row r="380" spans="1:19">
      <c r="A380" s="157"/>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9">
        <f t="shared" si="63"/>
        <v>0</v>
      </c>
    </row>
    <row r="381" spans="1:19">
      <c r="A381" s="157"/>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9">
        <f t="shared" si="63"/>
        <v>0</v>
      </c>
    </row>
    <row r="382" spans="1:19">
      <c r="A382" s="157"/>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9">
        <f t="shared" si="63"/>
        <v>0</v>
      </c>
    </row>
    <row r="383" spans="1:19">
      <c r="A383" s="157"/>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9">
        <f t="shared" si="63"/>
        <v>0</v>
      </c>
    </row>
    <row r="384" spans="1:19">
      <c r="A384" s="157"/>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9">
        <f t="shared" si="63"/>
        <v>0</v>
      </c>
    </row>
    <row r="385" spans="1:19">
      <c r="A385" s="157"/>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9">
        <f t="shared" ref="S385:S422" si="73">ROUND(R385*B385/10000,0)</f>
        <v>0</v>
      </c>
    </row>
    <row r="386" spans="1:19">
      <c r="A386" s="157"/>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9">
        <f t="shared" si="73"/>
        <v>0</v>
      </c>
    </row>
    <row r="387" spans="1:19">
      <c r="A387" s="157"/>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9">
        <f t="shared" si="73"/>
        <v>0</v>
      </c>
    </row>
    <row r="388" spans="1:19">
      <c r="A388" s="157"/>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9">
        <f t="shared" si="73"/>
        <v>0</v>
      </c>
    </row>
    <row r="389" spans="1:19">
      <c r="A389" s="157"/>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9">
        <f t="shared" si="73"/>
        <v>0</v>
      </c>
    </row>
    <row r="390" spans="1:19">
      <c r="A390" s="157"/>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9">
        <f t="shared" si="73"/>
        <v>0</v>
      </c>
    </row>
    <row r="391" spans="1:19">
      <c r="A391" s="157"/>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9">
        <f t="shared" si="73"/>
        <v>0</v>
      </c>
    </row>
    <row r="392" spans="1:19">
      <c r="A392" s="157"/>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9">
        <f t="shared" si="73"/>
        <v>0</v>
      </c>
    </row>
    <row r="393" spans="1:19">
      <c r="A393" s="157"/>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9">
        <f t="shared" si="73"/>
        <v>0</v>
      </c>
    </row>
    <row r="394" spans="1:19">
      <c r="A394" s="157"/>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9">
        <f t="shared" si="73"/>
        <v>0</v>
      </c>
    </row>
    <row r="395" spans="1:19">
      <c r="A395" s="157"/>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9">
        <f t="shared" si="73"/>
        <v>0</v>
      </c>
    </row>
    <row r="396" spans="1:19">
      <c r="A396" s="157"/>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9">
        <f t="shared" si="73"/>
        <v>0</v>
      </c>
    </row>
    <row r="397" spans="1:19">
      <c r="A397" s="157"/>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9">
        <f t="shared" si="73"/>
        <v>0</v>
      </c>
    </row>
    <row r="398" spans="1:19">
      <c r="A398" s="157"/>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9">
        <f t="shared" si="73"/>
        <v>0</v>
      </c>
    </row>
    <row r="399" spans="1:19">
      <c r="A399" s="157"/>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9">
        <f t="shared" si="73"/>
        <v>0</v>
      </c>
    </row>
    <row r="400" spans="1:19">
      <c r="A400" s="157"/>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9">
        <f t="shared" si="73"/>
        <v>0</v>
      </c>
    </row>
    <row r="401" spans="1:19">
      <c r="A401" s="157"/>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9">
        <f t="shared" si="73"/>
        <v>0</v>
      </c>
    </row>
    <row r="402" spans="1:19">
      <c r="A402" s="157"/>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9">
        <f t="shared" si="73"/>
        <v>0</v>
      </c>
    </row>
    <row r="403" spans="1:19">
      <c r="A403" s="157"/>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9">
        <f t="shared" si="73"/>
        <v>0</v>
      </c>
    </row>
    <row r="404" spans="1:19">
      <c r="A404" s="157"/>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9">
        <f t="shared" si="73"/>
        <v>0</v>
      </c>
    </row>
    <row r="405" spans="1:19">
      <c r="A405" s="157"/>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9">
        <f t="shared" si="73"/>
        <v>0</v>
      </c>
    </row>
    <row r="406" spans="1:19">
      <c r="A406" s="157"/>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9">
        <f t="shared" si="73"/>
        <v>0</v>
      </c>
    </row>
    <row r="407" spans="1:19">
      <c r="A407" s="157"/>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9">
        <f t="shared" si="73"/>
        <v>0</v>
      </c>
    </row>
    <row r="408" spans="1:19">
      <c r="A408" s="157"/>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9">
        <f t="shared" si="73"/>
        <v>0</v>
      </c>
    </row>
    <row r="409" spans="1:19">
      <c r="A409" s="157"/>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9">
        <f t="shared" si="73"/>
        <v>0</v>
      </c>
    </row>
    <row r="410" spans="1:19">
      <c r="A410" s="157"/>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9">
        <f t="shared" si="73"/>
        <v>0</v>
      </c>
    </row>
    <row r="411" spans="1:19">
      <c r="A411" s="157"/>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9">
        <f t="shared" si="73"/>
        <v>0</v>
      </c>
    </row>
    <row r="412" spans="1:19">
      <c r="A412" s="157"/>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9">
        <f t="shared" si="73"/>
        <v>0</v>
      </c>
    </row>
    <row r="413" spans="1:19">
      <c r="A413" s="157"/>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9">
        <f t="shared" si="73"/>
        <v>0</v>
      </c>
    </row>
    <row r="414" spans="1:19">
      <c r="A414" s="157"/>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9">
        <f t="shared" si="73"/>
        <v>0</v>
      </c>
    </row>
    <row r="415" spans="1:19">
      <c r="A415" s="157"/>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9">
        <f t="shared" si="73"/>
        <v>0</v>
      </c>
    </row>
    <row r="416" spans="1:19">
      <c r="A416" s="157"/>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9">
        <f t="shared" si="73"/>
        <v>0</v>
      </c>
    </row>
    <row r="417" spans="1:19">
      <c r="A417" s="157"/>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9">
        <f t="shared" si="73"/>
        <v>0</v>
      </c>
    </row>
    <row r="418" spans="1:19">
      <c r="A418" s="157"/>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9">
        <f t="shared" si="73"/>
        <v>0</v>
      </c>
    </row>
    <row r="419" spans="1:19">
      <c r="A419" s="157"/>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9">
        <f t="shared" si="73"/>
        <v>0</v>
      </c>
    </row>
    <row r="420" spans="1:19">
      <c r="A420" s="157"/>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9">
        <f t="shared" si="73"/>
        <v>0</v>
      </c>
    </row>
    <row r="421" spans="1:19">
      <c r="A421" s="157"/>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9">
        <f t="shared" si="73"/>
        <v>0</v>
      </c>
    </row>
    <row r="422" spans="1:19">
      <c r="A422" s="157"/>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9">
        <f t="shared" si="73"/>
        <v>0</v>
      </c>
    </row>
    <row r="423" spans="1:19">
      <c r="A423" s="157"/>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9">
        <f t="shared" ref="S423:S467" si="83">ROUND(R423*B423/10000,0)</f>
        <v>0</v>
      </c>
    </row>
    <row r="424" spans="1:19">
      <c r="A424" s="157"/>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9">
        <f t="shared" si="83"/>
        <v>0</v>
      </c>
    </row>
    <row r="425" spans="1:19">
      <c r="A425" s="157"/>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9">
        <f t="shared" si="83"/>
        <v>0</v>
      </c>
    </row>
    <row r="426" spans="1:19">
      <c r="A426" s="157"/>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9">
        <f t="shared" si="83"/>
        <v>0</v>
      </c>
    </row>
    <row r="427" spans="1:19">
      <c r="A427" s="157"/>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9">
        <f t="shared" si="83"/>
        <v>0</v>
      </c>
    </row>
    <row r="428" spans="1:19">
      <c r="A428" s="157"/>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9">
        <f t="shared" si="83"/>
        <v>0</v>
      </c>
    </row>
    <row r="429" spans="1:19">
      <c r="A429" s="157"/>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9">
        <f t="shared" si="83"/>
        <v>0</v>
      </c>
    </row>
    <row r="430" spans="1:19">
      <c r="A430" s="157"/>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9">
        <f t="shared" si="83"/>
        <v>0</v>
      </c>
    </row>
    <row r="431" spans="1:19">
      <c r="A431" s="157"/>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9">
        <f t="shared" si="83"/>
        <v>0</v>
      </c>
    </row>
    <row r="432" spans="1:19">
      <c r="A432" s="157"/>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9">
        <f t="shared" si="83"/>
        <v>0</v>
      </c>
    </row>
    <row r="433" spans="1:19">
      <c r="A433" s="157"/>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9">
        <f t="shared" si="83"/>
        <v>0</v>
      </c>
    </row>
    <row r="434" spans="1:19">
      <c r="A434" s="157"/>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9">
        <f t="shared" si="83"/>
        <v>0</v>
      </c>
    </row>
    <row r="435" spans="1:19">
      <c r="A435" s="157"/>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9">
        <f t="shared" si="83"/>
        <v>0</v>
      </c>
    </row>
    <row r="436" spans="1:19">
      <c r="A436" s="157"/>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9">
        <f t="shared" si="83"/>
        <v>0</v>
      </c>
    </row>
    <row r="437" spans="1:19">
      <c r="A437" s="157"/>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9">
        <f t="shared" si="83"/>
        <v>0</v>
      </c>
    </row>
    <row r="438" spans="1:19">
      <c r="A438" s="157"/>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9">
        <f t="shared" si="83"/>
        <v>0</v>
      </c>
    </row>
    <row r="439" spans="1:19">
      <c r="A439" s="157"/>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9">
        <f t="shared" si="83"/>
        <v>0</v>
      </c>
    </row>
    <row r="440" spans="1:19">
      <c r="A440" s="157"/>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9">
        <f t="shared" si="83"/>
        <v>0</v>
      </c>
    </row>
    <row r="441" spans="1:19">
      <c r="A441" s="157"/>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9">
        <f t="shared" si="83"/>
        <v>0</v>
      </c>
    </row>
    <row r="442" spans="1:19">
      <c r="A442" s="157"/>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9">
        <f t="shared" si="83"/>
        <v>0</v>
      </c>
    </row>
    <row r="443" spans="1:19">
      <c r="A443" s="157"/>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9">
        <f t="shared" si="83"/>
        <v>0</v>
      </c>
    </row>
    <row r="444" spans="1:19">
      <c r="A444" s="157"/>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9">
        <f t="shared" si="83"/>
        <v>0</v>
      </c>
    </row>
    <row r="445" spans="1:19">
      <c r="A445" s="157"/>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9">
        <f t="shared" si="83"/>
        <v>0</v>
      </c>
    </row>
    <row r="446" spans="1:19">
      <c r="A446" s="157"/>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9">
        <f t="shared" si="83"/>
        <v>0</v>
      </c>
    </row>
    <row r="447" spans="1:19">
      <c r="A447" s="157"/>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9">
        <f t="shared" si="83"/>
        <v>0</v>
      </c>
    </row>
    <row r="448" spans="1:19">
      <c r="A448" s="157"/>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9">
        <f t="shared" si="83"/>
        <v>0</v>
      </c>
    </row>
    <row r="449" spans="1:19">
      <c r="A449" s="157"/>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9">
        <f t="shared" si="83"/>
        <v>0</v>
      </c>
    </row>
    <row r="450" spans="1:19">
      <c r="A450" s="157"/>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9">
        <f t="shared" si="83"/>
        <v>0</v>
      </c>
    </row>
    <row r="451" spans="1:19">
      <c r="A451" s="157"/>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9">
        <f t="shared" si="83"/>
        <v>0</v>
      </c>
    </row>
    <row r="452" spans="1:19">
      <c r="A452" s="157"/>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9">
        <f t="shared" si="83"/>
        <v>0</v>
      </c>
    </row>
    <row r="453" spans="1:19">
      <c r="A453" s="157"/>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9">
        <f t="shared" si="83"/>
        <v>0</v>
      </c>
    </row>
    <row r="454" spans="1:19">
      <c r="A454" s="157"/>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9">
        <f t="shared" si="83"/>
        <v>0</v>
      </c>
    </row>
    <row r="455" spans="1:19">
      <c r="A455" s="157"/>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9">
        <f t="shared" si="83"/>
        <v>0</v>
      </c>
    </row>
    <row r="456" spans="1:19">
      <c r="A456" s="157"/>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9">
        <f t="shared" si="83"/>
        <v>0</v>
      </c>
    </row>
    <row r="457" spans="1:19">
      <c r="A457" s="157"/>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9">
        <f t="shared" si="83"/>
        <v>0</v>
      </c>
    </row>
    <row r="458" spans="1:19">
      <c r="A458" s="157"/>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9">
        <f t="shared" si="83"/>
        <v>0</v>
      </c>
    </row>
    <row r="459" spans="1:19">
      <c r="A459" s="157"/>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9">
        <f t="shared" si="83"/>
        <v>0</v>
      </c>
    </row>
    <row r="460" spans="1:19">
      <c r="A460" s="157"/>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9">
        <f t="shared" si="83"/>
        <v>0</v>
      </c>
    </row>
    <row r="461" spans="1:19">
      <c r="A461" s="157"/>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9">
        <f t="shared" si="83"/>
        <v>0</v>
      </c>
    </row>
    <row r="462" spans="1:19">
      <c r="A462" s="157"/>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9">
        <f t="shared" si="83"/>
        <v>0</v>
      </c>
    </row>
    <row r="463" spans="1:19">
      <c r="A463" s="157"/>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9">
        <f t="shared" si="83"/>
        <v>0</v>
      </c>
    </row>
    <row r="464" spans="1:19">
      <c r="A464" s="157"/>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9">
        <f t="shared" si="83"/>
        <v>0</v>
      </c>
    </row>
    <row r="465" spans="1:19">
      <c r="A465" s="157"/>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9">
        <f t="shared" si="83"/>
        <v>0</v>
      </c>
    </row>
    <row r="466" spans="1:19">
      <c r="A466" s="157"/>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9">
        <f t="shared" si="83"/>
        <v>0</v>
      </c>
    </row>
    <row r="467" spans="1:19">
      <c r="A467" s="157"/>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9">
        <f t="shared" si="83"/>
        <v>0</v>
      </c>
    </row>
    <row r="468" spans="1:19">
      <c r="A468" s="157"/>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9">
        <f t="shared" ref="S468:S497" si="84">ROUND(R468*B468/10000,0)</f>
        <v>0</v>
      </c>
    </row>
    <row r="469" spans="1:19">
      <c r="A469" s="157"/>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9">
        <f t="shared" si="84"/>
        <v>0</v>
      </c>
    </row>
    <row r="470" spans="1:19">
      <c r="A470" s="157"/>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9">
        <f t="shared" si="84"/>
        <v>0</v>
      </c>
    </row>
    <row r="471" spans="1:19">
      <c r="A471" s="157"/>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9">
        <f t="shared" si="84"/>
        <v>0</v>
      </c>
    </row>
    <row r="472" spans="1:19">
      <c r="A472" s="157"/>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9">
        <f t="shared" si="84"/>
        <v>0</v>
      </c>
    </row>
    <row r="473" spans="1:19">
      <c r="A473" s="157"/>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9">
        <f t="shared" si="84"/>
        <v>0</v>
      </c>
    </row>
    <row r="474" spans="1:19">
      <c r="A474" s="157"/>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9">
        <f t="shared" si="84"/>
        <v>0</v>
      </c>
    </row>
    <row r="475" spans="1:19">
      <c r="A475" s="157"/>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9">
        <f t="shared" si="84"/>
        <v>0</v>
      </c>
    </row>
    <row r="476" spans="1:19">
      <c r="A476" s="157"/>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9">
        <f t="shared" si="84"/>
        <v>0</v>
      </c>
    </row>
    <row r="477" spans="1:19">
      <c r="A477" s="157"/>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9">
        <f t="shared" si="84"/>
        <v>0</v>
      </c>
    </row>
    <row r="478" spans="1:19">
      <c r="A478" s="157"/>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9">
        <f t="shared" si="84"/>
        <v>0</v>
      </c>
    </row>
    <row r="479" spans="1:19">
      <c r="A479" s="157"/>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9">
        <f t="shared" si="84"/>
        <v>0</v>
      </c>
    </row>
    <row r="480" spans="1:19">
      <c r="A480" s="157"/>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9">
        <f t="shared" si="84"/>
        <v>0</v>
      </c>
    </row>
    <row r="481" spans="1:19">
      <c r="A481" s="157"/>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9">
        <f t="shared" si="84"/>
        <v>0</v>
      </c>
    </row>
    <row r="482" spans="1:19">
      <c r="A482" s="157"/>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9">
        <f t="shared" si="84"/>
        <v>0</v>
      </c>
    </row>
    <row r="483" spans="1:19">
      <c r="A483" s="157"/>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9">
        <f t="shared" si="84"/>
        <v>0</v>
      </c>
    </row>
    <row r="484" spans="1:19">
      <c r="A484" s="157"/>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9">
        <f t="shared" si="84"/>
        <v>0</v>
      </c>
    </row>
    <row r="485" spans="1:19">
      <c r="A485" s="157"/>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9">
        <f t="shared" si="84"/>
        <v>0</v>
      </c>
    </row>
    <row r="486" spans="1:19">
      <c r="A486" s="157"/>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9">
        <f t="shared" si="84"/>
        <v>0</v>
      </c>
    </row>
    <row r="487" spans="1:19">
      <c r="A487" s="157"/>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9">
        <f t="shared" si="84"/>
        <v>0</v>
      </c>
    </row>
    <row r="488" spans="1:19">
      <c r="A488" s="157"/>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9">
        <f t="shared" si="84"/>
        <v>0</v>
      </c>
    </row>
    <row r="489" spans="1:19">
      <c r="A489" s="157"/>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9">
        <f t="shared" si="84"/>
        <v>0</v>
      </c>
    </row>
    <row r="490" spans="1:19">
      <c r="A490" s="157"/>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9">
        <f t="shared" si="84"/>
        <v>0</v>
      </c>
    </row>
    <row r="491" spans="1:19">
      <c r="A491" s="157"/>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9">
        <f t="shared" si="84"/>
        <v>0</v>
      </c>
    </row>
    <row r="492" spans="1:19">
      <c r="A492" s="157"/>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9">
        <f t="shared" si="84"/>
        <v>0</v>
      </c>
    </row>
    <row r="493" spans="1:19">
      <c r="A493" s="157"/>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9">
        <f t="shared" si="84"/>
        <v>0</v>
      </c>
    </row>
    <row r="494" spans="1:19">
      <c r="A494" s="157"/>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9">
        <f t="shared" si="84"/>
        <v>0</v>
      </c>
    </row>
    <row r="495" spans="1:19">
      <c r="A495" s="157"/>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9">
        <f t="shared" si="84"/>
        <v>0</v>
      </c>
    </row>
    <row r="496" spans="1:19">
      <c r="A496" s="157"/>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9">
        <f t="shared" si="84"/>
        <v>0</v>
      </c>
    </row>
    <row r="497" spans="1:19">
      <c r="A497" s="157"/>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9">
        <f t="shared" si="84"/>
        <v>0</v>
      </c>
    </row>
    <row r="498" spans="1:19">
      <c r="A498" s="157"/>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9">
        <f t="shared" ref="S498:S524" si="94">ROUND(R498*B498/10000,0)</f>
        <v>0</v>
      </c>
    </row>
    <row r="499" spans="1:19">
      <c r="A499" s="157"/>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9">
        <f t="shared" si="94"/>
        <v>0</v>
      </c>
    </row>
    <row r="500" spans="1:19">
      <c r="A500" s="157"/>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9">
        <f t="shared" si="94"/>
        <v>0</v>
      </c>
    </row>
    <row r="501" spans="1:19">
      <c r="A501" s="157"/>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9">
        <f t="shared" si="94"/>
        <v>0</v>
      </c>
    </row>
    <row r="502" spans="1:19">
      <c r="A502" s="157"/>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9">
        <f t="shared" si="94"/>
        <v>0</v>
      </c>
    </row>
    <row r="503" spans="1:19">
      <c r="A503" s="157"/>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9">
        <f t="shared" si="94"/>
        <v>0</v>
      </c>
    </row>
    <row r="504" spans="1:19">
      <c r="A504" s="157"/>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9">
        <f t="shared" si="94"/>
        <v>0</v>
      </c>
    </row>
    <row r="505" spans="1:19">
      <c r="A505" s="157"/>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9">
        <f t="shared" si="94"/>
        <v>0</v>
      </c>
    </row>
    <row r="506" spans="1:19">
      <c r="A506" s="157"/>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9">
        <f t="shared" si="94"/>
        <v>0</v>
      </c>
    </row>
    <row r="507" spans="1:19">
      <c r="A507" s="157"/>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9">
        <f t="shared" si="94"/>
        <v>0</v>
      </c>
    </row>
    <row r="508" spans="1:19">
      <c r="A508" s="157"/>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9">
        <f t="shared" si="94"/>
        <v>0</v>
      </c>
    </row>
    <row r="509" spans="1:19">
      <c r="A509" s="157"/>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9">
        <f t="shared" si="94"/>
        <v>0</v>
      </c>
    </row>
    <row r="510" spans="1:19">
      <c r="A510" s="157"/>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9">
        <f t="shared" si="94"/>
        <v>0</v>
      </c>
    </row>
    <row r="511" spans="1:19">
      <c r="A511" s="157"/>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9">
        <f t="shared" si="94"/>
        <v>0</v>
      </c>
    </row>
    <row r="512" spans="1:19">
      <c r="A512" s="157"/>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9">
        <f t="shared" si="94"/>
        <v>0</v>
      </c>
    </row>
    <row r="513" spans="1:19">
      <c r="A513" s="157"/>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9">
        <f t="shared" si="94"/>
        <v>0</v>
      </c>
    </row>
    <row r="514" spans="1:19">
      <c r="A514" s="157"/>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9">
        <f t="shared" si="94"/>
        <v>0</v>
      </c>
    </row>
    <row r="515" spans="1:19">
      <c r="A515" s="157"/>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9">
        <f t="shared" si="94"/>
        <v>0</v>
      </c>
    </row>
    <row r="516" spans="1:19">
      <c r="A516" s="157"/>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9">
        <f t="shared" si="94"/>
        <v>0</v>
      </c>
    </row>
    <row r="517" spans="1:19">
      <c r="A517" s="157"/>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9">
        <f t="shared" si="94"/>
        <v>0</v>
      </c>
    </row>
    <row r="518" spans="1:19">
      <c r="A518" s="157"/>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9">
        <f t="shared" si="94"/>
        <v>0</v>
      </c>
    </row>
    <row r="519" spans="1:19">
      <c r="A519" s="157"/>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9">
        <f t="shared" si="94"/>
        <v>0</v>
      </c>
    </row>
    <row r="520" spans="1:19">
      <c r="A520" s="157"/>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9">
        <f t="shared" si="94"/>
        <v>0</v>
      </c>
    </row>
    <row r="521" spans="1:19">
      <c r="A521" s="157"/>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9">
        <f t="shared" si="94"/>
        <v>0</v>
      </c>
    </row>
    <row r="522" spans="1:19">
      <c r="A522" s="157"/>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9">
        <f t="shared" si="94"/>
        <v>0</v>
      </c>
    </row>
    <row r="523" spans="1:19">
      <c r="A523" s="157"/>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9">
        <f t="shared" si="94"/>
        <v>0</v>
      </c>
    </row>
    <row r="524" spans="1:19">
      <c r="A524" s="157"/>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9" sqref="N5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79" t="str">
        <f>IF(项目基本情况!B9="房地产市场价值","估价结果一览表","结果表-2")</f>
        <v>结果表-2</v>
      </c>
      <c r="B1" s="3079"/>
      <c r="C1" s="3079"/>
      <c r="D1" s="3079"/>
      <c r="E1" s="3079"/>
      <c r="F1" s="3079"/>
      <c r="G1" s="3079"/>
      <c r="H1" s="3079"/>
      <c r="I1" s="3079"/>
    </row>
    <row r="2" spans="1:9" ht="30" customHeight="1" thickTop="1">
      <c r="A2" s="3080" t="s">
        <v>1641</v>
      </c>
      <c r="B2" s="3080" t="s">
        <v>1642</v>
      </c>
      <c r="C2" s="3080" t="s">
        <v>1643</v>
      </c>
      <c r="D2" s="3080" t="str">
        <f>结果表!D116</f>
        <v>出让国有建设用地使用权价值</v>
      </c>
      <c r="E2" s="3080"/>
      <c r="F2" s="3080" t="str">
        <f>结果表!F116</f>
        <v>建筑物价值</v>
      </c>
      <c r="G2" s="3080"/>
      <c r="H2" s="3080" t="str">
        <f>IF(项目基本情况!B9="房地产市场价值","房地产市场价值","房地产价值")</f>
        <v>房地产价值</v>
      </c>
      <c r="I2" s="3080"/>
    </row>
    <row r="3" spans="1:9" ht="15">
      <c r="A3" s="3081"/>
      <c r="B3" s="3081"/>
      <c r="C3" s="3081"/>
      <c r="D3" s="1042" t="s">
        <v>1638</v>
      </c>
      <c r="E3" s="1042" t="s">
        <v>1644</v>
      </c>
      <c r="F3" s="1042" t="s">
        <v>1638</v>
      </c>
      <c r="G3" s="1042" t="s">
        <v>1639</v>
      </c>
      <c r="H3" s="1042" t="s">
        <v>1638</v>
      </c>
      <c r="I3" s="1042" t="s">
        <v>1639</v>
      </c>
    </row>
    <row r="4" spans="1:9" ht="45">
      <c r="A4" s="1968" t="str">
        <f>项目基本情况!S2</f>
        <v>山东省滨州市渤海十一路以东、盛华路以南出让国有建设用地使用权及在建建筑物房地产</v>
      </c>
      <c r="B4" s="1042">
        <f>项目基本情况!C17</f>
        <v>72085.949999999983</v>
      </c>
      <c r="C4" s="1042">
        <f>项目基本情况!C18</f>
        <v>57352.9</v>
      </c>
      <c r="D4" s="1042">
        <f ca="1">结果表!D118</f>
        <v>6077</v>
      </c>
      <c r="E4" s="1042">
        <f ca="1">结果表!E118</f>
        <v>843</v>
      </c>
      <c r="F4" s="1042">
        <f ca="1">结果表!F118</f>
        <v>8497</v>
      </c>
      <c r="G4" s="1042">
        <f ca="1">结果表!G118</f>
        <v>1179</v>
      </c>
      <c r="H4" s="1042">
        <f ca="1">结果表!H118</f>
        <v>14574</v>
      </c>
      <c r="I4" s="1042">
        <f ca="1">结果表!I118</f>
        <v>2022</v>
      </c>
    </row>
    <row r="5" spans="1:9" ht="30" customHeight="1">
      <c r="A5" s="3081" t="s">
        <v>1640</v>
      </c>
      <c r="B5" s="3081"/>
      <c r="C5" s="3081"/>
      <c r="D5" s="3082" t="str">
        <f ca="1">结果表!D119</f>
        <v>陆仟零柒拾柒万元整</v>
      </c>
      <c r="E5" s="3082"/>
      <c r="F5" s="3082" t="str">
        <f ca="1">结果表!F119</f>
        <v>捌仟肆佰玖拾柒万元整</v>
      </c>
      <c r="G5" s="3082"/>
      <c r="H5" s="3082" t="str">
        <f ca="1">结果表!H119</f>
        <v>壹亿肆仟伍佰柒拾肆万元整</v>
      </c>
      <c r="I5" s="3082"/>
    </row>
    <row r="6" spans="1:9" ht="15.75">
      <c r="A6" s="3083" t="str">
        <f>结果表!A120</f>
        <v>估价师知悉的法定优先受偿款</v>
      </c>
      <c r="B6" s="3083"/>
      <c r="C6" s="3083"/>
      <c r="D6" s="3083">
        <f>结果表!D120</f>
        <v>0</v>
      </c>
      <c r="E6" s="3083"/>
      <c r="F6" s="3083"/>
      <c r="G6" s="3083"/>
      <c r="H6" s="3083"/>
      <c r="I6" s="3083"/>
    </row>
    <row r="7" spans="1:9" ht="15">
      <c r="A7" s="3081" t="s">
        <v>1640</v>
      </c>
      <c r="B7" s="3081"/>
      <c r="C7" s="3081"/>
      <c r="D7" s="3084" t="str">
        <f>结果表!D121</f>
        <v>零元整</v>
      </c>
      <c r="E7" s="3085"/>
      <c r="F7" s="3085"/>
      <c r="G7" s="3085"/>
      <c r="H7" s="3085"/>
      <c r="I7" s="3086"/>
    </row>
    <row r="8" spans="1:9" ht="15.75">
      <c r="A8" s="3083" t="str">
        <f>结果表!A122</f>
        <v>房地产抵押价值</v>
      </c>
      <c r="B8" s="3083"/>
      <c r="C8" s="3083"/>
      <c r="D8" s="3083">
        <f ca="1">结果表!D122</f>
        <v>14574</v>
      </c>
      <c r="E8" s="3083"/>
      <c r="F8" s="3083"/>
      <c r="G8" s="3083"/>
      <c r="H8" s="3083"/>
      <c r="I8" s="3083"/>
    </row>
    <row r="9" spans="1:9" ht="15">
      <c r="A9" s="3081" t="s">
        <v>1640</v>
      </c>
      <c r="B9" s="3081"/>
      <c r="C9" s="3081"/>
      <c r="D9" s="3082" t="str">
        <f ca="1">结果表!D123</f>
        <v>壹亿肆仟伍佰柒拾肆万元整</v>
      </c>
      <c r="E9" s="3082"/>
      <c r="F9" s="3082"/>
      <c r="G9" s="3082"/>
      <c r="H9" s="3082"/>
      <c r="I9" s="3082"/>
    </row>
    <row r="10" spans="1:9" ht="15.75">
      <c r="A10" s="3083" t="str">
        <f>结果表!A124</f>
        <v/>
      </c>
      <c r="B10" s="3083"/>
      <c r="C10" s="3083"/>
      <c r="D10" s="3083" t="str">
        <f>结果表!D124</f>
        <v>——</v>
      </c>
      <c r="E10" s="3083"/>
      <c r="F10" s="3083"/>
      <c r="G10" s="3083"/>
      <c r="H10" s="3083"/>
      <c r="I10" s="3083"/>
    </row>
    <row r="11" spans="1:9" ht="15">
      <c r="A11" s="3081" t="s">
        <v>1640</v>
      </c>
      <c r="B11" s="3081"/>
      <c r="C11" s="3081"/>
      <c r="D11" s="3082" t="e">
        <f>结果表!D125</f>
        <v>#VALUE!</v>
      </c>
      <c r="E11" s="3082"/>
      <c r="F11" s="3082"/>
      <c r="G11" s="3082"/>
      <c r="H11" s="3082"/>
      <c r="I11" s="3082"/>
    </row>
    <row r="12" spans="1:9" ht="15.75">
      <c r="A12" s="3083" t="str">
        <f>结果表!A126</f>
        <v/>
      </c>
      <c r="B12" s="3083"/>
      <c r="C12" s="3083"/>
      <c r="D12" s="3083" t="str">
        <f>结果表!D126</f>
        <v>——</v>
      </c>
      <c r="E12" s="3083"/>
      <c r="F12" s="3083"/>
      <c r="G12" s="3083"/>
      <c r="H12" s="3083"/>
      <c r="I12" s="3083"/>
    </row>
    <row r="13" spans="1:9" ht="15.75" thickBot="1">
      <c r="A13" s="3087" t="s">
        <v>1640</v>
      </c>
      <c r="B13" s="3087"/>
      <c r="C13" s="3087"/>
      <c r="D13" s="3088" t="e">
        <f>结果表!D127</f>
        <v>#VALUE!</v>
      </c>
      <c r="E13" s="3088"/>
      <c r="F13" s="3088"/>
      <c r="G13" s="3088"/>
      <c r="H13" s="3088"/>
      <c r="I13" s="3088"/>
    </row>
    <row r="14" spans="1:9" ht="15" thickTop="1">
      <c r="A14" s="3089" t="s">
        <v>1645</v>
      </c>
      <c r="B14" s="3089"/>
      <c r="C14" s="3089"/>
      <c r="D14" s="3089"/>
      <c r="E14" s="3089"/>
      <c r="F14" s="3089"/>
      <c r="G14" s="3089"/>
      <c r="H14" s="3089"/>
      <c r="I14" s="3089"/>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21" sqref="C21"/>
    </sheetView>
  </sheetViews>
  <sheetFormatPr defaultRowHeight="20.25" customHeight="1"/>
  <cols>
    <col min="1" max="1" width="14.25" style="2966" customWidth="1"/>
    <col min="2" max="2" width="18.75" style="2966" customWidth="1"/>
    <col min="3" max="5" width="14.25" style="2966" customWidth="1"/>
    <col min="6" max="6" width="11" style="2966" customWidth="1"/>
    <col min="7" max="7" width="9" style="2966"/>
    <col min="8" max="8" width="13.75" style="2966" customWidth="1"/>
    <col min="9" max="256" width="9" style="2966"/>
    <col min="257" max="257" width="14.25" style="2966" customWidth="1"/>
    <col min="258" max="258" width="18.75" style="2966" customWidth="1"/>
    <col min="259" max="261" width="14.25" style="2966" customWidth="1"/>
    <col min="262" max="262" width="11" style="2966" customWidth="1"/>
    <col min="263" max="263" width="9" style="2966"/>
    <col min="264" max="264" width="13.75" style="2966" customWidth="1"/>
    <col min="265" max="512" width="9" style="2966"/>
    <col min="513" max="513" width="14.25" style="2966" customWidth="1"/>
    <col min="514" max="514" width="18.75" style="2966" customWidth="1"/>
    <col min="515" max="517" width="14.25" style="2966" customWidth="1"/>
    <col min="518" max="518" width="11" style="2966" customWidth="1"/>
    <col min="519" max="519" width="9" style="2966"/>
    <col min="520" max="520" width="13.75" style="2966" customWidth="1"/>
    <col min="521" max="768" width="9" style="2966"/>
    <col min="769" max="769" width="14.25" style="2966" customWidth="1"/>
    <col min="770" max="770" width="18.75" style="2966" customWidth="1"/>
    <col min="771" max="773" width="14.25" style="2966" customWidth="1"/>
    <col min="774" max="774" width="11" style="2966" customWidth="1"/>
    <col min="775" max="775" width="9" style="2966"/>
    <col min="776" max="776" width="13.75" style="2966" customWidth="1"/>
    <col min="777" max="1024" width="9" style="2966"/>
    <col min="1025" max="1025" width="14.25" style="2966" customWidth="1"/>
    <col min="1026" max="1026" width="18.75" style="2966" customWidth="1"/>
    <col min="1027" max="1029" width="14.25" style="2966" customWidth="1"/>
    <col min="1030" max="1030" width="11" style="2966" customWidth="1"/>
    <col min="1031" max="1031" width="9" style="2966"/>
    <col min="1032" max="1032" width="13.75" style="2966" customWidth="1"/>
    <col min="1033" max="1280" width="9" style="2966"/>
    <col min="1281" max="1281" width="14.25" style="2966" customWidth="1"/>
    <col min="1282" max="1282" width="18.75" style="2966" customWidth="1"/>
    <col min="1283" max="1285" width="14.25" style="2966" customWidth="1"/>
    <col min="1286" max="1286" width="11" style="2966" customWidth="1"/>
    <col min="1287" max="1287" width="9" style="2966"/>
    <col min="1288" max="1288" width="13.75" style="2966" customWidth="1"/>
    <col min="1289" max="1536" width="9" style="2966"/>
    <col min="1537" max="1537" width="14.25" style="2966" customWidth="1"/>
    <col min="1538" max="1538" width="18.75" style="2966" customWidth="1"/>
    <col min="1539" max="1541" width="14.25" style="2966" customWidth="1"/>
    <col min="1542" max="1542" width="11" style="2966" customWidth="1"/>
    <col min="1543" max="1543" width="9" style="2966"/>
    <col min="1544" max="1544" width="13.75" style="2966" customWidth="1"/>
    <col min="1545" max="1792" width="9" style="2966"/>
    <col min="1793" max="1793" width="14.25" style="2966" customWidth="1"/>
    <col min="1794" max="1794" width="18.75" style="2966" customWidth="1"/>
    <col min="1795" max="1797" width="14.25" style="2966" customWidth="1"/>
    <col min="1798" max="1798" width="11" style="2966" customWidth="1"/>
    <col min="1799" max="1799" width="9" style="2966"/>
    <col min="1800" max="1800" width="13.75" style="2966" customWidth="1"/>
    <col min="1801" max="2048" width="9" style="2966"/>
    <col min="2049" max="2049" width="14.25" style="2966" customWidth="1"/>
    <col min="2050" max="2050" width="18.75" style="2966" customWidth="1"/>
    <col min="2051" max="2053" width="14.25" style="2966" customWidth="1"/>
    <col min="2054" max="2054" width="11" style="2966" customWidth="1"/>
    <col min="2055" max="2055" width="9" style="2966"/>
    <col min="2056" max="2056" width="13.75" style="2966" customWidth="1"/>
    <col min="2057" max="2304" width="9" style="2966"/>
    <col min="2305" max="2305" width="14.25" style="2966" customWidth="1"/>
    <col min="2306" max="2306" width="18.75" style="2966" customWidth="1"/>
    <col min="2307" max="2309" width="14.25" style="2966" customWidth="1"/>
    <col min="2310" max="2310" width="11" style="2966" customWidth="1"/>
    <col min="2311" max="2311" width="9" style="2966"/>
    <col min="2312" max="2312" width="13.75" style="2966" customWidth="1"/>
    <col min="2313" max="2560" width="9" style="2966"/>
    <col min="2561" max="2561" width="14.25" style="2966" customWidth="1"/>
    <col min="2562" max="2562" width="18.75" style="2966" customWidth="1"/>
    <col min="2563" max="2565" width="14.25" style="2966" customWidth="1"/>
    <col min="2566" max="2566" width="11" style="2966" customWidth="1"/>
    <col min="2567" max="2567" width="9" style="2966"/>
    <col min="2568" max="2568" width="13.75" style="2966" customWidth="1"/>
    <col min="2569" max="2816" width="9" style="2966"/>
    <col min="2817" max="2817" width="14.25" style="2966" customWidth="1"/>
    <col min="2818" max="2818" width="18.75" style="2966" customWidth="1"/>
    <col min="2819" max="2821" width="14.25" style="2966" customWidth="1"/>
    <col min="2822" max="2822" width="11" style="2966" customWidth="1"/>
    <col min="2823" max="2823" width="9" style="2966"/>
    <col min="2824" max="2824" width="13.75" style="2966" customWidth="1"/>
    <col min="2825" max="3072" width="9" style="2966"/>
    <col min="3073" max="3073" width="14.25" style="2966" customWidth="1"/>
    <col min="3074" max="3074" width="18.75" style="2966" customWidth="1"/>
    <col min="3075" max="3077" width="14.25" style="2966" customWidth="1"/>
    <col min="3078" max="3078" width="11" style="2966" customWidth="1"/>
    <col min="3079" max="3079" width="9" style="2966"/>
    <col min="3080" max="3080" width="13.75" style="2966" customWidth="1"/>
    <col min="3081" max="3328" width="9" style="2966"/>
    <col min="3329" max="3329" width="14.25" style="2966" customWidth="1"/>
    <col min="3330" max="3330" width="18.75" style="2966" customWidth="1"/>
    <col min="3331" max="3333" width="14.25" style="2966" customWidth="1"/>
    <col min="3334" max="3334" width="11" style="2966" customWidth="1"/>
    <col min="3335" max="3335" width="9" style="2966"/>
    <col min="3336" max="3336" width="13.75" style="2966" customWidth="1"/>
    <col min="3337" max="3584" width="9" style="2966"/>
    <col min="3585" max="3585" width="14.25" style="2966" customWidth="1"/>
    <col min="3586" max="3586" width="18.75" style="2966" customWidth="1"/>
    <col min="3587" max="3589" width="14.25" style="2966" customWidth="1"/>
    <col min="3590" max="3590" width="11" style="2966" customWidth="1"/>
    <col min="3591" max="3591" width="9" style="2966"/>
    <col min="3592" max="3592" width="13.75" style="2966" customWidth="1"/>
    <col min="3593" max="3840" width="9" style="2966"/>
    <col min="3841" max="3841" width="14.25" style="2966" customWidth="1"/>
    <col min="3842" max="3842" width="18.75" style="2966" customWidth="1"/>
    <col min="3843" max="3845" width="14.25" style="2966" customWidth="1"/>
    <col min="3846" max="3846" width="11" style="2966" customWidth="1"/>
    <col min="3847" max="3847" width="9" style="2966"/>
    <col min="3848" max="3848" width="13.75" style="2966" customWidth="1"/>
    <col min="3849" max="4096" width="9" style="2966"/>
    <col min="4097" max="4097" width="14.25" style="2966" customWidth="1"/>
    <col min="4098" max="4098" width="18.75" style="2966" customWidth="1"/>
    <col min="4099" max="4101" width="14.25" style="2966" customWidth="1"/>
    <col min="4102" max="4102" width="11" style="2966" customWidth="1"/>
    <col min="4103" max="4103" width="9" style="2966"/>
    <col min="4104" max="4104" width="13.75" style="2966" customWidth="1"/>
    <col min="4105" max="4352" width="9" style="2966"/>
    <col min="4353" max="4353" width="14.25" style="2966" customWidth="1"/>
    <col min="4354" max="4354" width="18.75" style="2966" customWidth="1"/>
    <col min="4355" max="4357" width="14.25" style="2966" customWidth="1"/>
    <col min="4358" max="4358" width="11" style="2966" customWidth="1"/>
    <col min="4359" max="4359" width="9" style="2966"/>
    <col min="4360" max="4360" width="13.75" style="2966" customWidth="1"/>
    <col min="4361" max="4608" width="9" style="2966"/>
    <col min="4609" max="4609" width="14.25" style="2966" customWidth="1"/>
    <col min="4610" max="4610" width="18.75" style="2966" customWidth="1"/>
    <col min="4611" max="4613" width="14.25" style="2966" customWidth="1"/>
    <col min="4614" max="4614" width="11" style="2966" customWidth="1"/>
    <col min="4615" max="4615" width="9" style="2966"/>
    <col min="4616" max="4616" width="13.75" style="2966" customWidth="1"/>
    <col min="4617" max="4864" width="9" style="2966"/>
    <col min="4865" max="4865" width="14.25" style="2966" customWidth="1"/>
    <col min="4866" max="4866" width="18.75" style="2966" customWidth="1"/>
    <col min="4867" max="4869" width="14.25" style="2966" customWidth="1"/>
    <col min="4870" max="4870" width="11" style="2966" customWidth="1"/>
    <col min="4871" max="4871" width="9" style="2966"/>
    <col min="4872" max="4872" width="13.75" style="2966" customWidth="1"/>
    <col min="4873" max="5120" width="9" style="2966"/>
    <col min="5121" max="5121" width="14.25" style="2966" customWidth="1"/>
    <col min="5122" max="5122" width="18.75" style="2966" customWidth="1"/>
    <col min="5123" max="5125" width="14.25" style="2966" customWidth="1"/>
    <col min="5126" max="5126" width="11" style="2966" customWidth="1"/>
    <col min="5127" max="5127" width="9" style="2966"/>
    <col min="5128" max="5128" width="13.75" style="2966" customWidth="1"/>
    <col min="5129" max="5376" width="9" style="2966"/>
    <col min="5377" max="5377" width="14.25" style="2966" customWidth="1"/>
    <col min="5378" max="5378" width="18.75" style="2966" customWidth="1"/>
    <col min="5379" max="5381" width="14.25" style="2966" customWidth="1"/>
    <col min="5382" max="5382" width="11" style="2966" customWidth="1"/>
    <col min="5383" max="5383" width="9" style="2966"/>
    <col min="5384" max="5384" width="13.75" style="2966" customWidth="1"/>
    <col min="5385" max="5632" width="9" style="2966"/>
    <col min="5633" max="5633" width="14.25" style="2966" customWidth="1"/>
    <col min="5634" max="5634" width="18.75" style="2966" customWidth="1"/>
    <col min="5635" max="5637" width="14.25" style="2966" customWidth="1"/>
    <col min="5638" max="5638" width="11" style="2966" customWidth="1"/>
    <col min="5639" max="5639" width="9" style="2966"/>
    <col min="5640" max="5640" width="13.75" style="2966" customWidth="1"/>
    <col min="5641" max="5888" width="9" style="2966"/>
    <col min="5889" max="5889" width="14.25" style="2966" customWidth="1"/>
    <col min="5890" max="5890" width="18.75" style="2966" customWidth="1"/>
    <col min="5891" max="5893" width="14.25" style="2966" customWidth="1"/>
    <col min="5894" max="5894" width="11" style="2966" customWidth="1"/>
    <col min="5895" max="5895" width="9" style="2966"/>
    <col min="5896" max="5896" width="13.75" style="2966" customWidth="1"/>
    <col min="5897" max="6144" width="9" style="2966"/>
    <col min="6145" max="6145" width="14.25" style="2966" customWidth="1"/>
    <col min="6146" max="6146" width="18.75" style="2966" customWidth="1"/>
    <col min="6147" max="6149" width="14.25" style="2966" customWidth="1"/>
    <col min="6150" max="6150" width="11" style="2966" customWidth="1"/>
    <col min="6151" max="6151" width="9" style="2966"/>
    <col min="6152" max="6152" width="13.75" style="2966" customWidth="1"/>
    <col min="6153" max="6400" width="9" style="2966"/>
    <col min="6401" max="6401" width="14.25" style="2966" customWidth="1"/>
    <col min="6402" max="6402" width="18.75" style="2966" customWidth="1"/>
    <col min="6403" max="6405" width="14.25" style="2966" customWidth="1"/>
    <col min="6406" max="6406" width="11" style="2966" customWidth="1"/>
    <col min="6407" max="6407" width="9" style="2966"/>
    <col min="6408" max="6408" width="13.75" style="2966" customWidth="1"/>
    <col min="6409" max="6656" width="9" style="2966"/>
    <col min="6657" max="6657" width="14.25" style="2966" customWidth="1"/>
    <col min="6658" max="6658" width="18.75" style="2966" customWidth="1"/>
    <col min="6659" max="6661" width="14.25" style="2966" customWidth="1"/>
    <col min="6662" max="6662" width="11" style="2966" customWidth="1"/>
    <col min="6663" max="6663" width="9" style="2966"/>
    <col min="6664" max="6664" width="13.75" style="2966" customWidth="1"/>
    <col min="6665" max="6912" width="9" style="2966"/>
    <col min="6913" max="6913" width="14.25" style="2966" customWidth="1"/>
    <col min="6914" max="6914" width="18.75" style="2966" customWidth="1"/>
    <col min="6915" max="6917" width="14.25" style="2966" customWidth="1"/>
    <col min="6918" max="6918" width="11" style="2966" customWidth="1"/>
    <col min="6919" max="6919" width="9" style="2966"/>
    <col min="6920" max="6920" width="13.75" style="2966" customWidth="1"/>
    <col min="6921" max="7168" width="9" style="2966"/>
    <col min="7169" max="7169" width="14.25" style="2966" customWidth="1"/>
    <col min="7170" max="7170" width="18.75" style="2966" customWidth="1"/>
    <col min="7171" max="7173" width="14.25" style="2966" customWidth="1"/>
    <col min="7174" max="7174" width="11" style="2966" customWidth="1"/>
    <col min="7175" max="7175" width="9" style="2966"/>
    <col min="7176" max="7176" width="13.75" style="2966" customWidth="1"/>
    <col min="7177" max="7424" width="9" style="2966"/>
    <col min="7425" max="7425" width="14.25" style="2966" customWidth="1"/>
    <col min="7426" max="7426" width="18.75" style="2966" customWidth="1"/>
    <col min="7427" max="7429" width="14.25" style="2966" customWidth="1"/>
    <col min="7430" max="7430" width="11" style="2966" customWidth="1"/>
    <col min="7431" max="7431" width="9" style="2966"/>
    <col min="7432" max="7432" width="13.75" style="2966" customWidth="1"/>
    <col min="7433" max="7680" width="9" style="2966"/>
    <col min="7681" max="7681" width="14.25" style="2966" customWidth="1"/>
    <col min="7682" max="7682" width="18.75" style="2966" customWidth="1"/>
    <col min="7683" max="7685" width="14.25" style="2966" customWidth="1"/>
    <col min="7686" max="7686" width="11" style="2966" customWidth="1"/>
    <col min="7687" max="7687" width="9" style="2966"/>
    <col min="7688" max="7688" width="13.75" style="2966" customWidth="1"/>
    <col min="7689" max="7936" width="9" style="2966"/>
    <col min="7937" max="7937" width="14.25" style="2966" customWidth="1"/>
    <col min="7938" max="7938" width="18.75" style="2966" customWidth="1"/>
    <col min="7939" max="7941" width="14.25" style="2966" customWidth="1"/>
    <col min="7942" max="7942" width="11" style="2966" customWidth="1"/>
    <col min="7943" max="7943" width="9" style="2966"/>
    <col min="7944" max="7944" width="13.75" style="2966" customWidth="1"/>
    <col min="7945" max="8192" width="9" style="2966"/>
    <col min="8193" max="8193" width="14.25" style="2966" customWidth="1"/>
    <col min="8194" max="8194" width="18.75" style="2966" customWidth="1"/>
    <col min="8195" max="8197" width="14.25" style="2966" customWidth="1"/>
    <col min="8198" max="8198" width="11" style="2966" customWidth="1"/>
    <col min="8199" max="8199" width="9" style="2966"/>
    <col min="8200" max="8200" width="13.75" style="2966" customWidth="1"/>
    <col min="8201" max="8448" width="9" style="2966"/>
    <col min="8449" max="8449" width="14.25" style="2966" customWidth="1"/>
    <col min="8450" max="8450" width="18.75" style="2966" customWidth="1"/>
    <col min="8451" max="8453" width="14.25" style="2966" customWidth="1"/>
    <col min="8454" max="8454" width="11" style="2966" customWidth="1"/>
    <col min="8455" max="8455" width="9" style="2966"/>
    <col min="8456" max="8456" width="13.75" style="2966" customWidth="1"/>
    <col min="8457" max="8704" width="9" style="2966"/>
    <col min="8705" max="8705" width="14.25" style="2966" customWidth="1"/>
    <col min="8706" max="8706" width="18.75" style="2966" customWidth="1"/>
    <col min="8707" max="8709" width="14.25" style="2966" customWidth="1"/>
    <col min="8710" max="8710" width="11" style="2966" customWidth="1"/>
    <col min="8711" max="8711" width="9" style="2966"/>
    <col min="8712" max="8712" width="13.75" style="2966" customWidth="1"/>
    <col min="8713" max="8960" width="9" style="2966"/>
    <col min="8961" max="8961" width="14.25" style="2966" customWidth="1"/>
    <col min="8962" max="8962" width="18.75" style="2966" customWidth="1"/>
    <col min="8963" max="8965" width="14.25" style="2966" customWidth="1"/>
    <col min="8966" max="8966" width="11" style="2966" customWidth="1"/>
    <col min="8967" max="8967" width="9" style="2966"/>
    <col min="8968" max="8968" width="13.75" style="2966" customWidth="1"/>
    <col min="8969" max="9216" width="9" style="2966"/>
    <col min="9217" max="9217" width="14.25" style="2966" customWidth="1"/>
    <col min="9218" max="9218" width="18.75" style="2966" customWidth="1"/>
    <col min="9219" max="9221" width="14.25" style="2966" customWidth="1"/>
    <col min="9222" max="9222" width="11" style="2966" customWidth="1"/>
    <col min="9223" max="9223" width="9" style="2966"/>
    <col min="9224" max="9224" width="13.75" style="2966" customWidth="1"/>
    <col min="9225" max="9472" width="9" style="2966"/>
    <col min="9473" max="9473" width="14.25" style="2966" customWidth="1"/>
    <col min="9474" max="9474" width="18.75" style="2966" customWidth="1"/>
    <col min="9475" max="9477" width="14.25" style="2966" customWidth="1"/>
    <col min="9478" max="9478" width="11" style="2966" customWidth="1"/>
    <col min="9479" max="9479" width="9" style="2966"/>
    <col min="9480" max="9480" width="13.75" style="2966" customWidth="1"/>
    <col min="9481" max="9728" width="9" style="2966"/>
    <col min="9729" max="9729" width="14.25" style="2966" customWidth="1"/>
    <col min="9730" max="9730" width="18.75" style="2966" customWidth="1"/>
    <col min="9731" max="9733" width="14.25" style="2966" customWidth="1"/>
    <col min="9734" max="9734" width="11" style="2966" customWidth="1"/>
    <col min="9735" max="9735" width="9" style="2966"/>
    <col min="9736" max="9736" width="13.75" style="2966" customWidth="1"/>
    <col min="9737" max="9984" width="9" style="2966"/>
    <col min="9985" max="9985" width="14.25" style="2966" customWidth="1"/>
    <col min="9986" max="9986" width="18.75" style="2966" customWidth="1"/>
    <col min="9987" max="9989" width="14.25" style="2966" customWidth="1"/>
    <col min="9990" max="9990" width="11" style="2966" customWidth="1"/>
    <col min="9991" max="9991" width="9" style="2966"/>
    <col min="9992" max="9992" width="13.75" style="2966" customWidth="1"/>
    <col min="9993" max="10240" width="9" style="2966"/>
    <col min="10241" max="10241" width="14.25" style="2966" customWidth="1"/>
    <col min="10242" max="10242" width="18.75" style="2966" customWidth="1"/>
    <col min="10243" max="10245" width="14.25" style="2966" customWidth="1"/>
    <col min="10246" max="10246" width="11" style="2966" customWidth="1"/>
    <col min="10247" max="10247" width="9" style="2966"/>
    <col min="10248" max="10248" width="13.75" style="2966" customWidth="1"/>
    <col min="10249" max="10496" width="9" style="2966"/>
    <col min="10497" max="10497" width="14.25" style="2966" customWidth="1"/>
    <col min="10498" max="10498" width="18.75" style="2966" customWidth="1"/>
    <col min="10499" max="10501" width="14.25" style="2966" customWidth="1"/>
    <col min="10502" max="10502" width="11" style="2966" customWidth="1"/>
    <col min="10503" max="10503" width="9" style="2966"/>
    <col min="10504" max="10504" width="13.75" style="2966" customWidth="1"/>
    <col min="10505" max="10752" width="9" style="2966"/>
    <col min="10753" max="10753" width="14.25" style="2966" customWidth="1"/>
    <col min="10754" max="10754" width="18.75" style="2966" customWidth="1"/>
    <col min="10755" max="10757" width="14.25" style="2966" customWidth="1"/>
    <col min="10758" max="10758" width="11" style="2966" customWidth="1"/>
    <col min="10759" max="10759" width="9" style="2966"/>
    <col min="10760" max="10760" width="13.75" style="2966" customWidth="1"/>
    <col min="10761" max="11008" width="9" style="2966"/>
    <col min="11009" max="11009" width="14.25" style="2966" customWidth="1"/>
    <col min="11010" max="11010" width="18.75" style="2966" customWidth="1"/>
    <col min="11011" max="11013" width="14.25" style="2966" customWidth="1"/>
    <col min="11014" max="11014" width="11" style="2966" customWidth="1"/>
    <col min="11015" max="11015" width="9" style="2966"/>
    <col min="11016" max="11016" width="13.75" style="2966" customWidth="1"/>
    <col min="11017" max="11264" width="9" style="2966"/>
    <col min="11265" max="11265" width="14.25" style="2966" customWidth="1"/>
    <col min="11266" max="11266" width="18.75" style="2966" customWidth="1"/>
    <col min="11267" max="11269" width="14.25" style="2966" customWidth="1"/>
    <col min="11270" max="11270" width="11" style="2966" customWidth="1"/>
    <col min="11271" max="11271" width="9" style="2966"/>
    <col min="11272" max="11272" width="13.75" style="2966" customWidth="1"/>
    <col min="11273" max="11520" width="9" style="2966"/>
    <col min="11521" max="11521" width="14.25" style="2966" customWidth="1"/>
    <col min="11522" max="11522" width="18.75" style="2966" customWidth="1"/>
    <col min="11523" max="11525" width="14.25" style="2966" customWidth="1"/>
    <col min="11526" max="11526" width="11" style="2966" customWidth="1"/>
    <col min="11527" max="11527" width="9" style="2966"/>
    <col min="11528" max="11528" width="13.75" style="2966" customWidth="1"/>
    <col min="11529" max="11776" width="9" style="2966"/>
    <col min="11777" max="11777" width="14.25" style="2966" customWidth="1"/>
    <col min="11778" max="11778" width="18.75" style="2966" customWidth="1"/>
    <col min="11779" max="11781" width="14.25" style="2966" customWidth="1"/>
    <col min="11782" max="11782" width="11" style="2966" customWidth="1"/>
    <col min="11783" max="11783" width="9" style="2966"/>
    <col min="11784" max="11784" width="13.75" style="2966" customWidth="1"/>
    <col min="11785" max="12032" width="9" style="2966"/>
    <col min="12033" max="12033" width="14.25" style="2966" customWidth="1"/>
    <col min="12034" max="12034" width="18.75" style="2966" customWidth="1"/>
    <col min="12035" max="12037" width="14.25" style="2966" customWidth="1"/>
    <col min="12038" max="12038" width="11" style="2966" customWidth="1"/>
    <col min="12039" max="12039" width="9" style="2966"/>
    <col min="12040" max="12040" width="13.75" style="2966" customWidth="1"/>
    <col min="12041" max="12288" width="9" style="2966"/>
    <col min="12289" max="12289" width="14.25" style="2966" customWidth="1"/>
    <col min="12290" max="12290" width="18.75" style="2966" customWidth="1"/>
    <col min="12291" max="12293" width="14.25" style="2966" customWidth="1"/>
    <col min="12294" max="12294" width="11" style="2966" customWidth="1"/>
    <col min="12295" max="12295" width="9" style="2966"/>
    <col min="12296" max="12296" width="13.75" style="2966" customWidth="1"/>
    <col min="12297" max="12544" width="9" style="2966"/>
    <col min="12545" max="12545" width="14.25" style="2966" customWidth="1"/>
    <col min="12546" max="12546" width="18.75" style="2966" customWidth="1"/>
    <col min="12547" max="12549" width="14.25" style="2966" customWidth="1"/>
    <col min="12550" max="12550" width="11" style="2966" customWidth="1"/>
    <col min="12551" max="12551" width="9" style="2966"/>
    <col min="12552" max="12552" width="13.75" style="2966" customWidth="1"/>
    <col min="12553" max="12800" width="9" style="2966"/>
    <col min="12801" max="12801" width="14.25" style="2966" customWidth="1"/>
    <col min="12802" max="12802" width="18.75" style="2966" customWidth="1"/>
    <col min="12803" max="12805" width="14.25" style="2966" customWidth="1"/>
    <col min="12806" max="12806" width="11" style="2966" customWidth="1"/>
    <col min="12807" max="12807" width="9" style="2966"/>
    <col min="12808" max="12808" width="13.75" style="2966" customWidth="1"/>
    <col min="12809" max="13056" width="9" style="2966"/>
    <col min="13057" max="13057" width="14.25" style="2966" customWidth="1"/>
    <col min="13058" max="13058" width="18.75" style="2966" customWidth="1"/>
    <col min="13059" max="13061" width="14.25" style="2966" customWidth="1"/>
    <col min="13062" max="13062" width="11" style="2966" customWidth="1"/>
    <col min="13063" max="13063" width="9" style="2966"/>
    <col min="13064" max="13064" width="13.75" style="2966" customWidth="1"/>
    <col min="13065" max="13312" width="9" style="2966"/>
    <col min="13313" max="13313" width="14.25" style="2966" customWidth="1"/>
    <col min="13314" max="13314" width="18.75" style="2966" customWidth="1"/>
    <col min="13315" max="13317" width="14.25" style="2966" customWidth="1"/>
    <col min="13318" max="13318" width="11" style="2966" customWidth="1"/>
    <col min="13319" max="13319" width="9" style="2966"/>
    <col min="13320" max="13320" width="13.75" style="2966" customWidth="1"/>
    <col min="13321" max="13568" width="9" style="2966"/>
    <col min="13569" max="13569" width="14.25" style="2966" customWidth="1"/>
    <col min="13570" max="13570" width="18.75" style="2966" customWidth="1"/>
    <col min="13571" max="13573" width="14.25" style="2966" customWidth="1"/>
    <col min="13574" max="13574" width="11" style="2966" customWidth="1"/>
    <col min="13575" max="13575" width="9" style="2966"/>
    <col min="13576" max="13576" width="13.75" style="2966" customWidth="1"/>
    <col min="13577" max="13824" width="9" style="2966"/>
    <col min="13825" max="13825" width="14.25" style="2966" customWidth="1"/>
    <col min="13826" max="13826" width="18.75" style="2966" customWidth="1"/>
    <col min="13827" max="13829" width="14.25" style="2966" customWidth="1"/>
    <col min="13830" max="13830" width="11" style="2966" customWidth="1"/>
    <col min="13831" max="13831" width="9" style="2966"/>
    <col min="13832" max="13832" width="13.75" style="2966" customWidth="1"/>
    <col min="13833" max="14080" width="9" style="2966"/>
    <col min="14081" max="14081" width="14.25" style="2966" customWidth="1"/>
    <col min="14082" max="14082" width="18.75" style="2966" customWidth="1"/>
    <col min="14083" max="14085" width="14.25" style="2966" customWidth="1"/>
    <col min="14086" max="14086" width="11" style="2966" customWidth="1"/>
    <col min="14087" max="14087" width="9" style="2966"/>
    <col min="14088" max="14088" width="13.75" style="2966" customWidth="1"/>
    <col min="14089" max="14336" width="9" style="2966"/>
    <col min="14337" max="14337" width="14.25" style="2966" customWidth="1"/>
    <col min="14338" max="14338" width="18.75" style="2966" customWidth="1"/>
    <col min="14339" max="14341" width="14.25" style="2966" customWidth="1"/>
    <col min="14342" max="14342" width="11" style="2966" customWidth="1"/>
    <col min="14343" max="14343" width="9" style="2966"/>
    <col min="14344" max="14344" width="13.75" style="2966" customWidth="1"/>
    <col min="14345" max="14592" width="9" style="2966"/>
    <col min="14593" max="14593" width="14.25" style="2966" customWidth="1"/>
    <col min="14594" max="14594" width="18.75" style="2966" customWidth="1"/>
    <col min="14595" max="14597" width="14.25" style="2966" customWidth="1"/>
    <col min="14598" max="14598" width="11" style="2966" customWidth="1"/>
    <col min="14599" max="14599" width="9" style="2966"/>
    <col min="14600" max="14600" width="13.75" style="2966" customWidth="1"/>
    <col min="14601" max="14848" width="9" style="2966"/>
    <col min="14849" max="14849" width="14.25" style="2966" customWidth="1"/>
    <col min="14850" max="14850" width="18.75" style="2966" customWidth="1"/>
    <col min="14851" max="14853" width="14.25" style="2966" customWidth="1"/>
    <col min="14854" max="14854" width="11" style="2966" customWidth="1"/>
    <col min="14855" max="14855" width="9" style="2966"/>
    <col min="14856" max="14856" width="13.75" style="2966" customWidth="1"/>
    <col min="14857" max="15104" width="9" style="2966"/>
    <col min="15105" max="15105" width="14.25" style="2966" customWidth="1"/>
    <col min="15106" max="15106" width="18.75" style="2966" customWidth="1"/>
    <col min="15107" max="15109" width="14.25" style="2966" customWidth="1"/>
    <col min="15110" max="15110" width="11" style="2966" customWidth="1"/>
    <col min="15111" max="15111" width="9" style="2966"/>
    <col min="15112" max="15112" width="13.75" style="2966" customWidth="1"/>
    <col min="15113" max="15360" width="9" style="2966"/>
    <col min="15361" max="15361" width="14.25" style="2966" customWidth="1"/>
    <col min="15362" max="15362" width="18.75" style="2966" customWidth="1"/>
    <col min="15363" max="15365" width="14.25" style="2966" customWidth="1"/>
    <col min="15366" max="15366" width="11" style="2966" customWidth="1"/>
    <col min="15367" max="15367" width="9" style="2966"/>
    <col min="15368" max="15368" width="13.75" style="2966" customWidth="1"/>
    <col min="15369" max="15616" width="9" style="2966"/>
    <col min="15617" max="15617" width="14.25" style="2966" customWidth="1"/>
    <col min="15618" max="15618" width="18.75" style="2966" customWidth="1"/>
    <col min="15619" max="15621" width="14.25" style="2966" customWidth="1"/>
    <col min="15622" max="15622" width="11" style="2966" customWidth="1"/>
    <col min="15623" max="15623" width="9" style="2966"/>
    <col min="15624" max="15624" width="13.75" style="2966" customWidth="1"/>
    <col min="15625" max="15872" width="9" style="2966"/>
    <col min="15873" max="15873" width="14.25" style="2966" customWidth="1"/>
    <col min="15874" max="15874" width="18.75" style="2966" customWidth="1"/>
    <col min="15875" max="15877" width="14.25" style="2966" customWidth="1"/>
    <col min="15878" max="15878" width="11" style="2966" customWidth="1"/>
    <col min="15879" max="15879" width="9" style="2966"/>
    <col min="15880" max="15880" width="13.75" style="2966" customWidth="1"/>
    <col min="15881" max="16128" width="9" style="2966"/>
    <col min="16129" max="16129" width="14.25" style="2966" customWidth="1"/>
    <col min="16130" max="16130" width="18.75" style="2966" customWidth="1"/>
    <col min="16131" max="16133" width="14.25" style="2966" customWidth="1"/>
    <col min="16134" max="16134" width="11" style="2966" customWidth="1"/>
    <col min="16135" max="16135" width="9" style="2966"/>
    <col min="16136" max="16136" width="13.75" style="2966" customWidth="1"/>
    <col min="16137" max="16384" width="9" style="2966"/>
  </cols>
  <sheetData>
    <row r="1" spans="1:6" ht="20.25" customHeight="1" thickBot="1">
      <c r="A1" s="2964" t="s">
        <v>3127</v>
      </c>
      <c r="B1" s="2965">
        <v>43200</v>
      </c>
    </row>
    <row r="2" spans="1:6" ht="33" customHeight="1">
      <c r="A2" s="2967" t="s">
        <v>3128</v>
      </c>
      <c r="B2" s="2968" t="s">
        <v>3129</v>
      </c>
      <c r="C2" s="2969" t="s">
        <v>3130</v>
      </c>
      <c r="D2" s="2968" t="s">
        <v>3131</v>
      </c>
      <c r="E2" s="2970" t="s">
        <v>3132</v>
      </c>
    </row>
    <row r="3" spans="1:6" ht="20.25" customHeight="1">
      <c r="A3" s="2971">
        <v>40</v>
      </c>
      <c r="B3" s="2972">
        <v>46375</v>
      </c>
      <c r="C3" s="2973">
        <f>ROUNDDOWN(MIN((B3-$B$1)/365,A3),2)</f>
        <v>8.69</v>
      </c>
      <c r="D3" s="2974">
        <f>IF(ISERROR(ROUND(POWER(1+E3,A3-C3)*(POWER(1+E3,C3)-1)/(POWER(1+E3,A3)-1),3)),0,ROUND(POWER(1+E3,A3-C3)*(POWER(1+E3,C3)-1)/(POWER(1+E3,A3)-1),3))</f>
        <v>0.36499999999999999</v>
      </c>
      <c r="E3" s="2975">
        <v>0.04</v>
      </c>
    </row>
    <row r="4" spans="1:6" ht="20.25" customHeight="1">
      <c r="A4" s="2971">
        <v>50</v>
      </c>
      <c r="B4" s="2972">
        <v>44195</v>
      </c>
      <c r="C4" s="2973">
        <f>ROUNDDOWN(MIN((B4-$B$1)/365,A4),2)</f>
        <v>2.72</v>
      </c>
      <c r="D4" s="2974">
        <f>IF(ISERROR(ROUND(POWER(1+E4,A4-C4)*(POWER(1+E4,C4)-1)/(POWER(1+E4,A4)-1),3)),0,ROUND(POWER(1+E4,A4-C4)*(POWER(1+E4,C4)-1)/(POWER(1+E4,A4)-1),3))</f>
        <v>0.11799999999999999</v>
      </c>
      <c r="E4" s="2975">
        <v>0.04</v>
      </c>
    </row>
    <row r="5" spans="1:6" ht="20.25" customHeight="1" thickBot="1">
      <c r="A5" s="2976">
        <v>70</v>
      </c>
      <c r="B5" s="2977">
        <v>57333</v>
      </c>
      <c r="C5" s="2978">
        <f>ROUNDDOWN(MIN((B5-$B$1)/365,A5),2)</f>
        <v>38.72</v>
      </c>
      <c r="D5" s="2979">
        <f>IF(ISERROR(ROUND(POWER(1+E5,A5-C5)*(POWER(1+E5,C5)-1)/(POWER(1+E5,A5)-1),3)),0,ROUND(POWER(1+E5,A5-C5)*(POWER(1+E5,C5)-1)/(POWER(1+E5,A5)-1),3))</f>
        <v>0.83499999999999996</v>
      </c>
      <c r="E5" s="2980">
        <v>0.04</v>
      </c>
    </row>
    <row r="6" spans="1:6" ht="20.25" customHeight="1" thickBot="1"/>
    <row r="7" spans="1:6" s="2983" customFormat="1" ht="20.25" customHeight="1" thickBot="1">
      <c r="A7" s="2981" t="s">
        <v>3133</v>
      </c>
      <c r="B7" s="2982"/>
    </row>
    <row r="8" spans="1:6" ht="20.25" customHeight="1" thickBot="1">
      <c r="A8" s="3397" t="s">
        <v>3134</v>
      </c>
      <c r="B8" s="3398"/>
      <c r="C8" s="2984"/>
      <c r="D8" s="2985" t="s">
        <v>3132</v>
      </c>
      <c r="E8" s="2984"/>
      <c r="F8" s="2986" t="s">
        <v>3131</v>
      </c>
    </row>
    <row r="9" spans="1:6" ht="20.25" customHeight="1">
      <c r="A9" s="2987" t="s">
        <v>3135</v>
      </c>
      <c r="B9" s="2988">
        <v>70</v>
      </c>
      <c r="C9" s="2989" t="s">
        <v>3136</v>
      </c>
      <c r="D9" s="2990">
        <v>4.4999999999999998E-2</v>
      </c>
      <c r="E9" s="2989" t="s">
        <v>3137</v>
      </c>
      <c r="F9" s="2991">
        <f>1-(1/(POWER(1+D9,B9)))</f>
        <v>0.95409503414356267</v>
      </c>
    </row>
    <row r="10" spans="1:6" ht="20.25" customHeight="1" thickBot="1">
      <c r="A10" s="2992" t="s">
        <v>3138</v>
      </c>
      <c r="B10" s="2993">
        <v>40</v>
      </c>
      <c r="C10" s="2994" t="s">
        <v>3139</v>
      </c>
      <c r="D10" s="2995">
        <v>4.4999999999999998E-2</v>
      </c>
      <c r="E10" s="2994" t="s">
        <v>3140</v>
      </c>
      <c r="F10" s="2996">
        <f>1-(1/(POWER(1+D10,B10)))</f>
        <v>0.8280712989125899</v>
      </c>
    </row>
    <row r="11" spans="1:6" ht="20.25" customHeight="1" thickBot="1">
      <c r="A11" s="2997" t="s">
        <v>3141</v>
      </c>
      <c r="B11" s="2998"/>
      <c r="C11" s="2998"/>
      <c r="D11" s="2998"/>
      <c r="E11" s="2998"/>
      <c r="F11" s="2998"/>
    </row>
    <row r="12" spans="1:6" ht="20.25" customHeight="1">
      <c r="A12" s="2987" t="s">
        <v>3142</v>
      </c>
      <c r="B12" s="2999">
        <v>5000</v>
      </c>
      <c r="E12" s="3000"/>
      <c r="F12" s="3000"/>
    </row>
    <row r="13" spans="1:6" ht="20.25" customHeight="1" thickBot="1">
      <c r="A13" s="2992" t="s">
        <v>3143</v>
      </c>
      <c r="B13" s="3001">
        <f>ROUND(B12*F10/F9,2)</f>
        <v>4339.5600000000004</v>
      </c>
      <c r="C13" s="3002">
        <f>ROUND(F10/F9,4)</f>
        <v>0.8679</v>
      </c>
      <c r="E13" s="3000"/>
      <c r="F13" s="3000"/>
    </row>
    <row r="14" spans="1:6" ht="20.25" customHeight="1" thickBot="1">
      <c r="A14" s="2997" t="s">
        <v>3144</v>
      </c>
      <c r="B14" s="3003"/>
      <c r="C14" s="3000"/>
    </row>
    <row r="15" spans="1:6" ht="20.25" customHeight="1">
      <c r="A15" s="2989" t="s">
        <v>3145</v>
      </c>
      <c r="B15" s="3004">
        <v>4810</v>
      </c>
      <c r="C15" s="3000"/>
    </row>
    <row r="16" spans="1:6" ht="20.25" customHeight="1" thickBot="1">
      <c r="A16" s="2994" t="s">
        <v>3146</v>
      </c>
      <c r="B16" s="3005">
        <f>ROUND(B15*F9/F10,2)</f>
        <v>5542.03</v>
      </c>
      <c r="C16" s="3002">
        <f>ROUND(F9/F10,4)</f>
        <v>1.1521999999999999</v>
      </c>
    </row>
    <row r="17" spans="3:3" ht="20.25" customHeight="1">
      <c r="C17" s="3000"/>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D45" sqref="D45"/>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78"/>
      <c r="C1" s="1832" t="s">
        <v>3172</v>
      </c>
      <c r="D1" s="3064" t="s">
        <v>3535</v>
      </c>
      <c r="E1" s="1816" t="s">
        <v>1387</v>
      </c>
      <c r="F1" s="1279">
        <f ca="1">J53</f>
        <v>38.950000000000003</v>
      </c>
      <c r="G1" s="1831">
        <f>MATCH(C1,'数据-取费表'!A6:A16,0)+5</f>
        <v>8</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1515</v>
      </c>
      <c r="B2" s="1839">
        <f ca="1">C40+J29+L46</f>
        <v>3076</v>
      </c>
      <c r="C2" s="1840" t="s">
        <v>1516</v>
      </c>
      <c r="D2" s="1840"/>
      <c r="E2" s="1841"/>
      <c r="F2" s="1842"/>
      <c r="G2" s="1843"/>
      <c r="H2" s="1835"/>
      <c r="I2" s="1835"/>
      <c r="J2" s="1835"/>
      <c r="K2" s="1836"/>
      <c r="L2" s="1835"/>
      <c r="M2" s="1835"/>
    </row>
    <row r="3" spans="1:37" ht="18" customHeight="1" thickBot="1">
      <c r="A3" s="1844" t="s">
        <v>1517</v>
      </c>
      <c r="B3" s="1845">
        <f ca="1">IF(ISERROR(B2*10000/F43),0,ROUND(B2*10000/F43,0))</f>
        <v>3307</v>
      </c>
      <c r="C3" s="1840" t="s">
        <v>1518</v>
      </c>
      <c r="D3" s="1840"/>
      <c r="E3" s="1841"/>
      <c r="F3" s="1842"/>
      <c r="G3" s="1843"/>
      <c r="H3" s="740"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8">
        <f ca="1">C6+C10+C12</f>
        <v>244</v>
      </c>
      <c r="D5" s="1817" t="s">
        <v>1402</v>
      </c>
      <c r="E5" s="1289"/>
      <c r="F5" s="1290"/>
      <c r="G5" s="1846"/>
      <c r="H5" s="342">
        <v>1</v>
      </c>
      <c r="I5" s="343" t="s">
        <v>1401</v>
      </c>
      <c r="J5" s="1288">
        <f ca="1">J6+J10+J12</f>
        <v>0</v>
      </c>
      <c r="K5" s="1817" t="s">
        <v>1402</v>
      </c>
      <c r="L5" s="1289"/>
      <c r="M5" s="1290"/>
    </row>
    <row r="6" spans="1:37" ht="18" customHeight="1">
      <c r="A6" s="1287" t="s">
        <v>1035</v>
      </c>
      <c r="B6" s="3326" t="s">
        <v>1403</v>
      </c>
      <c r="C6" s="1292">
        <f ca="1">ROUND(F6*F8*F7*(1-F9)/10000,0)</f>
        <v>244</v>
      </c>
      <c r="D6" s="162" t="s">
        <v>3014</v>
      </c>
      <c r="E6" s="345" t="s">
        <v>1405</v>
      </c>
      <c r="F6" s="346">
        <f ca="1">INDIRECT("'数据-取费表'!u"&amp;$G$1)</f>
        <v>0.8</v>
      </c>
      <c r="G6" s="1846"/>
      <c r="H6" s="1287" t="s">
        <v>1035</v>
      </c>
      <c r="I6" s="3326" t="s">
        <v>1403</v>
      </c>
      <c r="J6" s="344">
        <f ca="1">ROUND(M6*M8*M7*(1-M9)/10000,0)</f>
        <v>0</v>
      </c>
      <c r="K6" s="162" t="s">
        <v>3013</v>
      </c>
      <c r="L6" s="345" t="s">
        <v>1405</v>
      </c>
      <c r="M6" s="346">
        <f ca="1">INDIRECT("'数据-取费表'!z"&amp;$G$1)</f>
        <v>0</v>
      </c>
    </row>
    <row r="7" spans="1:37" ht="18" customHeight="1">
      <c r="A7" s="1291"/>
      <c r="B7" s="3327"/>
      <c r="C7" s="1293"/>
      <c r="D7" s="350"/>
      <c r="E7" s="3034" t="s">
        <v>1406</v>
      </c>
      <c r="F7" s="346">
        <f ca="1">IF(INDIRECT("'数据-取费表'!ah"&amp;$G$1)="",INDIRECT("'数据-取费表'!k"&amp;$G$1),INDIRECT("'数据-取费表'!ah"&amp;$G$1))</f>
        <v>9302.4</v>
      </c>
      <c r="G7" s="1846"/>
      <c r="H7" s="347"/>
      <c r="I7" s="3327"/>
      <c r="J7" s="349"/>
      <c r="K7" s="350"/>
      <c r="L7" s="345" t="s">
        <v>1406</v>
      </c>
      <c r="M7" s="346">
        <f ca="1">F7</f>
        <v>9302.4</v>
      </c>
    </row>
    <row r="8" spans="1:37" ht="18" customHeight="1">
      <c r="A8" s="347"/>
      <c r="B8" s="3327"/>
      <c r="C8" s="349"/>
      <c r="D8" s="350"/>
      <c r="E8" s="345" t="s">
        <v>1407</v>
      </c>
      <c r="F8" s="346">
        <f ca="1">INDIRECT("'数据-取费表'!ai"&amp;$G$1)</f>
        <v>365</v>
      </c>
      <c r="G8" s="1846"/>
      <c r="H8" s="347"/>
      <c r="I8" s="3327"/>
      <c r="J8" s="349"/>
      <c r="K8" s="350"/>
      <c r="L8" s="345" t="s">
        <v>1407</v>
      </c>
      <c r="M8" s="346">
        <f ca="1">INDIRECT("'数据-取费表'!ai"&amp;$G$1)</f>
        <v>365</v>
      </c>
    </row>
    <row r="9" spans="1:37" ht="18" customHeight="1">
      <c r="A9" s="347"/>
      <c r="B9" s="3328"/>
      <c r="C9" s="349"/>
      <c r="D9" s="350"/>
      <c r="E9" s="345" t="s">
        <v>1408</v>
      </c>
      <c r="F9" s="355">
        <f ca="1">INDIRECT("'数据-取费表'!w"&amp;$G$1)</f>
        <v>0.1</v>
      </c>
      <c r="G9" s="1846"/>
      <c r="H9" s="347"/>
      <c r="I9" s="3328"/>
      <c r="J9" s="349"/>
      <c r="K9" s="350"/>
      <c r="L9" s="356" t="s">
        <v>1408</v>
      </c>
      <c r="M9" s="357">
        <f ca="1">INDIRECT("'数据-取费表'!ab"&amp;$G$1)</f>
        <v>0</v>
      </c>
    </row>
    <row r="10" spans="1:37" ht="18" customHeight="1">
      <c r="A10" s="1287" t="s">
        <v>1039</v>
      </c>
      <c r="B10" s="1818" t="s">
        <v>1409</v>
      </c>
      <c r="C10" s="359">
        <f ca="1">ROUND(IF(F10="押一",C6/12*F11,IF(F10="押二",C6/12*2*F11,IF(F10="押三",C6/12*3*F11,C11*F11)))/10000,0)</f>
        <v>0</v>
      </c>
      <c r="D10" s="1819" t="s">
        <v>3022</v>
      </c>
      <c r="E10" s="356" t="s">
        <v>1410</v>
      </c>
      <c r="F10" s="3065" t="s">
        <v>3536</v>
      </c>
      <c r="G10" s="1846"/>
      <c r="H10" s="1287" t="s">
        <v>1039</v>
      </c>
      <c r="I10" s="1818" t="s">
        <v>1409</v>
      </c>
      <c r="J10" s="344">
        <f ca="1">ROUND(IF(M10="押一",J6/12*M11,IF(M10="押二",J6/12*2*M11,IF(M10="押三",J6/12*3*M11,J11*M11)))/10000,0)</f>
        <v>0</v>
      </c>
      <c r="K10" s="1819" t="s">
        <v>3022</v>
      </c>
      <c r="L10" s="356" t="s">
        <v>1410</v>
      </c>
      <c r="M10" s="1362" t="s">
        <v>1411</v>
      </c>
    </row>
    <row r="11" spans="1:37" ht="18" customHeight="1">
      <c r="A11" s="351"/>
      <c r="B11" s="1820" t="s">
        <v>1388</v>
      </c>
      <c r="C11" s="1176"/>
      <c r="D11" s="1821"/>
      <c r="E11" s="356" t="s">
        <v>1412</v>
      </c>
      <c r="F11" s="357">
        <f ca="1">'数据-取费表'!B39</f>
        <v>1.4999999999999999E-2</v>
      </c>
      <c r="G11" s="1846"/>
      <c r="H11" s="1295"/>
      <c r="I11" s="1820" t="s">
        <v>1388</v>
      </c>
      <c r="J11" s="1176"/>
      <c r="K11" s="744"/>
      <c r="L11" s="356"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3">
        <f ca="1">ROUND(C29*F13,0)</f>
        <v>3182</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9" t="s">
        <v>1034</v>
      </c>
      <c r="B14" s="345" t="s">
        <v>1417</v>
      </c>
      <c r="C14" s="361">
        <f ca="1">INDIRECT("'数据-取费表'!m"&amp;$G$1)+INDIRECT("'数据-取费表'!t"&amp;$G$1)</f>
        <v>2303</v>
      </c>
      <c r="D14" s="3037" t="s">
        <v>1418</v>
      </c>
      <c r="E14" s="3036"/>
      <c r="F14" s="362"/>
      <c r="G14" s="1846"/>
      <c r="H14" s="1199" t="s">
        <v>1035</v>
      </c>
      <c r="I14" s="345" t="s">
        <v>1419</v>
      </c>
      <c r="J14" s="24">
        <f ca="1">C29</f>
        <v>3182</v>
      </c>
      <c r="K14" s="3033"/>
      <c r="L14" s="977"/>
      <c r="M14" s="978"/>
    </row>
    <row r="15" spans="1:37" s="1853" customFormat="1" ht="18" customHeight="1" thickBot="1">
      <c r="A15" s="1199" t="s">
        <v>1036</v>
      </c>
      <c r="B15" s="345" t="s">
        <v>1420</v>
      </c>
      <c r="C15" s="24">
        <f ca="1">ROUND(C14*F15,0)</f>
        <v>69</v>
      </c>
      <c r="D15" s="363" t="s">
        <v>1421</v>
      </c>
      <c r="E15" s="363" t="s">
        <v>1422</v>
      </c>
      <c r="F15" s="364">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1389</v>
      </c>
      <c r="B16" s="345" t="s">
        <v>1423</v>
      </c>
      <c r="C16" s="24">
        <f ca="1">ROUND(INDIRECT("'数据-取费表'!m"&amp;$G$1)*F16,0)</f>
        <v>0</v>
      </c>
      <c r="D16" s="345" t="s">
        <v>1421</v>
      </c>
      <c r="E16" s="345" t="s">
        <v>1422</v>
      </c>
      <c r="F16" s="365">
        <f ca="1">IF(INDIRECT("'数据-取费表'!c"&amp;$G$1)="住宅",'数据-取费表'!B34,0)</f>
        <v>0</v>
      </c>
      <c r="G16" s="1846"/>
      <c r="H16" s="1325" t="s">
        <v>1030</v>
      </c>
      <c r="I16" s="1326" t="s">
        <v>1424</v>
      </c>
      <c r="J16" s="353">
        <f ca="1">ROUND(J17+J22+J23+J24,0)</f>
        <v>85</v>
      </c>
      <c r="K16" s="1333" t="s">
        <v>1425</v>
      </c>
      <c r="L16" s="3039"/>
      <c r="M16" s="1290"/>
    </row>
    <row r="17" spans="1:37" s="1853" customFormat="1" ht="18" customHeight="1">
      <c r="A17" s="1199" t="s">
        <v>1390</v>
      </c>
      <c r="B17" s="345" t="s">
        <v>1426</v>
      </c>
      <c r="C17" s="24">
        <f ca="1">ROUND(F17*(F43+INDIRECT("'数据-取费表'!S"&amp;$G$1))/10000,0)</f>
        <v>220</v>
      </c>
      <c r="D17" s="345" t="s">
        <v>1427</v>
      </c>
      <c r="E17" s="345" t="s">
        <v>1428</v>
      </c>
      <c r="F17" s="26">
        <f>'数据-取费表'!B35</f>
        <v>200</v>
      </c>
      <c r="G17" s="1849"/>
      <c r="H17" s="1199" t="s">
        <v>1035</v>
      </c>
      <c r="I17" s="345" t="s">
        <v>1429</v>
      </c>
      <c r="J17" s="24">
        <f ca="1">ROUND(IF(项目基本情况!B11="自然人",J5*M17,J18+J19+J20),1)</f>
        <v>37.200000000000003</v>
      </c>
      <c r="K17" s="3037" t="s">
        <v>1430</v>
      </c>
      <c r="L17" s="3038"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1391</v>
      </c>
      <c r="B18" s="345" t="s">
        <v>1432</v>
      </c>
      <c r="C18" s="24">
        <f ca="1">ROUND(C14*F18,0)</f>
        <v>35</v>
      </c>
      <c r="D18" s="345" t="s">
        <v>1421</v>
      </c>
      <c r="E18" s="345" t="s">
        <v>1422</v>
      </c>
      <c r="F18" s="365">
        <f>'数据-取费表'!B36</f>
        <v>1.4999999999999999E-2</v>
      </c>
      <c r="G18" s="1849"/>
      <c r="H18" s="1199" t="s">
        <v>1034</v>
      </c>
      <c r="I18" s="345" t="s">
        <v>1433</v>
      </c>
      <c r="J18" s="24">
        <f ca="1">ROUND(J5*M18/(1+'数据-取费表'!C42),2)</f>
        <v>0</v>
      </c>
      <c r="K18" s="3038" t="s">
        <v>1434</v>
      </c>
      <c r="L18" s="345" t="s">
        <v>1422</v>
      </c>
      <c r="M18" s="365">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5" t="s">
        <v>1435</v>
      </c>
      <c r="C19" s="24">
        <f ca="1">SUM(C14:C18)</f>
        <v>2627</v>
      </c>
      <c r="D19" s="138" t="s">
        <v>1436</v>
      </c>
      <c r="E19" s="3032"/>
      <c r="F19" s="26"/>
      <c r="G19" s="1846"/>
      <c r="H19" s="1199" t="s">
        <v>1036</v>
      </c>
      <c r="I19" s="345" t="s">
        <v>1437</v>
      </c>
      <c r="J19" s="24">
        <f ca="1">IF(K19="按租金收入计税",ROUND(J5*M19,2),ROUND(C29*M19*0.7,2))</f>
        <v>26.73</v>
      </c>
      <c r="K19" s="1823" t="s">
        <v>1438</v>
      </c>
      <c r="L19" s="345" t="s">
        <v>1422</v>
      </c>
      <c r="M19" s="365">
        <f>IF(K19="按租金收入计税",'数据-取费表'!B51,'数据-取费表'!B50)</f>
        <v>1.2E-2</v>
      </c>
    </row>
    <row r="20" spans="1:37" s="1853" customFormat="1" ht="18" customHeight="1">
      <c r="A20" s="1199" t="s">
        <v>1039</v>
      </c>
      <c r="B20" s="345" t="s">
        <v>1439</v>
      </c>
      <c r="C20" s="24">
        <f ca="1">ROUND(C19*F20,0)</f>
        <v>53</v>
      </c>
      <c r="D20" s="367" t="s">
        <v>1440</v>
      </c>
      <c r="E20" s="345" t="s">
        <v>1422</v>
      </c>
      <c r="F20" s="365">
        <f>'数据-取费表'!B37</f>
        <v>0.02</v>
      </c>
      <c r="G20" s="1849"/>
      <c r="H20" s="1199" t="s">
        <v>1389</v>
      </c>
      <c r="I20" s="162" t="s">
        <v>1441</v>
      </c>
      <c r="J20" s="25">
        <f ca="1">ROUND(M20*M21/10000,2)</f>
        <v>10.51</v>
      </c>
      <c r="K20" s="368" t="s">
        <v>1442</v>
      </c>
      <c r="L20" s="345" t="s">
        <v>1443</v>
      </c>
      <c r="M20" s="369">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5" t="s">
        <v>1444</v>
      </c>
      <c r="C21" s="24" t="s">
        <v>18</v>
      </c>
      <c r="D21" s="367" t="s">
        <v>1445</v>
      </c>
      <c r="E21" s="345" t="s">
        <v>1446</v>
      </c>
      <c r="F21" s="365">
        <f>'数据-取费表'!B38</f>
        <v>0.02</v>
      </c>
      <c r="G21" s="1849"/>
      <c r="H21" s="370"/>
      <c r="I21" s="354"/>
      <c r="J21" s="29"/>
      <c r="K21" s="371"/>
      <c r="L21" s="345" t="s">
        <v>1447</v>
      </c>
      <c r="M21" s="346">
        <f ca="1">INDIRECT("'数据-取费表'!r"&amp;$G$1)</f>
        <v>8758.17</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3032"/>
      <c r="F22" s="26"/>
      <c r="G22" s="1846"/>
      <c r="H22" s="1199" t="s">
        <v>1039</v>
      </c>
      <c r="I22" s="345" t="s">
        <v>1449</v>
      </c>
      <c r="J22" s="24">
        <f ca="1">ROUND(J14*M22,1)</f>
        <v>47.7</v>
      </c>
      <c r="K22" s="3038" t="s">
        <v>1450</v>
      </c>
      <c r="L22" s="345" t="s">
        <v>1422</v>
      </c>
      <c r="M22" s="372">
        <f ca="1">INDIRECT("'数据-取费表'!Ak"&amp;$G$1)</f>
        <v>1.4999999999999999E-2</v>
      </c>
    </row>
    <row r="23" spans="1:37" s="1853" customFormat="1" ht="18" customHeight="1">
      <c r="A23" s="1199" t="s">
        <v>1034</v>
      </c>
      <c r="B23" s="345" t="s">
        <v>1451</v>
      </c>
      <c r="C23" s="24">
        <f ca="1">IF('数据-取费表'!B22&lt;=1,ROUND(C19*F24*F23/2,0)+ROUND(C20*F24*F23/2,0),ROUND(C19*(POWER((1+F24),F23/2)-1),0)+ROUND(C20*(POWER((1+F24),F23/2)-1),0))</f>
        <v>128</v>
      </c>
      <c r="D23" s="373" t="str">
        <f>IF(F23&lt;=1,"(建造成本+管理费用)×利率×(建设周期÷2)","(建造成本+管理费用)×((1+利率)^(建设周期÷2)-1)")</f>
        <v>(建造成本+管理费用)×((1+利率)^(建设周期÷2)-1)</v>
      </c>
      <c r="E23" s="345" t="s">
        <v>1452</v>
      </c>
      <c r="F23" s="369">
        <f>'数据-取费表'!B20</f>
        <v>2</v>
      </c>
      <c r="G23" s="1849"/>
      <c r="H23" s="1199" t="s">
        <v>1075</v>
      </c>
      <c r="I23" s="345" t="s">
        <v>1453</v>
      </c>
      <c r="J23" s="24">
        <f ca="1">ROUND(J13*M23,1)</f>
        <v>0</v>
      </c>
      <c r="K23" s="3038" t="s">
        <v>1454</v>
      </c>
      <c r="L23" s="345" t="s">
        <v>1455</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9"/>
      <c r="H24" s="1335" t="s">
        <v>1393</v>
      </c>
      <c r="I24" s="1336" t="s">
        <v>1439</v>
      </c>
      <c r="J24" s="1337">
        <f ca="1">ROUND(J5*M24,1)</f>
        <v>0</v>
      </c>
      <c r="K24" s="1338" t="s">
        <v>1459</v>
      </c>
      <c r="L24" s="1336" t="s">
        <v>1455</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9" t="s">
        <v>1460</v>
      </c>
      <c r="B25" s="345" t="s">
        <v>1461</v>
      </c>
      <c r="C25" s="24"/>
      <c r="D25" s="138" t="s">
        <v>1462</v>
      </c>
      <c r="E25" s="3032"/>
      <c r="F25" s="26"/>
      <c r="G25" s="1846"/>
      <c r="H25" s="1325" t="s">
        <v>1031</v>
      </c>
      <c r="I25" s="1340" t="s">
        <v>1463</v>
      </c>
      <c r="J25" s="353">
        <f ca="1">J5-J16</f>
        <v>-85</v>
      </c>
      <c r="K25" s="1341" t="s">
        <v>1464</v>
      </c>
      <c r="L25" s="1342"/>
      <c r="M25" s="1343"/>
    </row>
    <row r="26" spans="1:37">
      <c r="A26" s="1199" t="s">
        <v>1034</v>
      </c>
      <c r="B26" s="345" t="s">
        <v>1465</v>
      </c>
      <c r="C26" s="24">
        <f ca="1">ROUND((C19+C20)*F26,0)</f>
        <v>134</v>
      </c>
      <c r="D26" s="367" t="s">
        <v>1466</v>
      </c>
      <c r="E26" s="356" t="s">
        <v>1467</v>
      </c>
      <c r="F26" s="355">
        <f ca="1">INDIRECT("'数据-取费表'!q"&amp;$G$1)</f>
        <v>0.05</v>
      </c>
      <c r="G26" s="1846"/>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199" t="s">
        <v>1036</v>
      </c>
      <c r="B27" s="345" t="s">
        <v>1471</v>
      </c>
      <c r="C27" s="24">
        <f ca="1">ROUND(F21*F26,4)</f>
        <v>1E-3</v>
      </c>
      <c r="D27" s="367" t="s">
        <v>1472</v>
      </c>
      <c r="E27" s="363"/>
      <c r="F27" s="364"/>
      <c r="G27" s="1846"/>
      <c r="H27" s="347"/>
      <c r="I27" s="348"/>
      <c r="J27" s="349"/>
      <c r="K27" s="376" t="s">
        <v>1473</v>
      </c>
      <c r="L27" s="345" t="s">
        <v>1474</v>
      </c>
      <c r="M27" s="377">
        <f ca="1">INDIRECT("'数据-取费表'!ag"&amp;$G$1)</f>
        <v>0</v>
      </c>
    </row>
    <row r="28" spans="1:37" s="1853" customFormat="1" ht="18" customHeight="1">
      <c r="A28" s="1199" t="s">
        <v>1037</v>
      </c>
      <c r="B28" s="345" t="s">
        <v>1475</v>
      </c>
      <c r="C28" s="24">
        <f>ROUND(F28/(1+'数据-取费表'!C42),4)</f>
        <v>5.33E-2</v>
      </c>
      <c r="D28" s="367" t="s">
        <v>1476</v>
      </c>
      <c r="E28" s="345" t="s">
        <v>1422</v>
      </c>
      <c r="F28" s="365">
        <f>'数据-取费表'!B41</f>
        <v>5.6000000000000001E-2</v>
      </c>
      <c r="G28" s="1849"/>
      <c r="H28" s="351"/>
      <c r="I28" s="352"/>
      <c r="J28" s="353"/>
      <c r="K28" s="371"/>
      <c r="L28" s="345" t="s">
        <v>1477</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3182</v>
      </c>
      <c r="D29" s="1338"/>
      <c r="E29" s="1336"/>
      <c r="F29" s="1339"/>
      <c r="G29" s="1849"/>
      <c r="H29" s="378" t="s">
        <v>1033</v>
      </c>
      <c r="I29" s="379" t="s">
        <v>1479</v>
      </c>
      <c r="J29" s="380">
        <f ca="1">ROUND(J26/(1+F40)^F41,0)</f>
        <v>0</v>
      </c>
      <c r="K29" s="381" t="s">
        <v>1480</v>
      </c>
      <c r="L29" s="382"/>
      <c r="M29" s="383">
        <f ca="1">INDIRECT("'数据-取费表'!k"&amp;$G$1)</f>
        <v>9302.4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3">
        <f ca="1">ROUND(C31+C36+C37+C38,0)</f>
        <v>108</v>
      </c>
      <c r="D30" s="1333" t="s">
        <v>1425</v>
      </c>
      <c r="E30" s="3039"/>
      <c r="F30" s="1290"/>
      <c r="G30" s="1846"/>
      <c r="H30" s="741"/>
      <c r="I30" s="742"/>
      <c r="J30" s="743"/>
      <c r="K30" s="744"/>
      <c r="L30" s="745"/>
      <c r="M30" s="746"/>
    </row>
    <row r="31" spans="1:37" ht="18" customHeight="1">
      <c r="A31" s="1199" t="s">
        <v>1035</v>
      </c>
      <c r="B31" s="345" t="s">
        <v>1429</v>
      </c>
      <c r="C31" s="24">
        <f ca="1">ROUND(IF(项目基本情况!B11="自然人",C5*F31,C32+C33+C34),1)</f>
        <v>52.8</v>
      </c>
      <c r="D31" s="3037" t="s">
        <v>1430</v>
      </c>
      <c r="E31" s="3038" t="s">
        <v>1481</v>
      </c>
      <c r="F31" s="366" t="str">
        <f ca="1">IF(项目基本情况!B11="企业","",IF(INDIRECT("'数据-取费表'!c"&amp;$G$1)="住宅",5%,IF(F6*F7*F8/12/(1+'数据-取费表'!C42)&gt;20000,12%,7%)))</f>
        <v/>
      </c>
      <c r="G31" s="1846"/>
      <c r="H31" s="741"/>
      <c r="I31" s="742"/>
      <c r="J31" s="743"/>
      <c r="K31" s="744"/>
      <c r="L31" s="745"/>
      <c r="M31" s="746"/>
    </row>
    <row r="32" spans="1:37" ht="18" customHeight="1">
      <c r="A32" s="1199" t="s">
        <v>1034</v>
      </c>
      <c r="B32" s="345" t="s">
        <v>1433</v>
      </c>
      <c r="C32" s="24">
        <f ca="1">IF(项目基本情况!B11="自然人","——",ROUND(C5*F32/(1+'数据-取费表'!C42),2))</f>
        <v>13.01</v>
      </c>
      <c r="D32" s="3038" t="s">
        <v>1434</v>
      </c>
      <c r="E32" s="345" t="s">
        <v>1422</v>
      </c>
      <c r="F32" s="375">
        <f>'数据-取费表'!B41</f>
        <v>5.6000000000000001E-2</v>
      </c>
      <c r="G32" s="1846"/>
      <c r="H32" s="741"/>
      <c r="I32" s="742"/>
      <c r="J32" s="743"/>
      <c r="K32" s="744"/>
      <c r="L32" s="745"/>
      <c r="M32" s="746"/>
    </row>
    <row r="33" spans="1:18" ht="18" customHeight="1">
      <c r="A33" s="1199" t="s">
        <v>1036</v>
      </c>
      <c r="B33" s="345" t="s">
        <v>1437</v>
      </c>
      <c r="C33" s="24">
        <f ca="1">IF(项目基本情况!B11="自然人","——",IF(D33="按租金收入计税",ROUND(C5*F33,2),IF(D33="按房产原值计税",ROUND(C29*F33*0.7,2),INDIRECT("'数据-取费表'!Aj"&amp;$G$1))))</f>
        <v>29.28</v>
      </c>
      <c r="D33" s="3066" t="s">
        <v>3150</v>
      </c>
      <c r="E33" s="345" t="s">
        <v>1422</v>
      </c>
      <c r="F33" s="365">
        <f>IF(D33="按票据","——",IF(D33="按租金收入计税",'数据-取费表'!B51,'数据-取费表'!B50))</f>
        <v>0.12</v>
      </c>
      <c r="G33" s="1846"/>
      <c r="H33" s="1854"/>
      <c r="I33" s="1855"/>
      <c r="J33" s="1856"/>
      <c r="K33" s="1857"/>
      <c r="L33" s="1854"/>
      <c r="M33" s="1854"/>
    </row>
    <row r="34" spans="1:18" ht="18" customHeight="1">
      <c r="A34" s="1287" t="s">
        <v>1389</v>
      </c>
      <c r="B34" s="162" t="s">
        <v>1441</v>
      </c>
      <c r="C34" s="25">
        <f ca="1">IF(项目基本情况!B11="自然人","——",ROUND(F34*F35/10000,2))</f>
        <v>10.51</v>
      </c>
      <c r="D34" s="368" t="s">
        <v>1442</v>
      </c>
      <c r="E34" s="345" t="s">
        <v>1443</v>
      </c>
      <c r="F34" s="369">
        <f>'数据-取费表'!B52</f>
        <v>12</v>
      </c>
      <c r="G34" s="1846"/>
      <c r="H34" s="741"/>
      <c r="I34" s="1855"/>
      <c r="J34" s="1856"/>
      <c r="K34" s="1858"/>
      <c r="L34" s="1859"/>
      <c r="M34" s="1859"/>
    </row>
    <row r="35" spans="1:18" ht="18" customHeight="1">
      <c r="A35" s="1349"/>
      <c r="B35" s="1347"/>
      <c r="C35" s="29"/>
      <c r="D35" s="371"/>
      <c r="E35" s="345" t="s">
        <v>1447</v>
      </c>
      <c r="F35" s="346">
        <f ca="1">INDIRECT("'数据-取费表'!r"&amp;$G$1)</f>
        <v>8758.17</v>
      </c>
      <c r="G35" s="1846"/>
      <c r="H35" s="741"/>
      <c r="I35" s="1855"/>
      <c r="J35" s="1856"/>
      <c r="K35" s="1857"/>
      <c r="L35" s="1854"/>
      <c r="M35" s="1854"/>
    </row>
    <row r="36" spans="1:18" ht="18" customHeight="1">
      <c r="A36" s="1348" t="s">
        <v>1039</v>
      </c>
      <c r="B36" s="345" t="s">
        <v>1449</v>
      </c>
      <c r="C36" s="24">
        <f ca="1">ROUND(C29*F36,1)</f>
        <v>47.7</v>
      </c>
      <c r="D36" s="3038" t="s">
        <v>1482</v>
      </c>
      <c r="E36" s="345" t="s">
        <v>1422</v>
      </c>
      <c r="F36" s="372">
        <f ca="1">INDIRECT("'数据-取费表'!Ak"&amp;$G$1)</f>
        <v>1.4999999999999999E-2</v>
      </c>
      <c r="G36" s="1846"/>
      <c r="H36" s="1854"/>
      <c r="I36" s="1855"/>
      <c r="J36" s="1856"/>
      <c r="K36" s="747"/>
      <c r="L36" s="1854"/>
      <c r="M36" s="1854"/>
    </row>
    <row r="37" spans="1:18" ht="18" customHeight="1">
      <c r="A37" s="1199" t="s">
        <v>1075</v>
      </c>
      <c r="B37" s="345" t="s">
        <v>1453</v>
      </c>
      <c r="C37" s="24">
        <f ca="1">ROUND(C13*F37,1)</f>
        <v>4.8</v>
      </c>
      <c r="D37" s="3038" t="s">
        <v>1454</v>
      </c>
      <c r="E37" s="345" t="s">
        <v>1455</v>
      </c>
      <c r="F37" s="374">
        <f ca="1">INDIRECT("'数据-取费表'!Al"&amp;$G$1)</f>
        <v>1.5E-3</v>
      </c>
      <c r="G37" s="1846"/>
      <c r="H37" s="1854"/>
      <c r="I37" s="1855"/>
      <c r="J37" s="1856"/>
      <c r="K37" s="747"/>
      <c r="L37" s="1854"/>
      <c r="M37" s="1854"/>
    </row>
    <row r="38" spans="1:18" ht="18" customHeight="1" thickBot="1">
      <c r="A38" s="1335" t="s">
        <v>1393</v>
      </c>
      <c r="B38" s="1336" t="s">
        <v>1439</v>
      </c>
      <c r="C38" s="1337">
        <f ca="1">ROUND(C5*F38,1)</f>
        <v>2.4</v>
      </c>
      <c r="D38" s="1338" t="s">
        <v>1459</v>
      </c>
      <c r="E38" s="1336" t="s">
        <v>1455</v>
      </c>
      <c r="F38" s="1332">
        <f ca="1">INDIRECT("'数据-取费表'!Am"&amp;$G$1)</f>
        <v>0.01</v>
      </c>
      <c r="G38" s="1846"/>
      <c r="H38" s="1854"/>
      <c r="I38" s="1855"/>
      <c r="J38" s="1856"/>
      <c r="K38" s="1860"/>
      <c r="L38" s="1854"/>
      <c r="M38" s="1854"/>
    </row>
    <row r="39" spans="1:18" ht="24.6" customHeight="1" thickTop="1">
      <c r="A39" s="1325" t="s">
        <v>1031</v>
      </c>
      <c r="B39" s="1340" t="s">
        <v>1463</v>
      </c>
      <c r="C39" s="353">
        <f ca="1">C5-C30</f>
        <v>136</v>
      </c>
      <c r="D39" s="1341" t="s">
        <v>1464</v>
      </c>
      <c r="E39" s="1342"/>
      <c r="F39" s="1343"/>
      <c r="G39" s="1846"/>
      <c r="H39" s="1854"/>
      <c r="I39" s="1855"/>
      <c r="J39" s="1856"/>
      <c r="K39" s="1860"/>
      <c r="L39" s="1854"/>
      <c r="M39" s="1854"/>
    </row>
    <row r="40" spans="1:18" ht="18" customHeight="1">
      <c r="A40" s="342" t="s">
        <v>1032</v>
      </c>
      <c r="B40" s="343" t="s">
        <v>1485</v>
      </c>
      <c r="C40" s="344">
        <f ca="1">ROUND(C39*(1-((1+F42)/(1+F40))^F41)/(F40-F42),0)</f>
        <v>3076</v>
      </c>
      <c r="D40" s="368" t="s">
        <v>1469</v>
      </c>
      <c r="E40" s="345" t="s">
        <v>1470</v>
      </c>
      <c r="F40" s="355">
        <f ca="1">INDIRECT("'数据-取费表'!I"&amp;$G$1)</f>
        <v>4.4999999999999998E-2</v>
      </c>
      <c r="G40" s="1846"/>
      <c r="H40" s="1834"/>
      <c r="I40" s="1855"/>
      <c r="J40" s="1856"/>
      <c r="K40" s="1860"/>
      <c r="L40" s="1834"/>
      <c r="M40" s="1834"/>
    </row>
    <row r="41" spans="1:18" ht="18" customHeight="1">
      <c r="A41" s="347"/>
      <c r="B41" s="348"/>
      <c r="C41" s="349"/>
      <c r="D41" s="376" t="s">
        <v>1486</v>
      </c>
      <c r="E41" s="345" t="s">
        <v>1474</v>
      </c>
      <c r="F41" s="377">
        <f ca="1">IF(INDIRECT("'数据-取费表'!af"&amp;$G$1)=0,INDIRECT("'数据-取费表'!ae"&amp;$G$1),INDIRECT("'数据-取费表'!af"&amp;$G$1))</f>
        <v>38.950000000000003</v>
      </c>
      <c r="G41" s="1846"/>
      <c r="H41" s="728"/>
      <c r="I41" s="1855"/>
      <c r="J41" s="1856"/>
      <c r="K41" s="747"/>
      <c r="L41" s="728"/>
      <c r="M41" s="728"/>
    </row>
    <row r="42" spans="1:18" ht="18" customHeight="1">
      <c r="A42" s="351"/>
      <c r="B42" s="352"/>
      <c r="C42" s="353"/>
      <c r="D42" s="371"/>
      <c r="E42" s="345" t="s">
        <v>1477</v>
      </c>
      <c r="F42" s="355">
        <f ca="1">INDIRECT("'数据-取费表'!v"&amp;$G$1)</f>
        <v>1.4999999999999999E-2</v>
      </c>
      <c r="G42" s="1846"/>
      <c r="H42" s="728"/>
      <c r="I42" s="1855"/>
      <c r="J42" s="1856"/>
      <c r="K42" s="747"/>
      <c r="L42" s="728"/>
      <c r="M42" s="728"/>
    </row>
    <row r="43" spans="1:18" ht="18" customHeight="1" thickBot="1">
      <c r="A43" s="378" t="s">
        <v>1033</v>
      </c>
      <c r="B43" s="379" t="s">
        <v>1487</v>
      </c>
      <c r="C43" s="380">
        <f ca="1">ROUND(C40*10000/F43,0)</f>
        <v>3307</v>
      </c>
      <c r="D43" s="381" t="s">
        <v>1488</v>
      </c>
      <c r="E43" s="382" t="s">
        <v>1489</v>
      </c>
      <c r="F43" s="383">
        <f ca="1">INDIRECT("'数据-取费表'!k"&amp;$G$1)</f>
        <v>9302.4</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1519</v>
      </c>
      <c r="P45" s="1834"/>
      <c r="Q45" s="1834"/>
      <c r="R45" s="1834"/>
    </row>
    <row r="46" spans="1:18" s="1837" customFormat="1" ht="13.5" thickBot="1">
      <c r="A46" s="1865" t="s">
        <v>1520</v>
      </c>
      <c r="C46" s="1866">
        <f ca="1">C68-C40</f>
        <v>-9089</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3" t="s">
        <v>1396</v>
      </c>
      <c r="B47" s="1195" t="s">
        <v>1397</v>
      </c>
      <c r="C47" s="1363" t="s">
        <v>1398</v>
      </c>
      <c r="D47" s="1195" t="s">
        <v>1399</v>
      </c>
      <c r="E47" s="1275" t="s">
        <v>1400</v>
      </c>
      <c r="F47" s="1276"/>
      <c r="G47" s="788"/>
      <c r="I47" s="1875" t="s">
        <v>1526</v>
      </c>
      <c r="J47" s="1876" t="s">
        <v>3043</v>
      </c>
      <c r="K47" s="1877" t="s">
        <v>1527</v>
      </c>
      <c r="L47" s="1878">
        <f ca="1">INDIRECT("'数据-取费表'!d"&amp;$G$1)</f>
        <v>50</v>
      </c>
      <c r="M47" s="1833" t="str">
        <f>IF(ISNUMBER(FIND("住宅",C1)),"住宅","非住宅")</f>
        <v>非住宅</v>
      </c>
      <c r="O47" s="1879" t="s">
        <v>1040</v>
      </c>
      <c r="P47" s="1880" t="s">
        <v>1528</v>
      </c>
      <c r="Q47" s="1881">
        <f ca="1">C40+J29</f>
        <v>3076</v>
      </c>
      <c r="R47" s="1881" t="s">
        <v>1529</v>
      </c>
    </row>
    <row r="48" spans="1:18" s="1837" customFormat="1" ht="28.5" thickBot="1">
      <c r="A48" s="1356" t="s">
        <v>1135</v>
      </c>
      <c r="B48" s="343" t="s">
        <v>1401</v>
      </c>
      <c r="C48" s="3031">
        <f ca="1">C49+C53+C55</f>
        <v>0</v>
      </c>
      <c r="D48" s="1358"/>
      <c r="E48" s="1359"/>
      <c r="F48" s="1179"/>
      <c r="G48" s="788"/>
      <c r="H48" s="789"/>
      <c r="I48" s="1882" t="s">
        <v>1530</v>
      </c>
      <c r="J48" s="1883" t="s">
        <v>3044</v>
      </c>
      <c r="K48" s="1884" t="s">
        <v>1531</v>
      </c>
      <c r="L48" s="1885">
        <f ca="1">INDIRECT("'数据-取费表'!f"&amp;$G$1)</f>
        <v>40.950000000000003</v>
      </c>
      <c r="O48" s="1879" t="s">
        <v>1041</v>
      </c>
      <c r="P48" s="1880" t="s">
        <v>1532</v>
      </c>
      <c r="Q48" s="1881" t="str">
        <f ca="1">J60</f>
        <v>0</v>
      </c>
      <c r="R48" s="1881" t="s">
        <v>1533</v>
      </c>
    </row>
    <row r="49" spans="1:18" s="1837" customFormat="1" ht="13.5" thickBot="1">
      <c r="A49" s="1192" t="s">
        <v>1136</v>
      </c>
      <c r="B49" s="1824" t="s">
        <v>1490</v>
      </c>
      <c r="C49" s="1360">
        <f ca="1">ROUND(F49*F51*F50*(1-F52)/10000,0)</f>
        <v>0</v>
      </c>
      <c r="D49" s="1272" t="s">
        <v>3013</v>
      </c>
      <c r="E49" s="1825" t="s">
        <v>1491</v>
      </c>
      <c r="F49" s="1277"/>
      <c r="G49" s="1886"/>
      <c r="H49" s="789"/>
      <c r="I49" s="1882" t="s">
        <v>1534</v>
      </c>
      <c r="J49" s="1887">
        <v>2012</v>
      </c>
      <c r="K49" s="1884" t="s">
        <v>1535</v>
      </c>
      <c r="L49" s="1888"/>
      <c r="O49" s="1889" t="s">
        <v>1042</v>
      </c>
      <c r="P49" s="1880" t="s">
        <v>1536</v>
      </c>
      <c r="Q49" s="1881">
        <f ca="1">C29</f>
        <v>3182</v>
      </c>
      <c r="R49" s="1881" t="s">
        <v>1529</v>
      </c>
    </row>
    <row r="50" spans="1:18" s="1837" customFormat="1" ht="13.5" thickBot="1">
      <c r="A50" s="1193"/>
      <c r="B50" s="1196"/>
      <c r="C50" s="1364"/>
      <c r="D50" s="1170"/>
      <c r="E50" s="1273" t="s">
        <v>1406</v>
      </c>
      <c r="F50" s="1274">
        <f ca="1">F7</f>
        <v>9302.4</v>
      </c>
      <c r="H50" s="789"/>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4"/>
      <c r="B51" s="1196"/>
      <c r="C51" s="1197"/>
      <c r="D51" s="1170"/>
      <c r="E51" s="1198" t="s">
        <v>1407</v>
      </c>
      <c r="F51" s="346">
        <f ca="1">F8</f>
        <v>365</v>
      </c>
      <c r="I51" s="1893" t="s">
        <v>1540</v>
      </c>
      <c r="J51" s="1894">
        <f>IF(J49="",J50,J49+J50-YEAR('数据-取费表'!B2))</f>
        <v>54</v>
      </c>
      <c r="K51" s="1895" t="s">
        <v>1541</v>
      </c>
      <c r="L51" s="1896">
        <f ca="1">ROUND(-PV(INDIRECT("'数据-取费表'!h"&amp;$G$1),L48,(C39-C13*C76),0),0)</f>
        <v>-2369</v>
      </c>
      <c r="M51" s="1897"/>
      <c r="O51" s="1889" t="s">
        <v>1044</v>
      </c>
      <c r="P51" s="1880" t="s">
        <v>1542</v>
      </c>
      <c r="Q51" s="1892">
        <f>J52</f>
        <v>8.5000000000000006E-2</v>
      </c>
      <c r="R51" s="1881"/>
    </row>
    <row r="52" spans="1:18" s="1837" customFormat="1" ht="13.5" thickBot="1">
      <c r="A52" s="1194"/>
      <c r="B52" s="1196"/>
      <c r="C52" s="1197"/>
      <c r="D52" s="1170"/>
      <c r="E52" s="1198" t="s">
        <v>1408</v>
      </c>
      <c r="F52" s="1271"/>
      <c r="I52" s="1898" t="s">
        <v>1543</v>
      </c>
      <c r="J52" s="1899">
        <v>8.5000000000000006E-2</v>
      </c>
      <c r="K52" s="1898" t="s">
        <v>1544</v>
      </c>
      <c r="L52" s="1899"/>
      <c r="O52" s="1889" t="s">
        <v>1045</v>
      </c>
      <c r="P52" s="1880" t="s">
        <v>1545</v>
      </c>
      <c r="Q52" s="1881">
        <f ca="1">J53</f>
        <v>38.950000000000003</v>
      </c>
      <c r="R52" s="1881" t="s">
        <v>1546</v>
      </c>
    </row>
    <row r="53" spans="1:18" s="1837" customFormat="1" ht="24.75" thickBot="1">
      <c r="A53" s="1401" t="s">
        <v>1137</v>
      </c>
      <c r="B53" s="1826" t="s">
        <v>1409</v>
      </c>
      <c r="C53" s="359">
        <f ca="1">ROUND(IF(F53="押一",C49/12*F11,IF(F53="押二",C49/12*2*F11,IF(F53="押三",C49/12*3*F11,C54*F11)))/10000,0)</f>
        <v>0</v>
      </c>
      <c r="D53" s="1819" t="s">
        <v>3022</v>
      </c>
      <c r="E53" s="356" t="s">
        <v>1410</v>
      </c>
      <c r="F53" s="1362"/>
      <c r="I53" s="1900" t="s">
        <v>1547</v>
      </c>
      <c r="J53" s="1901">
        <f ca="1">IF(M47="住宅",J51,IF(D1="——",MIN(J51,L48),IF(D1="在建（套用方法）",MIN(J51,L48-'数据-取费表'!B24),IF(D1="土地（套用方法）",MIN(J51,L48-'数据-取费表'!B20)))))</f>
        <v>38.950000000000003</v>
      </c>
      <c r="K53" s="3329" t="s">
        <v>1548</v>
      </c>
      <c r="L53" s="3330"/>
      <c r="O53" s="1879" t="s">
        <v>1046</v>
      </c>
      <c r="P53" s="1880" t="s">
        <v>1549</v>
      </c>
      <c r="Q53" s="1881">
        <f ca="1">Q47+Q48</f>
        <v>3076</v>
      </c>
      <c r="R53" s="1881" t="s">
        <v>1047</v>
      </c>
    </row>
    <row r="54" spans="1:18" s="1837" customFormat="1" ht="13.5" thickBot="1">
      <c r="A54" s="1402"/>
      <c r="B54" s="1820" t="s">
        <v>1388</v>
      </c>
      <c r="C54" s="1176"/>
      <c r="D54" s="1819"/>
      <c r="E54" s="3035"/>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3035"/>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4">
        <v>2</v>
      </c>
      <c r="B56" s="1175" t="s">
        <v>1414</v>
      </c>
      <c r="C56" s="274">
        <f ca="1">C13</f>
        <v>3182</v>
      </c>
      <c r="D56" s="1909"/>
      <c r="E56" s="1910"/>
      <c r="F56" s="1902"/>
      <c r="I56" s="1911" t="s">
        <v>1554</v>
      </c>
      <c r="J56" s="1912" t="s">
        <v>3031</v>
      </c>
      <c r="K56" s="1882" t="s">
        <v>1555</v>
      </c>
      <c r="L56" s="1885" t="str">
        <f ca="1">IF(L48&lt;J51,"——",L48-J53)</f>
        <v>——</v>
      </c>
      <c r="O56" s="1879" t="s">
        <v>1040</v>
      </c>
      <c r="P56" s="1880" t="s">
        <v>1528</v>
      </c>
      <c r="Q56" s="1881">
        <f ca="1">C40+J29</f>
        <v>3076</v>
      </c>
      <c r="R56" s="1881" t="s">
        <v>1529</v>
      </c>
    </row>
    <row r="57" spans="1:18" s="1837" customFormat="1" ht="24.75" thickBot="1">
      <c r="A57" s="1913"/>
      <c r="B57" s="1167" t="s">
        <v>1478</v>
      </c>
      <c r="C57" s="280">
        <f ca="1">C29</f>
        <v>3182</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8" t="s">
        <v>1030</v>
      </c>
      <c r="B58" s="1175" t="s">
        <v>1424</v>
      </c>
      <c r="C58" s="359">
        <f ca="1">ROUND(C59+C64+C65+C66,0)</f>
        <v>330</v>
      </c>
      <c r="D58" s="1177" t="s">
        <v>1425</v>
      </c>
      <c r="E58" s="1178"/>
      <c r="F58" s="1179"/>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9" t="s">
        <v>1035</v>
      </c>
      <c r="B59" s="1167" t="s">
        <v>1429</v>
      </c>
      <c r="C59" s="24">
        <f ca="1">ROUND(IF(项目基本情况!B11="自然人",C48*F59,C60+C61+C62),1)</f>
        <v>277.8</v>
      </c>
      <c r="D59" s="1180" t="s">
        <v>1430</v>
      </c>
      <c r="E59" s="1181" t="s">
        <v>1431</v>
      </c>
      <c r="F59" s="366"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9" t="s">
        <v>1034</v>
      </c>
      <c r="B60" s="1167" t="s">
        <v>1433</v>
      </c>
      <c r="C60" s="24">
        <f ca="1">IF(项目基本情况!B11="自然人","——",ROUND(C48*F60/(1+'数据-取费表'!C42),2))</f>
        <v>0</v>
      </c>
      <c r="D60" s="1181" t="s">
        <v>1434</v>
      </c>
      <c r="E60" s="1167" t="s">
        <v>1422</v>
      </c>
      <c r="F60" s="375">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9" t="s">
        <v>1492</v>
      </c>
      <c r="B61" s="1167" t="s">
        <v>1493</v>
      </c>
      <c r="C61" s="24">
        <f ca="1">IF(项目基本情况!B11="自然人","——",IF(D61="按租金收入计税",ROUND(C48*F61,2),IF(D61="按房产原值计税",ROUND(C57*F61*0.7,2),INDIRECT("'数据-取费表'!Aj"&amp;$G$1))))</f>
        <v>267.29000000000002</v>
      </c>
      <c r="D61" s="1823" t="s">
        <v>1438</v>
      </c>
      <c r="E61" s="1167" t="s">
        <v>1455</v>
      </c>
      <c r="F61" s="365">
        <f t="shared" si="0"/>
        <v>0.12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9" t="s">
        <v>1495</v>
      </c>
      <c r="B62" s="1166" t="s">
        <v>1441</v>
      </c>
      <c r="C62" s="25">
        <f ca="1">IF(项目基本情况!B11="自然人","——",ROUND(F62*F63/10000,2))</f>
        <v>10.51</v>
      </c>
      <c r="D62" s="1182" t="s">
        <v>1442</v>
      </c>
      <c r="E62" s="1167" t="s">
        <v>1443</v>
      </c>
      <c r="F62" s="369">
        <f t="shared" si="0"/>
        <v>12</v>
      </c>
      <c r="I62" s="1924" t="s">
        <v>1570</v>
      </c>
      <c r="J62" s="1925" t="s">
        <v>1571</v>
      </c>
      <c r="K62" s="1925" t="s">
        <v>1572</v>
      </c>
      <c r="L62" s="1925" t="s">
        <v>1573</v>
      </c>
      <c r="M62" s="1926" t="s">
        <v>1574</v>
      </c>
      <c r="O62" s="1879" t="s">
        <v>1046</v>
      </c>
      <c r="P62" s="1880" t="s">
        <v>1549</v>
      </c>
      <c r="Q62" s="1881">
        <f ca="1">Q56+Q57</f>
        <v>3076</v>
      </c>
      <c r="R62" s="1881" t="s">
        <v>1047</v>
      </c>
    </row>
    <row r="63" spans="1:18" s="1837" customFormat="1" ht="13.5" thickBot="1">
      <c r="A63" s="370"/>
      <c r="B63" s="1173"/>
      <c r="C63" s="29"/>
      <c r="D63" s="1183"/>
      <c r="E63" s="1167" t="s">
        <v>1447</v>
      </c>
      <c r="F63" s="346">
        <f t="shared" ca="1" si="0"/>
        <v>8758.17</v>
      </c>
      <c r="I63" s="1924" t="s">
        <v>1576</v>
      </c>
      <c r="J63" s="1925">
        <v>70</v>
      </c>
      <c r="K63" s="1925">
        <v>50</v>
      </c>
      <c r="L63" s="1925">
        <v>80</v>
      </c>
      <c r="M63" s="1927">
        <v>0.02</v>
      </c>
      <c r="O63" s="1864" t="s">
        <v>1577</v>
      </c>
      <c r="P63" s="1834"/>
      <c r="Q63" s="1834"/>
      <c r="R63" s="1834"/>
    </row>
    <row r="64" spans="1:18" s="1837" customFormat="1" ht="13.5" thickBot="1">
      <c r="A64" s="1199" t="s">
        <v>1039</v>
      </c>
      <c r="B64" s="1167" t="s">
        <v>1449</v>
      </c>
      <c r="C64" s="24">
        <f ca="1">ROUND(C57*F64,1)</f>
        <v>47.7</v>
      </c>
      <c r="D64" s="1181" t="s">
        <v>1482</v>
      </c>
      <c r="E64" s="1167" t="s">
        <v>1455</v>
      </c>
      <c r="F64" s="372">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9" t="s">
        <v>1503</v>
      </c>
      <c r="B65" s="1167" t="s">
        <v>1453</v>
      </c>
      <c r="C65" s="24">
        <f ca="1">ROUND(C56*F65,1)</f>
        <v>4.8</v>
      </c>
      <c r="D65" s="1181" t="s">
        <v>1454</v>
      </c>
      <c r="E65" s="1167" t="s">
        <v>1455</v>
      </c>
      <c r="F65" s="374">
        <f t="shared" ca="1" si="0"/>
        <v>1.5E-3</v>
      </c>
      <c r="I65" s="1924" t="s">
        <v>1579</v>
      </c>
      <c r="J65" s="1925">
        <v>40</v>
      </c>
      <c r="K65" s="1925">
        <v>30</v>
      </c>
      <c r="L65" s="1925">
        <v>50</v>
      </c>
      <c r="M65" s="1927">
        <v>0.02</v>
      </c>
      <c r="O65" s="1879" t="s">
        <v>1040</v>
      </c>
      <c r="P65" s="1880" t="s">
        <v>1528</v>
      </c>
      <c r="Q65" s="1881">
        <f ca="1">C40+J29</f>
        <v>3076</v>
      </c>
      <c r="R65" s="1881" t="s">
        <v>1529</v>
      </c>
    </row>
    <row r="66" spans="1:18" s="1837" customFormat="1" ht="16.5" thickBot="1">
      <c r="A66" s="1199" t="s">
        <v>1504</v>
      </c>
      <c r="B66" s="1167" t="s">
        <v>1439</v>
      </c>
      <c r="C66" s="24">
        <f ca="1">ROUND(C48*F66,1)</f>
        <v>0</v>
      </c>
      <c r="D66" s="1181" t="s">
        <v>1459</v>
      </c>
      <c r="E66" s="1167" t="s">
        <v>1422</v>
      </c>
      <c r="F66" s="355">
        <f t="shared" ca="1" si="0"/>
        <v>0.01</v>
      </c>
      <c r="O66" s="1879" t="s">
        <v>1041</v>
      </c>
      <c r="P66" s="1880" t="s">
        <v>1558</v>
      </c>
      <c r="Q66" s="1881">
        <f ca="1">L60</f>
        <v>0</v>
      </c>
      <c r="R66" s="1881" t="s">
        <v>1581</v>
      </c>
    </row>
    <row r="67" spans="1:18" s="1837" customFormat="1" ht="16.5" thickBot="1">
      <c r="A67" s="1174" t="s">
        <v>1031</v>
      </c>
      <c r="B67" s="1184" t="s">
        <v>1463</v>
      </c>
      <c r="C67" s="359">
        <f ca="1">C48-C58</f>
        <v>-330</v>
      </c>
      <c r="D67" s="1180" t="s">
        <v>1464</v>
      </c>
      <c r="E67" s="1185"/>
      <c r="F67" s="1186"/>
      <c r="O67" s="1889" t="s">
        <v>1042</v>
      </c>
      <c r="P67" s="1880" t="s">
        <v>1562</v>
      </c>
      <c r="Q67" s="1928">
        <f ca="1">L51</f>
        <v>-2369</v>
      </c>
      <c r="R67" s="1881" t="s">
        <v>1582</v>
      </c>
    </row>
    <row r="68" spans="1:18" s="1837" customFormat="1" ht="16.5" thickBot="1">
      <c r="A68" s="1164" t="s">
        <v>1032</v>
      </c>
      <c r="B68" s="1165" t="s">
        <v>1485</v>
      </c>
      <c r="C68" s="344">
        <f ca="1">ROUND(C67*(1-((1+F70)/(1+F68))^F69)/(F68-F70),0)</f>
        <v>-6013</v>
      </c>
      <c r="D68" s="1182" t="s">
        <v>1469</v>
      </c>
      <c r="E68" s="1167" t="s">
        <v>1470</v>
      </c>
      <c r="F68" s="355">
        <f ca="1">F40</f>
        <v>4.4999999999999998E-2</v>
      </c>
      <c r="O68" s="1889" t="s">
        <v>1043</v>
      </c>
      <c r="P68" s="1929" t="s">
        <v>1583</v>
      </c>
      <c r="Q68" s="1881">
        <f ca="1">ROUND(Q69-Q70*Q71,0)</f>
        <v>-119</v>
      </c>
      <c r="R68" s="1881" t="s">
        <v>1051</v>
      </c>
    </row>
    <row r="69" spans="1:18" s="1837" customFormat="1" ht="13.5" thickBot="1">
      <c r="A69" s="1168"/>
      <c r="B69" s="1169"/>
      <c r="C69" s="349"/>
      <c r="D69" s="1187" t="s">
        <v>1473</v>
      </c>
      <c r="E69" s="1167" t="s">
        <v>1474</v>
      </c>
      <c r="F69" s="377">
        <f ca="1">F41</f>
        <v>38.950000000000003</v>
      </c>
      <c r="O69" s="1889" t="s">
        <v>1048</v>
      </c>
      <c r="P69" s="1929" t="s">
        <v>1584</v>
      </c>
      <c r="Q69" s="1881">
        <f ca="1">C39</f>
        <v>136</v>
      </c>
      <c r="R69" s="1881" t="s">
        <v>1529</v>
      </c>
    </row>
    <row r="70" spans="1:18" s="1837" customFormat="1" ht="13.5" thickBot="1">
      <c r="A70" s="1171"/>
      <c r="B70" s="1172"/>
      <c r="C70" s="353"/>
      <c r="D70" s="1183"/>
      <c r="E70" s="1167" t="s">
        <v>1477</v>
      </c>
      <c r="F70" s="1271"/>
      <c r="O70" s="1889" t="s">
        <v>1049</v>
      </c>
      <c r="P70" s="1929" t="s">
        <v>1585</v>
      </c>
      <c r="Q70" s="1881">
        <f ca="1">C13</f>
        <v>3182</v>
      </c>
      <c r="R70" s="1881" t="s">
        <v>1529</v>
      </c>
    </row>
    <row r="71" spans="1:18" s="1837" customFormat="1" ht="13.5" thickBot="1">
      <c r="A71" s="1188" t="s">
        <v>1033</v>
      </c>
      <c r="B71" s="1189" t="s">
        <v>1487</v>
      </c>
      <c r="C71" s="380">
        <f ca="1">ROUND(C68*10000/F71,0)</f>
        <v>-6464</v>
      </c>
      <c r="D71" s="1190" t="s">
        <v>1488</v>
      </c>
      <c r="E71" s="1191" t="s">
        <v>1489</v>
      </c>
      <c r="F71" s="383">
        <f ca="1">F43</f>
        <v>9302.4</v>
      </c>
      <c r="O71" s="1889" t="s">
        <v>1050</v>
      </c>
      <c r="P71" s="1929" t="s">
        <v>1586</v>
      </c>
      <c r="Q71" s="1892">
        <f ca="1">C76</f>
        <v>0.08</v>
      </c>
      <c r="R71" s="1881"/>
    </row>
    <row r="72" spans="1:18" s="1837" customFormat="1" ht="13.5" thickBot="1">
      <c r="B72" s="792"/>
      <c r="C72" s="792"/>
      <c r="O72" s="1889" t="s">
        <v>1044</v>
      </c>
      <c r="P72" s="1880" t="s">
        <v>1564</v>
      </c>
      <c r="Q72" s="1892">
        <f>L52</f>
        <v>0</v>
      </c>
      <c r="R72" s="1881"/>
    </row>
    <row r="73" spans="1:18" ht="16.5" thickBot="1">
      <c r="A73" s="1837"/>
      <c r="B73" s="792"/>
      <c r="C73" s="792"/>
      <c r="D73" s="1837"/>
      <c r="E73" s="1837"/>
      <c r="F73" s="1837"/>
      <c r="O73" s="1889" t="s">
        <v>1045</v>
      </c>
      <c r="P73" s="1880" t="s">
        <v>1567</v>
      </c>
      <c r="Q73" s="1881" t="e">
        <f ca="1">L58</f>
        <v>#DIV/0!</v>
      </c>
      <c r="R73" s="1881" t="s">
        <v>1568</v>
      </c>
    </row>
    <row r="74" spans="1:18" ht="13.5" thickBot="1">
      <c r="A74" s="1837"/>
      <c r="B74" s="315"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4" t="s">
        <v>1506</v>
      </c>
      <c r="C75" s="385">
        <f ca="1">ROUND(C13*C76,0)</f>
        <v>255</v>
      </c>
      <c r="D75" s="1837"/>
      <c r="E75" s="1837"/>
      <c r="F75" s="1837"/>
      <c r="K75" s="1863"/>
      <c r="L75" s="1837"/>
      <c r="O75" s="1879" t="s">
        <v>1046</v>
      </c>
      <c r="P75" s="1880" t="s">
        <v>1549</v>
      </c>
      <c r="Q75" s="1881">
        <f ca="1">Q65+Q66</f>
        <v>3076</v>
      </c>
      <c r="R75" s="1881" t="s">
        <v>1047</v>
      </c>
    </row>
    <row r="76" spans="1:18">
      <c r="B76" s="386" t="s">
        <v>1507</v>
      </c>
      <c r="C76" s="387">
        <f ca="1">INDIRECT("'数据-取费表'!j"&amp;$G$1)</f>
        <v>0.08</v>
      </c>
      <c r="I76" s="1837"/>
      <c r="J76" s="1837"/>
      <c r="K76" s="1863"/>
      <c r="L76" s="1837"/>
    </row>
    <row r="77" spans="1:18">
      <c r="B77" s="388" t="s">
        <v>1508</v>
      </c>
      <c r="C77" s="389"/>
      <c r="I77" s="1837"/>
      <c r="J77" s="1837"/>
      <c r="K77" s="1863"/>
      <c r="L77" s="1837"/>
    </row>
    <row r="78" spans="1:18">
      <c r="B78" s="312" t="s">
        <v>1509</v>
      </c>
      <c r="C78" s="390"/>
    </row>
    <row r="79" spans="1:18">
      <c r="B79" s="384" t="s">
        <v>1510</v>
      </c>
      <c r="C79" s="316">
        <f ca="1">1-C80</f>
        <v>-0.875</v>
      </c>
    </row>
    <row r="80" spans="1:18">
      <c r="B80" s="384" t="s">
        <v>1511</v>
      </c>
      <c r="C80" s="316">
        <f ca="1">ROUND(C75/C39,3)</f>
        <v>1.875</v>
      </c>
    </row>
    <row r="81" spans="2:3">
      <c r="B81" s="312" t="s">
        <v>1512</v>
      </c>
      <c r="C81" s="280"/>
    </row>
    <row r="82" spans="2:3">
      <c r="B82" s="315" t="s">
        <v>1513</v>
      </c>
      <c r="C82" s="317">
        <f ca="1">1-C83</f>
        <v>-3.400000000000003E-2</v>
      </c>
    </row>
    <row r="83" spans="2:3">
      <c r="B83" s="315" t="s">
        <v>1514</v>
      </c>
      <c r="C83" s="316">
        <f ca="1">ROUND(C13/C40,3)</f>
        <v>1.034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selection activeCell="L33" sqref="L33"/>
    </sheetView>
  </sheetViews>
  <sheetFormatPr defaultRowHeight="13.5"/>
  <cols>
    <col min="2" max="2" width="15.125" bestFit="1" customWidth="1"/>
    <col min="5" max="5" width="13" bestFit="1" customWidth="1"/>
    <col min="8" max="8" width="17.75" customWidth="1"/>
    <col min="9" max="9" width="23.875" bestFit="1" customWidth="1"/>
    <col min="10" max="10" width="11.125" customWidth="1"/>
  </cols>
  <sheetData>
    <row r="1" spans="1:12">
      <c r="A1" s="3021" t="s">
        <v>3173</v>
      </c>
      <c r="H1" s="3021" t="s">
        <v>3216</v>
      </c>
      <c r="I1" s="3021" t="s">
        <v>3217</v>
      </c>
      <c r="J1">
        <v>105228.67</v>
      </c>
      <c r="K1" s="3021" t="s">
        <v>3224</v>
      </c>
      <c r="L1">
        <v>16953.97</v>
      </c>
    </row>
    <row r="2" spans="1:12">
      <c r="B2" s="3021" t="s">
        <v>3181</v>
      </c>
      <c r="I2" s="3021" t="s">
        <v>3218</v>
      </c>
      <c r="J2">
        <v>50</v>
      </c>
    </row>
    <row r="3" spans="1:12">
      <c r="B3" s="3021" t="s">
        <v>3178</v>
      </c>
      <c r="D3" s="3021" t="s">
        <v>3178</v>
      </c>
      <c r="I3" s="3021" t="s">
        <v>3219</v>
      </c>
      <c r="J3">
        <v>616</v>
      </c>
    </row>
    <row r="4" spans="1:12">
      <c r="A4" s="3021" t="s">
        <v>3174</v>
      </c>
      <c r="B4">
        <v>3614.68</v>
      </c>
      <c r="C4" s="3021" t="s">
        <v>3179</v>
      </c>
      <c r="D4">
        <v>9322.7000000000007</v>
      </c>
      <c r="I4" s="3021" t="s">
        <v>3220</v>
      </c>
      <c r="J4">
        <v>462</v>
      </c>
    </row>
    <row r="5" spans="1:12">
      <c r="A5" s="3021" t="s">
        <v>3175</v>
      </c>
      <c r="B5">
        <v>1282.29</v>
      </c>
      <c r="C5" s="3021" t="s">
        <v>3180</v>
      </c>
      <c r="D5">
        <v>3052.99</v>
      </c>
      <c r="I5" s="3021" t="s">
        <v>3221</v>
      </c>
      <c r="J5">
        <v>9630</v>
      </c>
    </row>
    <row r="6" spans="1:12">
      <c r="A6" s="3021" t="s">
        <v>3176</v>
      </c>
      <c r="B6">
        <v>2079.27</v>
      </c>
      <c r="C6" s="3021" t="s">
        <v>3242</v>
      </c>
      <c r="D6">
        <f>SUM(D4:D5)</f>
        <v>12375.69</v>
      </c>
      <c r="I6" s="3021" t="s">
        <v>3226</v>
      </c>
      <c r="J6">
        <v>1096</v>
      </c>
    </row>
    <row r="7" spans="1:12">
      <c r="A7" s="3021" t="s">
        <v>3177</v>
      </c>
      <c r="B7">
        <f>B4+B5+B6</f>
        <v>6976.24</v>
      </c>
      <c r="I7" s="3021" t="s">
        <v>3223</v>
      </c>
      <c r="J7">
        <v>2197.34</v>
      </c>
    </row>
    <row r="8" spans="1:12">
      <c r="B8" s="3021" t="s">
        <v>3182</v>
      </c>
      <c r="H8" s="3021" t="s">
        <v>3215</v>
      </c>
    </row>
    <row r="9" spans="1:12">
      <c r="C9" s="3021" t="s">
        <v>3186</v>
      </c>
      <c r="I9" s="3021" t="s">
        <v>3231</v>
      </c>
    </row>
    <row r="10" spans="1:12">
      <c r="A10" s="3021" t="s">
        <v>3185</v>
      </c>
      <c r="B10" s="3021" t="s">
        <v>3183</v>
      </c>
      <c r="C10">
        <v>5607.24</v>
      </c>
      <c r="E10" s="3021" t="s">
        <v>3195</v>
      </c>
      <c r="F10">
        <f>C10+C13+C16+C20+C24+C27+C30+C33+C36+C39+C42+C44+C46</f>
        <v>46364.71</v>
      </c>
      <c r="H10" s="3021" t="s">
        <v>3222</v>
      </c>
      <c r="I10">
        <f>[2]Sheet3!$I$10</f>
        <v>49166.119999999995</v>
      </c>
    </row>
    <row r="11" spans="1:12">
      <c r="B11" s="3021" t="s">
        <v>3184</v>
      </c>
      <c r="C11">
        <v>474.42</v>
      </c>
      <c r="E11" s="3021" t="s">
        <v>3227</v>
      </c>
      <c r="F11">
        <f>C11+C14</f>
        <v>998.73</v>
      </c>
      <c r="H11" s="3021" t="s">
        <v>3228</v>
      </c>
      <c r="I11">
        <f>[2]Sheet3!$I$11</f>
        <v>457.04</v>
      </c>
    </row>
    <row r="12" spans="1:12">
      <c r="B12" s="3021" t="s">
        <v>3189</v>
      </c>
      <c r="C12">
        <f>SUM(C10:C11)</f>
        <v>6081.66</v>
      </c>
      <c r="E12" s="3021" t="s">
        <v>3211</v>
      </c>
      <c r="F12">
        <f>C17+C21+C25+C28+C31+C34+C37+C40</f>
        <v>3739.91</v>
      </c>
      <c r="H12" s="3021" t="s">
        <v>3229</v>
      </c>
      <c r="I12">
        <f>[2]Sheet3!$I$12</f>
        <v>50</v>
      </c>
    </row>
    <row r="13" spans="1:12">
      <c r="A13" s="3021" t="s">
        <v>3187</v>
      </c>
      <c r="B13" s="3021" t="s">
        <v>3183</v>
      </c>
      <c r="C13">
        <v>6078.22</v>
      </c>
      <c r="E13" s="3021" t="s">
        <v>3212</v>
      </c>
      <c r="F13">
        <f>C18+C22</f>
        <v>604.78</v>
      </c>
      <c r="H13" s="3021" t="s">
        <v>3225</v>
      </c>
      <c r="I13">
        <f>[2]Sheet3!$I$13</f>
        <v>9125.51</v>
      </c>
    </row>
    <row r="14" spans="1:12">
      <c r="B14" s="3021" t="s">
        <v>3184</v>
      </c>
      <c r="C14">
        <v>524.30999999999995</v>
      </c>
      <c r="E14" s="3021" t="s">
        <v>3213</v>
      </c>
      <c r="F14">
        <f>C48+C51+C54</f>
        <v>9302.4</v>
      </c>
      <c r="H14" s="3021" t="s">
        <v>3230</v>
      </c>
      <c r="I14">
        <f>[2]Sheet3!$I$14</f>
        <v>5366.96</v>
      </c>
    </row>
    <row r="15" spans="1:12">
      <c r="B15" s="3021" t="s">
        <v>3190</v>
      </c>
      <c r="C15">
        <f>SUM(C13:C14)</f>
        <v>6602.5300000000007</v>
      </c>
      <c r="E15" s="3021" t="s">
        <v>3214</v>
      </c>
      <c r="F15">
        <f>C49+C52</f>
        <v>715.41</v>
      </c>
      <c r="H15" s="3021" t="s">
        <v>3243</v>
      </c>
      <c r="I15">
        <f>SUM(I10:I14)</f>
        <v>64165.63</v>
      </c>
    </row>
    <row r="16" spans="1:12">
      <c r="A16" s="3021" t="s">
        <v>3188</v>
      </c>
      <c r="B16" s="3021" t="s">
        <v>3183</v>
      </c>
      <c r="C16">
        <v>4508.68</v>
      </c>
      <c r="E16" s="3021" t="s">
        <v>3243</v>
      </c>
      <c r="F16">
        <f>SUM(F10:F15)</f>
        <v>61725.94000000001</v>
      </c>
    </row>
    <row r="17" spans="1:11">
      <c r="B17" s="3021" t="s">
        <v>3184</v>
      </c>
      <c r="C17">
        <v>422.16</v>
      </c>
    </row>
    <row r="18" spans="1:11">
      <c r="B18" s="3021" t="s">
        <v>3191</v>
      </c>
      <c r="C18">
        <v>163.82</v>
      </c>
      <c r="G18" s="3021" t="s">
        <v>3233</v>
      </c>
    </row>
    <row r="19" spans="1:11" ht="20.25">
      <c r="B19" s="3021" t="s">
        <v>3192</v>
      </c>
      <c r="C19">
        <f>SUM(C16:C18)</f>
        <v>5094.66</v>
      </c>
      <c r="G19" s="3022">
        <v>1</v>
      </c>
      <c r="H19" s="3022">
        <v>8</v>
      </c>
      <c r="I19" s="3022">
        <v>313.74</v>
      </c>
    </row>
    <row r="20" spans="1:11" ht="20.25">
      <c r="A20" s="3021" t="s">
        <v>3193</v>
      </c>
      <c r="B20" s="3021" t="s">
        <v>3183</v>
      </c>
      <c r="C20">
        <v>3887.58</v>
      </c>
      <c r="E20">
        <f>'数据-基础表'!AN16</f>
        <v>10360.009999999987</v>
      </c>
      <c r="G20" s="3022">
        <v>2</v>
      </c>
      <c r="H20" s="3022">
        <v>9</v>
      </c>
      <c r="I20" s="3022">
        <v>424.85</v>
      </c>
    </row>
    <row r="21" spans="1:11" ht="20.25">
      <c r="B21" s="3021" t="s">
        <v>3184</v>
      </c>
      <c r="C21">
        <v>155.38999999999999</v>
      </c>
      <c r="G21" s="3022">
        <v>3</v>
      </c>
      <c r="H21" s="3022">
        <v>24</v>
      </c>
      <c r="I21" s="3022">
        <v>424.85</v>
      </c>
    </row>
    <row r="22" spans="1:11" ht="20.25">
      <c r="B22" s="3021" t="s">
        <v>3191</v>
      </c>
      <c r="C22">
        <v>440.96</v>
      </c>
      <c r="G22" s="3022">
        <v>4</v>
      </c>
      <c r="H22" s="3022">
        <v>28</v>
      </c>
      <c r="I22" s="3022">
        <v>343.86</v>
      </c>
    </row>
    <row r="23" spans="1:11" ht="20.25">
      <c r="B23" s="3021" t="s">
        <v>3192</v>
      </c>
      <c r="C23">
        <f>SUM(C20:C22)</f>
        <v>4483.9299999999994</v>
      </c>
      <c r="G23" s="3022">
        <v>5</v>
      </c>
      <c r="H23" s="3022">
        <v>36</v>
      </c>
      <c r="I23" s="3022">
        <v>315.01</v>
      </c>
    </row>
    <row r="24" spans="1:11" ht="20.25">
      <c r="A24" s="3021" t="s">
        <v>3194</v>
      </c>
      <c r="B24" s="3021" t="s">
        <v>3195</v>
      </c>
      <c r="C24">
        <v>3842.75</v>
      </c>
      <c r="G24" s="3022">
        <v>6</v>
      </c>
      <c r="H24" s="3022">
        <v>40</v>
      </c>
      <c r="I24" s="3022">
        <v>313.74</v>
      </c>
    </row>
    <row r="25" spans="1:11" ht="20.25">
      <c r="B25" s="3021" t="s">
        <v>3196</v>
      </c>
      <c r="C25">
        <v>552.17999999999995</v>
      </c>
      <c r="G25" s="3022">
        <v>7</v>
      </c>
      <c r="H25" s="3022">
        <v>46</v>
      </c>
      <c r="I25" s="3022">
        <v>424.85</v>
      </c>
    </row>
    <row r="26" spans="1:11" ht="20.25">
      <c r="B26" s="3021" t="s">
        <v>3190</v>
      </c>
      <c r="C26">
        <f>SUM(C24:C25)</f>
        <v>4394.93</v>
      </c>
      <c r="G26" s="3022">
        <v>8</v>
      </c>
      <c r="H26" s="3022">
        <v>47</v>
      </c>
      <c r="I26" s="3022">
        <v>424.85</v>
      </c>
    </row>
    <row r="27" spans="1:11" ht="20.25">
      <c r="A27" s="3021" t="s">
        <v>3197</v>
      </c>
      <c r="B27" s="3021" t="s">
        <v>3195</v>
      </c>
      <c r="C27">
        <v>3490.14</v>
      </c>
      <c r="G27" s="3022">
        <v>9</v>
      </c>
      <c r="H27" s="3022">
        <v>49</v>
      </c>
      <c r="I27" s="3022">
        <v>312.85000000000002</v>
      </c>
    </row>
    <row r="28" spans="1:11" ht="20.25">
      <c r="B28" s="3021" t="s">
        <v>3196</v>
      </c>
      <c r="C28">
        <v>510.95</v>
      </c>
      <c r="G28" s="3022">
        <v>10</v>
      </c>
      <c r="H28" s="3022">
        <v>50</v>
      </c>
      <c r="I28" s="3022">
        <v>316.08</v>
      </c>
    </row>
    <row r="29" spans="1:11" ht="20.25">
      <c r="B29" s="3021" t="s">
        <v>3190</v>
      </c>
      <c r="C29">
        <f>SUM(C27:C28)</f>
        <v>4001.0899999999997</v>
      </c>
      <c r="G29" s="3023" t="s">
        <v>3232</v>
      </c>
      <c r="H29" s="3023"/>
      <c r="I29" s="3023">
        <f>SUM(I19:I28)</f>
        <v>3614.68</v>
      </c>
    </row>
    <row r="30" spans="1:11">
      <c r="A30" s="3021" t="s">
        <v>3198</v>
      </c>
      <c r="B30" s="3021" t="s">
        <v>3195</v>
      </c>
      <c r="C30">
        <v>2975.54</v>
      </c>
    </row>
    <row r="31" spans="1:11" ht="15" thickBot="1">
      <c r="B31" s="3021" t="s">
        <v>3196</v>
      </c>
      <c r="C31">
        <v>528.28</v>
      </c>
      <c r="G31" s="3399" t="s">
        <v>3442</v>
      </c>
      <c r="H31" s="3399"/>
      <c r="I31" s="3399"/>
      <c r="J31" s="3399"/>
      <c r="K31" s="3399"/>
    </row>
    <row r="32" spans="1:11" ht="45" thickBot="1">
      <c r="B32" s="3021" t="s">
        <v>3190</v>
      </c>
      <c r="C32">
        <f>SUM(C30:C31)</f>
        <v>3503.8199999999997</v>
      </c>
      <c r="G32" s="3041" t="s">
        <v>3443</v>
      </c>
      <c r="H32" s="3042" t="s">
        <v>3444</v>
      </c>
      <c r="I32" s="3042" t="s">
        <v>3445</v>
      </c>
      <c r="J32" s="3042" t="s">
        <v>1375</v>
      </c>
      <c r="K32" s="3043" t="s">
        <v>3446</v>
      </c>
    </row>
    <row r="33" spans="1:12" ht="15.75" thickBot="1">
      <c r="A33" s="3021" t="s">
        <v>3199</v>
      </c>
      <c r="B33" s="3021" t="s">
        <v>3195</v>
      </c>
      <c r="C33">
        <v>3437.82</v>
      </c>
      <c r="G33" s="3044">
        <v>1</v>
      </c>
      <c r="H33" s="3045">
        <v>1</v>
      </c>
      <c r="I33" s="3046" t="s">
        <v>3447</v>
      </c>
      <c r="J33" s="3046" t="s">
        <v>1377</v>
      </c>
      <c r="K33" s="3047">
        <v>48.29</v>
      </c>
      <c r="L33">
        <f>664.62/4</f>
        <v>166.155</v>
      </c>
    </row>
    <row r="34" spans="1:12" ht="15.75" thickBot="1">
      <c r="B34" s="3021" t="s">
        <v>3196</v>
      </c>
      <c r="C34">
        <v>598.20000000000005</v>
      </c>
      <c r="G34" s="3044">
        <v>2</v>
      </c>
      <c r="H34" s="3045">
        <v>1</v>
      </c>
      <c r="I34" s="3046" t="s">
        <v>3448</v>
      </c>
      <c r="J34" s="3046" t="s">
        <v>1377</v>
      </c>
      <c r="K34" s="3047">
        <v>107.21</v>
      </c>
    </row>
    <row r="35" spans="1:12" ht="15.75" thickBot="1">
      <c r="B35" s="3021" t="s">
        <v>3190</v>
      </c>
      <c r="C35">
        <f>SUM(C33:C34)</f>
        <v>4036.0200000000004</v>
      </c>
      <c r="G35" s="3044">
        <v>3</v>
      </c>
      <c r="H35" s="3045">
        <v>1</v>
      </c>
      <c r="I35" s="3046" t="s">
        <v>3449</v>
      </c>
      <c r="J35" s="3046" t="s">
        <v>1377</v>
      </c>
      <c r="K35" s="3047">
        <v>75.94</v>
      </c>
    </row>
    <row r="36" spans="1:12" ht="15.75" thickBot="1">
      <c r="A36" s="3021" t="s">
        <v>3200</v>
      </c>
      <c r="B36" s="3021" t="s">
        <v>3195</v>
      </c>
      <c r="C36">
        <v>3490.14</v>
      </c>
      <c r="G36" s="3044">
        <v>4</v>
      </c>
      <c r="H36" s="3045">
        <v>1</v>
      </c>
      <c r="I36" s="3046" t="s">
        <v>3450</v>
      </c>
      <c r="J36" s="3046" t="s">
        <v>1377</v>
      </c>
      <c r="K36" s="3047">
        <v>50.91</v>
      </c>
    </row>
    <row r="37" spans="1:12" ht="15.75" thickBot="1">
      <c r="B37" s="3021" t="s">
        <v>3196</v>
      </c>
      <c r="C37">
        <v>510.95</v>
      </c>
      <c r="G37" s="3044">
        <v>5</v>
      </c>
      <c r="H37" s="3045">
        <v>1</v>
      </c>
      <c r="I37" s="3046" t="s">
        <v>3451</v>
      </c>
      <c r="J37" s="3046" t="s">
        <v>1377</v>
      </c>
      <c r="K37" s="3047">
        <v>49.96</v>
      </c>
    </row>
    <row r="38" spans="1:12" ht="15.75" thickBot="1">
      <c r="B38" s="3021" t="s">
        <v>3190</v>
      </c>
      <c r="C38">
        <f>SUM(C36:C37)</f>
        <v>4001.0899999999997</v>
      </c>
      <c r="G38" s="3044">
        <v>6</v>
      </c>
      <c r="H38" s="3045">
        <v>1</v>
      </c>
      <c r="I38" s="3046" t="s">
        <v>3452</v>
      </c>
      <c r="J38" s="3046" t="s">
        <v>1377</v>
      </c>
      <c r="K38" s="3047">
        <v>49.96</v>
      </c>
    </row>
    <row r="39" spans="1:12" ht="15.75" thickBot="1">
      <c r="A39" s="3021" t="s">
        <v>3201</v>
      </c>
      <c r="B39" s="3021" t="s">
        <v>3195</v>
      </c>
      <c r="C39">
        <v>3036.28</v>
      </c>
      <c r="G39" s="3044">
        <v>7</v>
      </c>
      <c r="H39" s="3045">
        <v>1</v>
      </c>
      <c r="I39" s="3046" t="s">
        <v>3453</v>
      </c>
      <c r="J39" s="3046" t="s">
        <v>1377</v>
      </c>
      <c r="K39" s="3047">
        <v>50.91</v>
      </c>
    </row>
    <row r="40" spans="1:12" ht="15.75" thickBot="1">
      <c r="B40" s="3021" t="s">
        <v>3196</v>
      </c>
      <c r="C40">
        <v>461.8</v>
      </c>
      <c r="G40" s="3044">
        <v>8</v>
      </c>
      <c r="H40" s="3045">
        <v>1</v>
      </c>
      <c r="I40" s="3046" t="s">
        <v>3454</v>
      </c>
      <c r="J40" s="3046" t="s">
        <v>1377</v>
      </c>
      <c r="K40" s="3047">
        <v>75.94</v>
      </c>
    </row>
    <row r="41" spans="1:12" ht="15.75" thickBot="1">
      <c r="B41" s="3021" t="s">
        <v>3190</v>
      </c>
      <c r="C41">
        <f>SUM(C39:C40)</f>
        <v>3498.0800000000004</v>
      </c>
      <c r="G41" s="3044">
        <v>9</v>
      </c>
      <c r="H41" s="3045">
        <v>1</v>
      </c>
      <c r="I41" s="3046" t="s">
        <v>3455</v>
      </c>
      <c r="J41" s="3046" t="s">
        <v>1377</v>
      </c>
      <c r="K41" s="3047">
        <v>107.21</v>
      </c>
    </row>
    <row r="42" spans="1:12" ht="15.75" thickBot="1">
      <c r="A42" s="3021" t="s">
        <v>3202</v>
      </c>
      <c r="B42" s="3021" t="s">
        <v>3203</v>
      </c>
      <c r="C42">
        <v>2424.79</v>
      </c>
      <c r="G42" s="3044">
        <v>10</v>
      </c>
      <c r="H42" s="3045">
        <v>1</v>
      </c>
      <c r="I42" s="3046" t="s">
        <v>3456</v>
      </c>
      <c r="J42" s="3046" t="s">
        <v>1377</v>
      </c>
      <c r="K42" s="3047">
        <v>48.29</v>
      </c>
    </row>
    <row r="43" spans="1:12" ht="15.75" thickBot="1">
      <c r="B43" s="3021" t="s">
        <v>3190</v>
      </c>
      <c r="C43">
        <v>2424.79</v>
      </c>
      <c r="G43" s="3044">
        <v>11</v>
      </c>
      <c r="H43" s="3045">
        <v>2</v>
      </c>
      <c r="I43" s="3046" t="s">
        <v>3457</v>
      </c>
      <c r="J43" s="3046" t="s">
        <v>1377</v>
      </c>
      <c r="K43" s="3047">
        <v>44.96</v>
      </c>
    </row>
    <row r="44" spans="1:12" ht="15.75" thickBot="1">
      <c r="A44" s="3021" t="s">
        <v>3204</v>
      </c>
      <c r="B44" s="3021" t="s">
        <v>3203</v>
      </c>
      <c r="C44">
        <v>1792.77</v>
      </c>
      <c r="G44" s="3044">
        <v>12</v>
      </c>
      <c r="H44" s="3045">
        <v>2</v>
      </c>
      <c r="I44" s="3046" t="s">
        <v>3458</v>
      </c>
      <c r="J44" s="3046" t="s">
        <v>1377</v>
      </c>
      <c r="K44" s="3047">
        <v>99.82</v>
      </c>
    </row>
    <row r="45" spans="1:12" ht="15.75" thickBot="1">
      <c r="B45" s="3021" t="s">
        <v>3190</v>
      </c>
      <c r="C45">
        <v>1792.77</v>
      </c>
      <c r="G45" s="3044">
        <v>13</v>
      </c>
      <c r="H45" s="3045">
        <v>2</v>
      </c>
      <c r="I45" s="3046" t="s">
        <v>3459</v>
      </c>
      <c r="J45" s="3046" t="s">
        <v>1377</v>
      </c>
      <c r="K45" s="3047">
        <v>70.709999999999994</v>
      </c>
    </row>
    <row r="46" spans="1:12" ht="15.75" thickBot="1">
      <c r="A46" s="3021" t="s">
        <v>3205</v>
      </c>
      <c r="B46" s="3021" t="s">
        <v>3203</v>
      </c>
      <c r="C46">
        <v>1792.76</v>
      </c>
      <c r="G46" s="3044">
        <v>14</v>
      </c>
      <c r="H46" s="3045">
        <v>2</v>
      </c>
      <c r="I46" s="3046" t="s">
        <v>3460</v>
      </c>
      <c r="J46" s="3046" t="s">
        <v>1377</v>
      </c>
      <c r="K46" s="3047">
        <v>47.4</v>
      </c>
    </row>
    <row r="47" spans="1:12" ht="15.75" thickBot="1">
      <c r="B47" s="3021" t="s">
        <v>3190</v>
      </c>
      <c r="C47">
        <v>1792.76</v>
      </c>
      <c r="G47" s="3044">
        <v>15</v>
      </c>
      <c r="H47" s="3045">
        <v>2</v>
      </c>
      <c r="I47" s="3046" t="s">
        <v>3461</v>
      </c>
      <c r="J47" s="3046" t="s">
        <v>1377</v>
      </c>
      <c r="K47" s="3047">
        <v>46.52</v>
      </c>
    </row>
    <row r="48" spans="1:12" ht="15.75" thickBot="1">
      <c r="A48" s="3021" t="s">
        <v>3206</v>
      </c>
      <c r="B48" s="3021" t="s">
        <v>3207</v>
      </c>
      <c r="C48">
        <v>1742.4</v>
      </c>
      <c r="G48" s="3044">
        <v>16</v>
      </c>
      <c r="H48" s="3045">
        <v>3</v>
      </c>
      <c r="I48" s="3046" t="s">
        <v>3462</v>
      </c>
      <c r="J48" s="3046" t="s">
        <v>1377</v>
      </c>
      <c r="K48" s="3047">
        <v>46.34</v>
      </c>
    </row>
    <row r="49" spans="1:11" ht="15.75" thickBot="1">
      <c r="B49" s="3021" t="s">
        <v>3208</v>
      </c>
      <c r="C49">
        <v>472.43</v>
      </c>
      <c r="G49" s="3044">
        <v>17</v>
      </c>
      <c r="H49" s="3045">
        <v>3</v>
      </c>
      <c r="I49" s="3046" t="s">
        <v>3463</v>
      </c>
      <c r="J49" s="3046" t="s">
        <v>1377</v>
      </c>
      <c r="K49" s="3047">
        <v>47.22</v>
      </c>
    </row>
    <row r="50" spans="1:11" ht="15.75" thickBot="1">
      <c r="B50" s="3021" t="s">
        <v>3192</v>
      </c>
      <c r="C50">
        <f>C48+C49</f>
        <v>2214.83</v>
      </c>
      <c r="G50" s="3044">
        <v>18</v>
      </c>
      <c r="H50" s="3045">
        <v>3</v>
      </c>
      <c r="I50" s="3046" t="s">
        <v>3464</v>
      </c>
      <c r="J50" s="3046" t="s">
        <v>1377</v>
      </c>
      <c r="K50" s="3047">
        <v>70.45</v>
      </c>
    </row>
    <row r="51" spans="1:11" ht="15.75" thickBot="1">
      <c r="A51" s="3021" t="s">
        <v>3209</v>
      </c>
      <c r="B51" s="3021" t="s">
        <v>3207</v>
      </c>
      <c r="C51">
        <v>3800</v>
      </c>
      <c r="G51" s="3044">
        <v>19</v>
      </c>
      <c r="H51" s="3045">
        <v>3</v>
      </c>
      <c r="I51" s="3046" t="s">
        <v>3465</v>
      </c>
      <c r="J51" s="3046" t="s">
        <v>1377</v>
      </c>
      <c r="K51" s="3047">
        <v>99.45</v>
      </c>
    </row>
    <row r="52" spans="1:11" ht="15.75" thickBot="1">
      <c r="B52" s="3021" t="s">
        <v>3208</v>
      </c>
      <c r="C52">
        <v>242.98</v>
      </c>
      <c r="G52" s="3044">
        <v>20</v>
      </c>
      <c r="H52" s="3045">
        <v>3</v>
      </c>
      <c r="I52" s="3046" t="s">
        <v>3466</v>
      </c>
      <c r="J52" s="3046" t="s">
        <v>1377</v>
      </c>
      <c r="K52" s="3047">
        <v>44.8</v>
      </c>
    </row>
    <row r="53" spans="1:11" ht="14.25" thickBot="1">
      <c r="B53" s="3021" t="s">
        <v>3192</v>
      </c>
      <c r="C53">
        <f>C51+C52</f>
        <v>4042.98</v>
      </c>
      <c r="G53" s="3400" t="s">
        <v>37</v>
      </c>
      <c r="H53" s="3400"/>
      <c r="I53" s="3400"/>
      <c r="J53" s="3046"/>
      <c r="K53" s="3048">
        <v>1282.29</v>
      </c>
    </row>
    <row r="54" spans="1:11">
      <c r="A54" s="3021" t="s">
        <v>3210</v>
      </c>
      <c r="B54" s="3021" t="s">
        <v>3207</v>
      </c>
      <c r="C54">
        <v>3760</v>
      </c>
    </row>
    <row r="55" spans="1:11">
      <c r="B55" s="3021" t="s">
        <v>3190</v>
      </c>
      <c r="C55">
        <v>3760</v>
      </c>
    </row>
  </sheetData>
  <mergeCells count="2">
    <mergeCell ref="G31:K31"/>
    <mergeCell ref="G53:I53"/>
  </mergeCells>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workbookViewId="0">
      <selection activeCell="K37" sqref="K37"/>
    </sheetView>
  </sheetViews>
  <sheetFormatPr defaultRowHeight="13.5"/>
  <cols>
    <col min="8" max="8" width="11.625" bestFit="1" customWidth="1"/>
    <col min="9" max="9" width="10.125" customWidth="1"/>
    <col min="11" max="11" width="18.5" bestFit="1" customWidth="1"/>
  </cols>
  <sheetData>
    <row r="1" spans="1:22">
      <c r="A1" s="1630" t="s">
        <v>3275</v>
      </c>
      <c r="B1" s="1630" t="s">
        <v>3276</v>
      </c>
      <c r="C1" s="1630" t="s">
        <v>3277</v>
      </c>
      <c r="D1" s="1630" t="s">
        <v>3278</v>
      </c>
      <c r="E1" s="1630" t="s">
        <v>3279</v>
      </c>
      <c r="F1" s="1630" t="s">
        <v>3280</v>
      </c>
      <c r="G1" s="1630" t="s">
        <v>3281</v>
      </c>
      <c r="H1" s="1630" t="s">
        <v>3282</v>
      </c>
      <c r="I1" s="1630" t="s">
        <v>3283</v>
      </c>
      <c r="J1" s="1630" t="s">
        <v>3284</v>
      </c>
      <c r="K1" s="1630" t="s">
        <v>3285</v>
      </c>
      <c r="L1" s="1630" t="s">
        <v>3286</v>
      </c>
      <c r="M1" s="1630" t="s">
        <v>3287</v>
      </c>
    </row>
    <row r="2" spans="1:22">
      <c r="A2" s="1630" t="s">
        <v>3288</v>
      </c>
      <c r="B2" s="1630" t="s">
        <v>3289</v>
      </c>
      <c r="C2" s="1630" t="s">
        <v>3290</v>
      </c>
      <c r="D2" s="1630">
        <v>13333</v>
      </c>
      <c r="E2" s="1630">
        <v>15999.6</v>
      </c>
      <c r="F2" s="1630" t="s">
        <v>3291</v>
      </c>
      <c r="G2" s="1630" t="s">
        <v>3292</v>
      </c>
      <c r="H2" s="1630" t="s">
        <v>3293</v>
      </c>
      <c r="I2" s="1630">
        <v>1320</v>
      </c>
      <c r="J2" s="1630">
        <v>1320</v>
      </c>
      <c r="K2" s="1630">
        <v>825.01</v>
      </c>
      <c r="L2" s="1630">
        <v>0</v>
      </c>
      <c r="M2" s="1630" t="s">
        <v>3294</v>
      </c>
    </row>
    <row r="3" spans="1:22">
      <c r="A3" s="1630" t="s">
        <v>3295</v>
      </c>
      <c r="B3" s="1630" t="s">
        <v>3289</v>
      </c>
      <c r="C3" s="1630" t="s">
        <v>3290</v>
      </c>
      <c r="D3" s="1630">
        <v>42958</v>
      </c>
      <c r="E3" s="1630">
        <v>64437</v>
      </c>
      <c r="F3" s="1630" t="s">
        <v>3296</v>
      </c>
      <c r="G3" s="1630" t="s">
        <v>3292</v>
      </c>
      <c r="H3" s="1630" t="s">
        <v>3293</v>
      </c>
      <c r="I3" s="1630">
        <v>3132</v>
      </c>
      <c r="J3" s="1630">
        <v>3162</v>
      </c>
      <c r="K3" s="1630">
        <v>490.7</v>
      </c>
      <c r="L3" s="1630">
        <v>0.96</v>
      </c>
      <c r="M3" s="1630" t="s">
        <v>3297</v>
      </c>
    </row>
    <row r="4" spans="1:22">
      <c r="A4" s="3025" t="s">
        <v>3298</v>
      </c>
      <c r="B4" s="3025" t="s">
        <v>3289</v>
      </c>
      <c r="C4" s="3025" t="s">
        <v>3290</v>
      </c>
      <c r="D4" s="3025">
        <v>6728</v>
      </c>
      <c r="E4" s="3025">
        <v>13456</v>
      </c>
      <c r="F4" s="3025" t="s">
        <v>3299</v>
      </c>
      <c r="G4" s="3025" t="s">
        <v>3292</v>
      </c>
      <c r="H4" s="3025" t="s">
        <v>3300</v>
      </c>
      <c r="I4" s="3025">
        <v>2168</v>
      </c>
      <c r="J4" s="3025">
        <v>2168</v>
      </c>
      <c r="K4" s="3025">
        <v>1611.18</v>
      </c>
      <c r="L4" s="3025">
        <v>0</v>
      </c>
      <c r="M4" s="3025" t="s">
        <v>3301</v>
      </c>
      <c r="N4" s="3026"/>
      <c r="O4" s="3026"/>
      <c r="P4" s="3026"/>
      <c r="Q4" s="3026"/>
      <c r="R4" s="3026"/>
      <c r="S4" s="3026"/>
      <c r="T4" s="3026"/>
      <c r="U4" s="3026"/>
      <c r="V4" s="3026"/>
    </row>
    <row r="5" spans="1:22">
      <c r="A5" s="1630" t="s">
        <v>3302</v>
      </c>
      <c r="B5" s="1630" t="s">
        <v>3289</v>
      </c>
      <c r="C5" s="1630" t="s">
        <v>3290</v>
      </c>
      <c r="D5" s="1630">
        <v>29041</v>
      </c>
      <c r="E5" s="1630">
        <v>52273.8</v>
      </c>
      <c r="F5" s="1630" t="s">
        <v>3303</v>
      </c>
      <c r="G5" s="1630" t="s">
        <v>3292</v>
      </c>
      <c r="H5" s="1630" t="s">
        <v>3300</v>
      </c>
      <c r="I5" s="1630">
        <v>6090</v>
      </c>
      <c r="J5" s="1630">
        <v>17970</v>
      </c>
      <c r="K5" s="1630">
        <v>3437.67</v>
      </c>
      <c r="L5" s="1630">
        <v>195.07</v>
      </c>
      <c r="M5" s="1630" t="s">
        <v>3304</v>
      </c>
    </row>
    <row r="6" spans="1:22">
      <c r="A6" s="3027" t="s">
        <v>3305</v>
      </c>
      <c r="B6" s="3027" t="s">
        <v>3289</v>
      </c>
      <c r="C6" s="3027" t="s">
        <v>3290</v>
      </c>
      <c r="D6" s="3027">
        <v>1526</v>
      </c>
      <c r="E6" s="3027">
        <v>2289</v>
      </c>
      <c r="F6" s="3027" t="s">
        <v>3296</v>
      </c>
      <c r="G6" s="3027" t="s">
        <v>3292</v>
      </c>
      <c r="H6" s="3027" t="s">
        <v>3300</v>
      </c>
      <c r="I6" s="3027">
        <v>286</v>
      </c>
      <c r="J6" s="3027">
        <v>286</v>
      </c>
      <c r="K6" s="3027">
        <v>1249.45</v>
      </c>
      <c r="L6" s="3027">
        <v>0</v>
      </c>
      <c r="M6" s="3027" t="s">
        <v>3306</v>
      </c>
      <c r="N6" s="3028"/>
      <c r="O6" s="3028"/>
      <c r="P6" s="3028"/>
      <c r="Q6" s="3028"/>
      <c r="R6" s="3028"/>
      <c r="S6" s="3028"/>
      <c r="T6" s="3028"/>
      <c r="U6" s="3028"/>
      <c r="V6" s="3028"/>
    </row>
    <row r="7" spans="1:22">
      <c r="A7" s="3029" t="s">
        <v>3305</v>
      </c>
      <c r="B7" s="3029" t="s">
        <v>3289</v>
      </c>
      <c r="C7" s="3029" t="s">
        <v>3290</v>
      </c>
      <c r="D7" s="3029">
        <v>8484</v>
      </c>
      <c r="E7" s="3029">
        <v>25452</v>
      </c>
      <c r="F7" s="3029" t="s">
        <v>3307</v>
      </c>
      <c r="G7" s="3029" t="s">
        <v>3292</v>
      </c>
      <c r="H7" s="3029" t="s">
        <v>3300</v>
      </c>
      <c r="I7" s="3029">
        <v>2158</v>
      </c>
      <c r="J7" s="3029">
        <v>5638</v>
      </c>
      <c r="K7" s="3029">
        <v>2215.15</v>
      </c>
      <c r="L7" s="3029">
        <v>161.26</v>
      </c>
      <c r="M7" s="3029" t="s">
        <v>3306</v>
      </c>
      <c r="N7" s="3030"/>
      <c r="O7" s="3030"/>
      <c r="P7" s="3030"/>
      <c r="Q7" s="3030"/>
      <c r="R7" s="3030"/>
      <c r="S7" s="3030"/>
      <c r="T7" s="3030"/>
      <c r="U7" s="3030"/>
      <c r="V7" s="3030"/>
    </row>
    <row r="8" spans="1:22">
      <c r="A8" s="3027" t="s">
        <v>3308</v>
      </c>
      <c r="B8" s="3027" t="s">
        <v>3289</v>
      </c>
      <c r="C8" s="3027" t="s">
        <v>3290</v>
      </c>
      <c r="D8" s="3027">
        <v>30902</v>
      </c>
      <c r="E8" s="3027">
        <v>61804</v>
      </c>
      <c r="F8" s="3027" t="s">
        <v>3299</v>
      </c>
      <c r="G8" s="3027" t="s">
        <v>3292</v>
      </c>
      <c r="H8" s="3027" t="s">
        <v>3309</v>
      </c>
      <c r="I8" s="3027">
        <v>6524</v>
      </c>
      <c r="J8" s="3027">
        <v>6524</v>
      </c>
      <c r="K8" s="3027">
        <v>1055.5899999999999</v>
      </c>
      <c r="L8" s="3027">
        <v>0</v>
      </c>
      <c r="M8" s="3027" t="s">
        <v>3310</v>
      </c>
      <c r="N8" s="3028"/>
      <c r="O8" s="3028"/>
      <c r="P8" s="3028"/>
      <c r="Q8" s="3028"/>
      <c r="R8" s="3028"/>
      <c r="S8" s="3028"/>
      <c r="T8" s="3028"/>
      <c r="U8" s="3028"/>
      <c r="V8" s="3028"/>
    </row>
    <row r="9" spans="1:22">
      <c r="A9" s="1630" t="s">
        <v>3311</v>
      </c>
      <c r="B9" s="1630" t="s">
        <v>3289</v>
      </c>
      <c r="C9" s="1630" t="s">
        <v>3312</v>
      </c>
      <c r="D9" s="1630">
        <v>62949</v>
      </c>
      <c r="E9" s="1630">
        <v>88128.6</v>
      </c>
      <c r="F9" s="1630" t="s">
        <v>3313</v>
      </c>
      <c r="G9" s="1630" t="s">
        <v>3292</v>
      </c>
      <c r="H9" s="1630" t="s">
        <v>3309</v>
      </c>
      <c r="I9" s="1630">
        <v>3696</v>
      </c>
      <c r="J9" s="1630">
        <v>3696</v>
      </c>
      <c r="K9" s="1630">
        <v>419.38</v>
      </c>
      <c r="L9" s="1630">
        <v>0</v>
      </c>
      <c r="M9" s="1630" t="s">
        <v>3314</v>
      </c>
    </row>
    <row r="10" spans="1:22">
      <c r="A10" s="3029" t="s">
        <v>3315</v>
      </c>
      <c r="B10" s="3029" t="s">
        <v>3289</v>
      </c>
      <c r="C10" s="3029" t="s">
        <v>3290</v>
      </c>
      <c r="D10" s="3029">
        <v>10961</v>
      </c>
      <c r="E10" s="3029">
        <v>28498.6</v>
      </c>
      <c r="F10" s="3029" t="s">
        <v>3316</v>
      </c>
      <c r="G10" s="3029" t="s">
        <v>3292</v>
      </c>
      <c r="H10" s="3029" t="s">
        <v>3309</v>
      </c>
      <c r="I10" s="3029">
        <v>3501</v>
      </c>
      <c r="J10" s="3029">
        <v>8141</v>
      </c>
      <c r="K10" s="3029">
        <v>2856.63</v>
      </c>
      <c r="L10" s="3029">
        <v>132.53</v>
      </c>
      <c r="M10" s="3029" t="s">
        <v>3317</v>
      </c>
      <c r="N10" s="3030"/>
      <c r="O10" s="3030"/>
      <c r="P10" s="3030"/>
      <c r="Q10" s="3030"/>
      <c r="R10" s="3030"/>
      <c r="S10" s="3030"/>
      <c r="T10" s="3030"/>
      <c r="U10" s="3030"/>
      <c r="V10" s="3030"/>
    </row>
    <row r="11" spans="1:22">
      <c r="A11" s="1630" t="s">
        <v>3318</v>
      </c>
      <c r="B11" s="1630" t="s">
        <v>3289</v>
      </c>
      <c r="C11" s="1630" t="s">
        <v>3312</v>
      </c>
      <c r="D11" s="1630">
        <v>79891</v>
      </c>
      <c r="E11" s="1630">
        <v>143803.79999999999</v>
      </c>
      <c r="F11" s="1630" t="s">
        <v>3319</v>
      </c>
      <c r="G11" s="1630" t="s">
        <v>3292</v>
      </c>
      <c r="H11" s="1630" t="s">
        <v>3309</v>
      </c>
      <c r="I11" s="1630">
        <v>6024</v>
      </c>
      <c r="J11" s="1630">
        <v>6024</v>
      </c>
      <c r="K11" s="1630">
        <v>418.89</v>
      </c>
      <c r="L11" s="1630">
        <v>0</v>
      </c>
      <c r="M11" s="1630" t="s">
        <v>3314</v>
      </c>
    </row>
    <row r="12" spans="1:22">
      <c r="A12" s="1630" t="s">
        <v>3320</v>
      </c>
      <c r="B12" s="1630" t="s">
        <v>3289</v>
      </c>
      <c r="C12" s="1630" t="s">
        <v>3312</v>
      </c>
      <c r="D12" s="1630">
        <v>95414</v>
      </c>
      <c r="E12" s="1630">
        <v>143121</v>
      </c>
      <c r="F12" s="1630" t="s">
        <v>3321</v>
      </c>
      <c r="G12" s="1630" t="s">
        <v>3292</v>
      </c>
      <c r="H12" s="1630" t="s">
        <v>3309</v>
      </c>
      <c r="I12" s="1630" t="s">
        <v>1331</v>
      </c>
      <c r="J12" s="1630">
        <v>5802</v>
      </c>
      <c r="K12" s="1630">
        <v>405.38</v>
      </c>
      <c r="L12" s="1630" t="s">
        <v>1331</v>
      </c>
      <c r="M12" s="1630" t="s">
        <v>3314</v>
      </c>
    </row>
    <row r="13" spans="1:22">
      <c r="A13" s="3029" t="s">
        <v>3322</v>
      </c>
      <c r="B13" s="3029" t="s">
        <v>3289</v>
      </c>
      <c r="C13" s="3029" t="s">
        <v>3312</v>
      </c>
      <c r="D13" s="3029">
        <v>63085</v>
      </c>
      <c r="E13" s="3029">
        <v>189255</v>
      </c>
      <c r="F13" s="3029" t="s">
        <v>3323</v>
      </c>
      <c r="G13" s="3029" t="s">
        <v>3292</v>
      </c>
      <c r="H13" s="3029" t="s">
        <v>3309</v>
      </c>
      <c r="I13" s="3029">
        <v>23531</v>
      </c>
      <c r="J13" s="3029">
        <v>46131</v>
      </c>
      <c r="K13" s="3029">
        <v>2437.5</v>
      </c>
      <c r="L13" s="3029">
        <v>96.04</v>
      </c>
      <c r="M13" s="3029" t="s">
        <v>3324</v>
      </c>
      <c r="N13" s="3030"/>
      <c r="O13" s="3030"/>
      <c r="P13" s="3030"/>
      <c r="Q13" s="3030"/>
      <c r="R13" s="3030"/>
      <c r="S13" s="3030"/>
      <c r="T13" s="3030"/>
      <c r="U13" s="3030"/>
      <c r="V13" s="3030"/>
    </row>
    <row r="14" spans="1:22">
      <c r="A14" s="1630" t="s">
        <v>3325</v>
      </c>
      <c r="B14" s="1630" t="s">
        <v>3289</v>
      </c>
      <c r="C14" s="1630" t="s">
        <v>3312</v>
      </c>
      <c r="D14" s="1630">
        <v>98397</v>
      </c>
      <c r="E14" s="1630">
        <v>295191</v>
      </c>
      <c r="F14" s="1630" t="s">
        <v>3323</v>
      </c>
      <c r="G14" s="1630" t="s">
        <v>3292</v>
      </c>
      <c r="H14" s="1630" t="s">
        <v>3309</v>
      </c>
      <c r="I14" s="1630">
        <v>43985</v>
      </c>
      <c r="J14" s="1630">
        <v>99785</v>
      </c>
      <c r="K14" s="1630">
        <v>3380.34</v>
      </c>
      <c r="L14" s="1630">
        <v>126.86</v>
      </c>
      <c r="M14" s="1630" t="s">
        <v>3326</v>
      </c>
    </row>
    <row r="15" spans="1:22">
      <c r="A15" s="1630" t="s">
        <v>3327</v>
      </c>
      <c r="B15" s="1630" t="s">
        <v>3289</v>
      </c>
      <c r="C15" s="1630" t="s">
        <v>3290</v>
      </c>
      <c r="D15" s="1630">
        <v>87730</v>
      </c>
      <c r="E15" s="1630">
        <v>157914</v>
      </c>
      <c r="F15" s="1630" t="s">
        <v>3319</v>
      </c>
      <c r="G15" s="1630" t="s">
        <v>3292</v>
      </c>
      <c r="H15" s="1630" t="s">
        <v>3309</v>
      </c>
      <c r="I15" s="1630">
        <v>5571</v>
      </c>
      <c r="J15" s="1630">
        <v>5571</v>
      </c>
      <c r="K15" s="1630">
        <v>352.79</v>
      </c>
      <c r="L15" s="1630">
        <v>0</v>
      </c>
      <c r="M15" s="1630" t="s">
        <v>3314</v>
      </c>
    </row>
    <row r="16" spans="1:22">
      <c r="A16" s="1630" t="s">
        <v>3328</v>
      </c>
      <c r="B16" s="1630" t="s">
        <v>3289</v>
      </c>
      <c r="C16" s="1630" t="s">
        <v>3290</v>
      </c>
      <c r="D16" s="1630">
        <v>6737</v>
      </c>
      <c r="E16" s="1630">
        <v>18863.599999999999</v>
      </c>
      <c r="F16" s="1630" t="s">
        <v>3329</v>
      </c>
      <c r="G16" s="1630" t="s">
        <v>3292</v>
      </c>
      <c r="H16" s="1630" t="s">
        <v>3309</v>
      </c>
      <c r="I16" s="1630">
        <v>1866</v>
      </c>
      <c r="J16" s="1630">
        <v>1866</v>
      </c>
      <c r="K16" s="1630">
        <v>989.21</v>
      </c>
      <c r="L16" s="1630">
        <v>0</v>
      </c>
      <c r="M16" s="1630" t="s">
        <v>3330</v>
      </c>
    </row>
    <row r="17" spans="1:22">
      <c r="A17" s="1630" t="s">
        <v>3331</v>
      </c>
      <c r="B17" s="1630" t="s">
        <v>3289</v>
      </c>
      <c r="C17" s="1630" t="s">
        <v>3290</v>
      </c>
      <c r="D17" s="1630">
        <v>13104</v>
      </c>
      <c r="E17" s="1630">
        <v>18345.599999999999</v>
      </c>
      <c r="F17" s="1630" t="s">
        <v>3313</v>
      </c>
      <c r="G17" s="1630" t="s">
        <v>3292</v>
      </c>
      <c r="H17" s="1630" t="s">
        <v>3309</v>
      </c>
      <c r="I17" s="1630">
        <v>758</v>
      </c>
      <c r="J17" s="1630">
        <v>758</v>
      </c>
      <c r="K17" s="1630">
        <v>413.18</v>
      </c>
      <c r="L17" s="1630">
        <v>0</v>
      </c>
      <c r="M17" s="1630" t="s">
        <v>3314</v>
      </c>
    </row>
    <row r="18" spans="1:22">
      <c r="A18" s="1630" t="s">
        <v>3332</v>
      </c>
      <c r="B18" s="1630" t="s">
        <v>3289</v>
      </c>
      <c r="C18" s="1630" t="s">
        <v>3290</v>
      </c>
      <c r="D18" s="1630">
        <v>13333</v>
      </c>
      <c r="E18" s="1630">
        <v>26666</v>
      </c>
      <c r="F18" s="1630" t="s">
        <v>3299</v>
      </c>
      <c r="G18" s="1630" t="s">
        <v>3292</v>
      </c>
      <c r="H18" s="1630" t="s">
        <v>3309</v>
      </c>
      <c r="I18" s="1630">
        <v>868</v>
      </c>
      <c r="J18" s="1630">
        <v>868</v>
      </c>
      <c r="K18" s="1630">
        <v>325.5</v>
      </c>
      <c r="L18" s="1630">
        <v>0</v>
      </c>
      <c r="M18" s="1630" t="s">
        <v>3333</v>
      </c>
    </row>
    <row r="19" spans="1:22">
      <c r="A19" s="1630" t="s">
        <v>3334</v>
      </c>
      <c r="B19" s="1630" t="s">
        <v>3289</v>
      </c>
      <c r="C19" s="1630" t="s">
        <v>3290</v>
      </c>
      <c r="D19" s="1630">
        <v>14119</v>
      </c>
      <c r="E19" s="1630">
        <v>19766.599999999999</v>
      </c>
      <c r="F19" s="1630" t="s">
        <v>3313</v>
      </c>
      <c r="G19" s="1630" t="s">
        <v>3292</v>
      </c>
      <c r="H19" s="1630" t="s">
        <v>3309</v>
      </c>
      <c r="I19" s="1630">
        <v>824</v>
      </c>
      <c r="J19" s="1630">
        <v>824</v>
      </c>
      <c r="K19" s="1630">
        <v>416.86</v>
      </c>
      <c r="L19" s="1630">
        <v>0</v>
      </c>
      <c r="M19" s="1630" t="s">
        <v>3314</v>
      </c>
    </row>
    <row r="20" spans="1:22">
      <c r="A20" s="3027" t="s">
        <v>3335</v>
      </c>
      <c r="B20" s="3027" t="s">
        <v>3289</v>
      </c>
      <c r="C20" s="3027" t="s">
        <v>3290</v>
      </c>
      <c r="D20" s="3027">
        <v>24495</v>
      </c>
      <c r="E20" s="3027">
        <v>53889</v>
      </c>
      <c r="F20" s="3027" t="s">
        <v>3336</v>
      </c>
      <c r="G20" s="3027" t="s">
        <v>3292</v>
      </c>
      <c r="H20" s="3027" t="s">
        <v>3309</v>
      </c>
      <c r="I20" s="3027">
        <v>3062</v>
      </c>
      <c r="J20" s="3027">
        <v>6032</v>
      </c>
      <c r="K20" s="3027">
        <v>1119.33</v>
      </c>
      <c r="L20" s="3027">
        <v>97</v>
      </c>
      <c r="M20" s="3027" t="s">
        <v>3337</v>
      </c>
      <c r="N20" s="3028"/>
      <c r="O20" s="3028"/>
      <c r="P20" s="3028"/>
      <c r="Q20" s="3028"/>
      <c r="R20" s="3028"/>
      <c r="S20" s="3028"/>
      <c r="T20" s="3028"/>
      <c r="U20" s="3028"/>
      <c r="V20" s="3028"/>
    </row>
    <row r="21" spans="1:22">
      <c r="A21" s="1630" t="s">
        <v>3338</v>
      </c>
      <c r="B21" s="1630" t="s">
        <v>3289</v>
      </c>
      <c r="C21" s="1630" t="s">
        <v>3290</v>
      </c>
      <c r="D21" s="1630">
        <v>465</v>
      </c>
      <c r="E21" s="1630">
        <v>558</v>
      </c>
      <c r="F21" s="1630" t="s">
        <v>3291</v>
      </c>
      <c r="G21" s="1630" t="s">
        <v>3292</v>
      </c>
      <c r="H21" s="1630" t="s">
        <v>3339</v>
      </c>
      <c r="I21" s="1630">
        <v>22</v>
      </c>
      <c r="J21" s="1630">
        <v>22</v>
      </c>
      <c r="K21" s="1630">
        <v>394.26</v>
      </c>
      <c r="L21" s="1630">
        <v>0</v>
      </c>
      <c r="M21" s="1630" t="s">
        <v>3340</v>
      </c>
    </row>
    <row r="22" spans="1:22">
      <c r="A22" s="1630" t="s">
        <v>3338</v>
      </c>
      <c r="B22" s="1630" t="s">
        <v>3289</v>
      </c>
      <c r="C22" s="1630" t="s">
        <v>3312</v>
      </c>
      <c r="D22" s="1630">
        <v>14087</v>
      </c>
      <c r="E22" s="1630">
        <v>16904.400000000001</v>
      </c>
      <c r="F22" s="1630" t="s">
        <v>3291</v>
      </c>
      <c r="G22" s="1630" t="s">
        <v>3292</v>
      </c>
      <c r="H22" s="1630" t="s">
        <v>3339</v>
      </c>
      <c r="I22" s="1630">
        <v>675</v>
      </c>
      <c r="J22" s="1630">
        <v>675</v>
      </c>
      <c r="K22" s="1630">
        <v>399.3</v>
      </c>
      <c r="L22" s="1630">
        <v>0</v>
      </c>
      <c r="M22" s="1630" t="s">
        <v>3340</v>
      </c>
    </row>
    <row r="23" spans="1:22">
      <c r="A23" s="1630" t="s">
        <v>3341</v>
      </c>
      <c r="B23" s="1630" t="s">
        <v>3289</v>
      </c>
      <c r="C23" s="1630" t="s">
        <v>3290</v>
      </c>
      <c r="D23" s="1630">
        <v>8316</v>
      </c>
      <c r="E23" s="1630">
        <v>9979.2000000000007</v>
      </c>
      <c r="F23" s="1630" t="s">
        <v>3291</v>
      </c>
      <c r="G23" s="1630" t="s">
        <v>3292</v>
      </c>
      <c r="H23" s="1630" t="s">
        <v>3342</v>
      </c>
      <c r="I23" s="1630">
        <v>447</v>
      </c>
      <c r="J23" s="1630">
        <v>447</v>
      </c>
      <c r="K23" s="1630">
        <v>447.93</v>
      </c>
      <c r="L23" s="1630">
        <v>0</v>
      </c>
      <c r="M23" s="1630" t="s">
        <v>3343</v>
      </c>
    </row>
    <row r="24" spans="1:22">
      <c r="A24" s="1630" t="s">
        <v>3344</v>
      </c>
      <c r="B24" s="1630" t="s">
        <v>3289</v>
      </c>
      <c r="C24" s="1630" t="s">
        <v>3290</v>
      </c>
      <c r="D24" s="1630">
        <v>5226</v>
      </c>
      <c r="E24" s="1630">
        <v>7839</v>
      </c>
      <c r="F24" s="1630" t="s">
        <v>3296</v>
      </c>
      <c r="G24" s="1630" t="s">
        <v>3292</v>
      </c>
      <c r="H24" s="1630" t="s">
        <v>3342</v>
      </c>
      <c r="I24" s="1630">
        <v>293</v>
      </c>
      <c r="J24" s="1630">
        <v>293</v>
      </c>
      <c r="K24" s="1630">
        <v>373.76</v>
      </c>
      <c r="L24" s="1630">
        <v>0</v>
      </c>
      <c r="M24" s="1630" t="s">
        <v>3345</v>
      </c>
    </row>
    <row r="25" spans="1:22">
      <c r="A25" s="1630" t="s">
        <v>3346</v>
      </c>
      <c r="B25" s="1630" t="s">
        <v>3289</v>
      </c>
      <c r="C25" s="1630" t="s">
        <v>3290</v>
      </c>
      <c r="D25" s="1630">
        <v>12923</v>
      </c>
      <c r="E25" s="1630">
        <v>19384.5</v>
      </c>
      <c r="F25" s="1630" t="s">
        <v>3296</v>
      </c>
      <c r="G25" s="1630" t="s">
        <v>3292</v>
      </c>
      <c r="H25" s="1630" t="s">
        <v>3342</v>
      </c>
      <c r="I25" s="1630">
        <v>726</v>
      </c>
      <c r="J25" s="1630">
        <v>726</v>
      </c>
      <c r="K25" s="1630">
        <v>374.52</v>
      </c>
      <c r="L25" s="1630">
        <v>0</v>
      </c>
      <c r="M25" s="1630" t="s">
        <v>3347</v>
      </c>
    </row>
    <row r="26" spans="1:22">
      <c r="A26" s="1630" t="s">
        <v>3346</v>
      </c>
      <c r="B26" s="1630" t="s">
        <v>3289</v>
      </c>
      <c r="C26" s="1630" t="s">
        <v>3290</v>
      </c>
      <c r="D26" s="1630">
        <v>2278</v>
      </c>
      <c r="E26" s="1630">
        <v>3417</v>
      </c>
      <c r="F26" s="1630" t="s">
        <v>3296</v>
      </c>
      <c r="G26" s="1630" t="s">
        <v>3292</v>
      </c>
      <c r="H26" s="1630" t="s">
        <v>3342</v>
      </c>
      <c r="I26" s="1630">
        <v>128</v>
      </c>
      <c r="J26" s="1630">
        <v>128</v>
      </c>
      <c r="K26" s="1630">
        <v>374.6</v>
      </c>
      <c r="L26" s="1630">
        <v>0</v>
      </c>
      <c r="M26" s="1630" t="s">
        <v>3347</v>
      </c>
    </row>
    <row r="27" spans="1:22">
      <c r="A27" s="1630" t="s">
        <v>3348</v>
      </c>
      <c r="B27" s="1630" t="s">
        <v>3289</v>
      </c>
      <c r="C27" s="1630" t="s">
        <v>3290</v>
      </c>
      <c r="D27" s="1630">
        <v>6688</v>
      </c>
      <c r="E27" s="1630">
        <v>10032</v>
      </c>
      <c r="F27" s="1630" t="s">
        <v>3296</v>
      </c>
      <c r="G27" s="1630" t="s">
        <v>3292</v>
      </c>
      <c r="H27" s="1630" t="s">
        <v>3342</v>
      </c>
      <c r="I27" s="1630" t="s">
        <v>1331</v>
      </c>
      <c r="J27" s="1630">
        <v>377</v>
      </c>
      <c r="K27" s="1630">
        <v>375.8</v>
      </c>
      <c r="L27" s="1630" t="s">
        <v>1331</v>
      </c>
      <c r="M27" s="1630" t="s">
        <v>3349</v>
      </c>
    </row>
    <row r="28" spans="1:22">
      <c r="A28" s="1630" t="s">
        <v>3348</v>
      </c>
      <c r="B28" s="1630" t="s">
        <v>3289</v>
      </c>
      <c r="C28" s="1630" t="s">
        <v>3290</v>
      </c>
      <c r="D28" s="1630">
        <v>11765</v>
      </c>
      <c r="E28" s="1630">
        <v>17647.5</v>
      </c>
      <c r="F28" s="1630" t="s">
        <v>3296</v>
      </c>
      <c r="G28" s="1630" t="s">
        <v>3292</v>
      </c>
      <c r="H28" s="1630" t="s">
        <v>3342</v>
      </c>
      <c r="I28" s="1630" t="s">
        <v>1331</v>
      </c>
      <c r="J28" s="1630">
        <v>662</v>
      </c>
      <c r="K28" s="1630">
        <v>375.12</v>
      </c>
      <c r="L28" s="1630" t="s">
        <v>1331</v>
      </c>
      <c r="M28" s="1630" t="s">
        <v>3349</v>
      </c>
    </row>
    <row r="29" spans="1:22">
      <c r="A29" s="1630" t="s">
        <v>3350</v>
      </c>
      <c r="B29" s="1630" t="s">
        <v>3289</v>
      </c>
      <c r="C29" s="1630" t="s">
        <v>3312</v>
      </c>
      <c r="D29" s="1630">
        <v>64452</v>
      </c>
      <c r="E29" s="1630">
        <v>141794.4</v>
      </c>
      <c r="F29" s="1630" t="s">
        <v>3336</v>
      </c>
      <c r="G29" s="1630" t="s">
        <v>3292</v>
      </c>
      <c r="H29" s="1630" t="s">
        <v>3351</v>
      </c>
      <c r="I29" s="1630">
        <v>10782.81</v>
      </c>
      <c r="J29" s="1630">
        <v>10782.81</v>
      </c>
      <c r="K29" s="1630">
        <v>760.45</v>
      </c>
      <c r="L29" s="1630">
        <v>0</v>
      </c>
      <c r="M29" s="1630" t="s">
        <v>3352</v>
      </c>
    </row>
    <row r="30" spans="1:22">
      <c r="A30" s="1630" t="s">
        <v>3353</v>
      </c>
      <c r="B30" s="1630" t="s">
        <v>3289</v>
      </c>
      <c r="C30" s="1630" t="s">
        <v>3290</v>
      </c>
      <c r="D30" s="1630">
        <v>20960</v>
      </c>
      <c r="E30" s="1630">
        <v>31440</v>
      </c>
      <c r="F30" s="1630" t="s">
        <v>3296</v>
      </c>
      <c r="G30" s="1630" t="s">
        <v>3292</v>
      </c>
      <c r="H30" s="1630" t="s">
        <v>3351</v>
      </c>
      <c r="I30" s="1630">
        <v>4039</v>
      </c>
      <c r="J30" s="1630">
        <v>4199</v>
      </c>
      <c r="K30" s="1630">
        <v>1335.55</v>
      </c>
      <c r="L30" s="1630">
        <v>3.96</v>
      </c>
      <c r="M30" s="1630" t="s">
        <v>3354</v>
      </c>
    </row>
    <row r="31" spans="1:22">
      <c r="A31" s="1630" t="s">
        <v>3355</v>
      </c>
      <c r="B31" s="1630" t="s">
        <v>3289</v>
      </c>
      <c r="C31" s="1630" t="s">
        <v>3312</v>
      </c>
      <c r="D31" s="1630">
        <v>12407</v>
      </c>
      <c r="E31" s="1630">
        <v>39702.400000000001</v>
      </c>
      <c r="F31" s="1630" t="s">
        <v>3356</v>
      </c>
      <c r="G31" s="1630" t="s">
        <v>3292</v>
      </c>
      <c r="H31" s="1630" t="s">
        <v>3351</v>
      </c>
      <c r="I31" s="1630">
        <v>1613</v>
      </c>
      <c r="J31" s="1630">
        <v>1613</v>
      </c>
      <c r="K31" s="1630">
        <v>406.26</v>
      </c>
      <c r="L31" s="1630">
        <v>0</v>
      </c>
      <c r="M31" s="1630" t="s">
        <v>3357</v>
      </c>
    </row>
    <row r="32" spans="1:22">
      <c r="A32" s="1630" t="s">
        <v>3358</v>
      </c>
      <c r="B32" s="1630" t="s">
        <v>3289</v>
      </c>
      <c r="C32" s="1630" t="s">
        <v>3290</v>
      </c>
      <c r="D32" s="1630">
        <v>43674</v>
      </c>
      <c r="E32" s="1630">
        <v>65511</v>
      </c>
      <c r="F32" s="1630" t="s">
        <v>3296</v>
      </c>
      <c r="G32" s="1630" t="s">
        <v>3292</v>
      </c>
      <c r="H32" s="1630" t="s">
        <v>3351</v>
      </c>
      <c r="I32" s="1630">
        <v>8316</v>
      </c>
      <c r="J32" s="1630">
        <v>14396</v>
      </c>
      <c r="K32" s="1630">
        <v>2197.48</v>
      </c>
      <c r="L32" s="1630">
        <v>73.11</v>
      </c>
      <c r="M32" s="1630" t="s">
        <v>3354</v>
      </c>
    </row>
    <row r="33" spans="1:13">
      <c r="A33" s="1630" t="s">
        <v>3359</v>
      </c>
      <c r="B33" s="1630" t="s">
        <v>3289</v>
      </c>
      <c r="C33" s="1630" t="s">
        <v>3290</v>
      </c>
      <c r="D33" s="1630">
        <v>43333</v>
      </c>
      <c r="E33" s="1630">
        <v>51999.6</v>
      </c>
      <c r="F33" s="1630" t="s">
        <v>3291</v>
      </c>
      <c r="G33" s="1630" t="s">
        <v>3292</v>
      </c>
      <c r="H33" s="1630" t="s">
        <v>3351</v>
      </c>
      <c r="I33" s="1630" t="s">
        <v>1331</v>
      </c>
      <c r="J33" s="1630">
        <v>17969</v>
      </c>
      <c r="K33" s="1630">
        <v>3455.59</v>
      </c>
      <c r="L33" s="1630" t="s">
        <v>1331</v>
      </c>
      <c r="M33" s="1630" t="s">
        <v>3360</v>
      </c>
    </row>
    <row r="34" spans="1:13">
      <c r="A34" s="1630" t="s">
        <v>3361</v>
      </c>
      <c r="B34" s="1630" t="s">
        <v>3289</v>
      </c>
      <c r="C34" s="1630" t="s">
        <v>3290</v>
      </c>
      <c r="D34" s="1630">
        <v>51904</v>
      </c>
      <c r="E34" s="1630">
        <v>129760</v>
      </c>
      <c r="F34" s="1630" t="s">
        <v>3362</v>
      </c>
      <c r="G34" s="1630" t="s">
        <v>3292</v>
      </c>
      <c r="H34" s="1630" t="s">
        <v>3363</v>
      </c>
      <c r="I34" s="1630">
        <v>10644</v>
      </c>
      <c r="J34" s="1630">
        <v>14164</v>
      </c>
      <c r="K34" s="1630">
        <v>1091.54</v>
      </c>
      <c r="L34" s="1630">
        <v>33.07</v>
      </c>
      <c r="M34" s="1630" t="s">
        <v>3364</v>
      </c>
    </row>
    <row r="35" spans="1:13">
      <c r="A35" s="1630" t="s">
        <v>3365</v>
      </c>
      <c r="B35" s="1630" t="s">
        <v>3289</v>
      </c>
      <c r="C35" s="1630" t="s">
        <v>3290</v>
      </c>
      <c r="D35" s="1630">
        <v>26235</v>
      </c>
      <c r="E35" s="1630">
        <v>39352.5</v>
      </c>
      <c r="F35" s="1630" t="s">
        <v>3366</v>
      </c>
      <c r="G35" s="1630" t="s">
        <v>3292</v>
      </c>
      <c r="H35" s="1630" t="s">
        <v>3363</v>
      </c>
      <c r="I35" s="1630">
        <v>1650</v>
      </c>
      <c r="J35" s="1630">
        <v>1650</v>
      </c>
      <c r="K35" s="1630">
        <v>419.29</v>
      </c>
      <c r="L35" s="1630">
        <v>0</v>
      </c>
      <c r="M35" s="1630" t="s">
        <v>3367</v>
      </c>
    </row>
    <row r="36" spans="1:13">
      <c r="A36" s="1630" t="s">
        <v>3368</v>
      </c>
      <c r="B36" s="1630" t="s">
        <v>3289</v>
      </c>
      <c r="C36" s="1630" t="s">
        <v>3290</v>
      </c>
      <c r="D36" s="1630">
        <v>1630</v>
      </c>
      <c r="E36" s="1630">
        <v>3586</v>
      </c>
      <c r="F36" s="1630" t="s">
        <v>3369</v>
      </c>
      <c r="G36" s="1630" t="s">
        <v>3292</v>
      </c>
      <c r="H36" s="1630" t="s">
        <v>3363</v>
      </c>
      <c r="I36" s="1630">
        <v>373</v>
      </c>
      <c r="J36" s="1630">
        <v>373</v>
      </c>
      <c r="K36" s="1630">
        <v>1040.1600000000001</v>
      </c>
      <c r="L36" s="1630">
        <v>0</v>
      </c>
      <c r="M36" s="1630" t="s">
        <v>3370</v>
      </c>
    </row>
    <row r="37" spans="1:13">
      <c r="A37" s="1630" t="s">
        <v>3371</v>
      </c>
      <c r="B37" s="1630" t="s">
        <v>3289</v>
      </c>
      <c r="C37" s="1630" t="s">
        <v>3312</v>
      </c>
      <c r="D37" s="1630">
        <v>82128</v>
      </c>
      <c r="E37" s="1630">
        <v>234064.8</v>
      </c>
      <c r="F37" s="1630" t="s">
        <v>3372</v>
      </c>
      <c r="G37" s="1630" t="s">
        <v>3292</v>
      </c>
      <c r="H37" s="1630" t="s">
        <v>3373</v>
      </c>
      <c r="I37" s="1630">
        <v>27110.45</v>
      </c>
      <c r="J37" s="1630">
        <v>35910.44</v>
      </c>
      <c r="K37" s="1630">
        <v>1534.21</v>
      </c>
      <c r="L37" s="1630">
        <v>32.46</v>
      </c>
      <c r="M37" s="1630" t="s">
        <v>3374</v>
      </c>
    </row>
    <row r="38" spans="1:13">
      <c r="A38" s="1630" t="s">
        <v>3375</v>
      </c>
      <c r="B38" s="1630" t="s">
        <v>3289</v>
      </c>
      <c r="C38" s="1630" t="s">
        <v>3290</v>
      </c>
      <c r="D38" s="1630">
        <v>5695</v>
      </c>
      <c r="E38" s="1630">
        <v>9681.5</v>
      </c>
      <c r="F38" s="1630" t="s">
        <v>3376</v>
      </c>
      <c r="G38" s="1630" t="s">
        <v>3292</v>
      </c>
      <c r="H38" s="1630" t="s">
        <v>3373</v>
      </c>
      <c r="I38" s="1630">
        <v>1218.1600000000001</v>
      </c>
      <c r="J38" s="1630">
        <v>1218.1600000000001</v>
      </c>
      <c r="K38" s="1630">
        <v>1258.23</v>
      </c>
      <c r="L38" s="1630">
        <v>0</v>
      </c>
      <c r="M38" s="1630" t="s">
        <v>3377</v>
      </c>
    </row>
    <row r="39" spans="1:13">
      <c r="A39" s="1630" t="s">
        <v>3378</v>
      </c>
      <c r="B39" s="1630" t="s">
        <v>3289</v>
      </c>
      <c r="C39" s="1630" t="s">
        <v>3290</v>
      </c>
      <c r="D39" s="1630">
        <v>64587</v>
      </c>
      <c r="E39" s="1630">
        <v>77504.399999999994</v>
      </c>
      <c r="F39" s="1630" t="s">
        <v>3379</v>
      </c>
      <c r="G39" s="1630" t="s">
        <v>3292</v>
      </c>
      <c r="H39" s="1630" t="s">
        <v>3380</v>
      </c>
      <c r="I39" s="1630">
        <v>3417</v>
      </c>
      <c r="J39" s="1630">
        <v>3417</v>
      </c>
      <c r="K39" s="1630">
        <v>440.87</v>
      </c>
      <c r="L39" s="1630">
        <v>0</v>
      </c>
      <c r="M39" s="1630" t="s">
        <v>3381</v>
      </c>
    </row>
    <row r="40" spans="1:13">
      <c r="A40" s="1630" t="s">
        <v>3382</v>
      </c>
      <c r="B40" s="1630" t="s">
        <v>3289</v>
      </c>
      <c r="C40" s="1630" t="s">
        <v>3290</v>
      </c>
      <c r="D40" s="1630">
        <v>9590</v>
      </c>
      <c r="E40" s="1630">
        <v>19180</v>
      </c>
      <c r="F40" s="1630" t="s">
        <v>3299</v>
      </c>
      <c r="G40" s="1630" t="s">
        <v>3292</v>
      </c>
      <c r="H40" s="1630" t="s">
        <v>3383</v>
      </c>
      <c r="I40" s="1630">
        <v>2065</v>
      </c>
      <c r="J40" s="1630">
        <v>2065</v>
      </c>
      <c r="K40" s="1630">
        <v>1076.6400000000001</v>
      </c>
      <c r="L40" s="1630">
        <v>0</v>
      </c>
      <c r="M40" s="1630" t="s">
        <v>3384</v>
      </c>
    </row>
    <row r="41" spans="1:13">
      <c r="A41" s="1630" t="s">
        <v>3385</v>
      </c>
      <c r="B41" s="1630" t="s">
        <v>3289</v>
      </c>
      <c r="C41" s="1630" t="s">
        <v>3290</v>
      </c>
      <c r="D41" s="1630">
        <v>3333</v>
      </c>
      <c r="E41" s="1630">
        <v>5999.4</v>
      </c>
      <c r="F41" s="1630" t="s">
        <v>3303</v>
      </c>
      <c r="G41" s="1630" t="s">
        <v>3292</v>
      </c>
      <c r="H41" s="1630" t="s">
        <v>3383</v>
      </c>
      <c r="I41" s="1630">
        <v>238</v>
      </c>
      <c r="J41" s="1630">
        <v>238</v>
      </c>
      <c r="K41" s="1630">
        <v>396.7</v>
      </c>
      <c r="L41" s="1630">
        <v>0</v>
      </c>
      <c r="M41" s="1630" t="s">
        <v>3386</v>
      </c>
    </row>
    <row r="42" spans="1:13">
      <c r="A42" s="1630" t="s">
        <v>3387</v>
      </c>
      <c r="B42" s="1630" t="s">
        <v>3289</v>
      </c>
      <c r="C42" s="1630" t="s">
        <v>3312</v>
      </c>
      <c r="D42" s="1630">
        <v>46010</v>
      </c>
      <c r="E42" s="1630">
        <v>92020</v>
      </c>
      <c r="F42" s="1630" t="s">
        <v>3299</v>
      </c>
      <c r="G42" s="1630" t="s">
        <v>3292</v>
      </c>
      <c r="H42" s="1630" t="s">
        <v>3383</v>
      </c>
      <c r="I42" s="1630">
        <v>12734</v>
      </c>
      <c r="J42" s="1630">
        <v>12734</v>
      </c>
      <c r="K42" s="1630">
        <v>1383.82</v>
      </c>
      <c r="L42" s="1630">
        <v>0</v>
      </c>
      <c r="M42" s="1630" t="s">
        <v>3388</v>
      </c>
    </row>
    <row r="43" spans="1:13">
      <c r="A43" s="1630" t="s">
        <v>3389</v>
      </c>
      <c r="B43" s="1630" t="s">
        <v>3289</v>
      </c>
      <c r="C43" s="1630" t="s">
        <v>3290</v>
      </c>
      <c r="D43" s="1630">
        <v>6670</v>
      </c>
      <c r="E43" s="1630">
        <v>12673</v>
      </c>
      <c r="F43" s="1630" t="s">
        <v>3390</v>
      </c>
      <c r="G43" s="1630" t="s">
        <v>3292</v>
      </c>
      <c r="H43" s="1630" t="s">
        <v>3383</v>
      </c>
      <c r="I43" s="1630">
        <v>506</v>
      </c>
      <c r="J43" s="1630">
        <v>506</v>
      </c>
      <c r="K43" s="1630">
        <v>399.26</v>
      </c>
      <c r="L43" s="1630">
        <v>0</v>
      </c>
      <c r="M43" s="1630" t="s">
        <v>3391</v>
      </c>
    </row>
    <row r="44" spans="1:13">
      <c r="A44" s="1630" t="s">
        <v>3392</v>
      </c>
      <c r="B44" s="1630" t="s">
        <v>3289</v>
      </c>
      <c r="C44" s="1630" t="s">
        <v>3312</v>
      </c>
      <c r="D44" s="1630">
        <v>2415</v>
      </c>
      <c r="E44" s="1630">
        <v>7245</v>
      </c>
      <c r="F44" s="1630" t="s">
        <v>3307</v>
      </c>
      <c r="G44" s="1630" t="s">
        <v>3292</v>
      </c>
      <c r="H44" s="1630" t="s">
        <v>3383</v>
      </c>
      <c r="I44" s="1630">
        <v>664</v>
      </c>
      <c r="J44" s="1630">
        <v>664</v>
      </c>
      <c r="K44" s="1630">
        <v>916.49</v>
      </c>
      <c r="L44" s="1630">
        <v>0</v>
      </c>
      <c r="M44" s="1630" t="s">
        <v>3306</v>
      </c>
    </row>
    <row r="45" spans="1:13">
      <c r="A45" s="1630" t="s">
        <v>3393</v>
      </c>
      <c r="B45" s="1630" t="s">
        <v>3289</v>
      </c>
      <c r="C45" s="1630" t="s">
        <v>3290</v>
      </c>
      <c r="D45" s="1630">
        <v>13333</v>
      </c>
      <c r="E45" s="1630">
        <v>19999.5</v>
      </c>
      <c r="F45" s="1630" t="s">
        <v>3296</v>
      </c>
      <c r="G45" s="1630" t="s">
        <v>3292</v>
      </c>
      <c r="H45" s="1630" t="s">
        <v>3383</v>
      </c>
      <c r="I45" s="1630">
        <v>720</v>
      </c>
      <c r="J45" s="1630">
        <v>720</v>
      </c>
      <c r="K45" s="1630">
        <v>360</v>
      </c>
      <c r="L45" s="1630">
        <v>0</v>
      </c>
      <c r="M45" s="1630" t="s">
        <v>3367</v>
      </c>
    </row>
    <row r="46" spans="1:13">
      <c r="A46" s="1630" t="s">
        <v>3394</v>
      </c>
      <c r="B46" s="1630" t="s">
        <v>3289</v>
      </c>
      <c r="C46" s="1630" t="s">
        <v>3312</v>
      </c>
      <c r="D46" s="1630">
        <v>52798</v>
      </c>
      <c r="E46" s="1630">
        <v>105596</v>
      </c>
      <c r="F46" s="1630" t="s">
        <v>3299</v>
      </c>
      <c r="G46" s="1630" t="s">
        <v>3292</v>
      </c>
      <c r="H46" s="1630" t="s">
        <v>3383</v>
      </c>
      <c r="I46" s="1630">
        <v>13531</v>
      </c>
      <c r="J46" s="1630">
        <v>13531</v>
      </c>
      <c r="K46" s="1630">
        <v>1281.3900000000001</v>
      </c>
      <c r="L46" s="1630">
        <v>0</v>
      </c>
      <c r="M46" s="1630" t="s">
        <v>3395</v>
      </c>
    </row>
    <row r="47" spans="1:13">
      <c r="A47" s="1630" t="s">
        <v>3396</v>
      </c>
      <c r="B47" s="1630" t="s">
        <v>3289</v>
      </c>
      <c r="C47" s="1630" t="s">
        <v>3312</v>
      </c>
      <c r="D47" s="1630">
        <v>6080</v>
      </c>
      <c r="E47" s="1630">
        <v>13376</v>
      </c>
      <c r="F47" s="1630" t="s">
        <v>3369</v>
      </c>
      <c r="G47" s="1630" t="s">
        <v>3292</v>
      </c>
      <c r="H47" s="1630" t="s">
        <v>3397</v>
      </c>
      <c r="I47" s="1630">
        <v>879</v>
      </c>
      <c r="J47" s="1630">
        <v>879</v>
      </c>
      <c r="K47" s="1630">
        <v>657.14</v>
      </c>
      <c r="L47" s="1630">
        <v>0</v>
      </c>
      <c r="M47" s="1630" t="s">
        <v>3398</v>
      </c>
    </row>
    <row r="48" spans="1:13">
      <c r="A48" s="1630" t="s">
        <v>3399</v>
      </c>
      <c r="B48" s="1630" t="s">
        <v>3289</v>
      </c>
      <c r="C48" s="1630" t="s">
        <v>3290</v>
      </c>
      <c r="D48" s="1630">
        <v>72760</v>
      </c>
      <c r="E48" s="1630">
        <v>109140</v>
      </c>
      <c r="F48" s="1630" t="s">
        <v>3366</v>
      </c>
      <c r="G48" s="1630" t="s">
        <v>3292</v>
      </c>
      <c r="H48" s="1630" t="s">
        <v>3400</v>
      </c>
      <c r="I48" s="1630">
        <v>14981</v>
      </c>
      <c r="J48" s="1630">
        <v>14981</v>
      </c>
      <c r="K48" s="1630">
        <v>1372.64</v>
      </c>
      <c r="L48" s="1630">
        <v>0</v>
      </c>
      <c r="M48" s="1630" t="s">
        <v>3354</v>
      </c>
    </row>
    <row r="49" spans="1:13">
      <c r="A49" s="1630" t="s">
        <v>3401</v>
      </c>
      <c r="B49" s="1630" t="s">
        <v>3289</v>
      </c>
      <c r="C49" s="1630" t="s">
        <v>3312</v>
      </c>
      <c r="D49" s="1630">
        <v>39629</v>
      </c>
      <c r="E49" s="1630">
        <v>91146.7</v>
      </c>
      <c r="F49" s="1630" t="s">
        <v>3402</v>
      </c>
      <c r="G49" s="1630" t="s">
        <v>3292</v>
      </c>
      <c r="H49" s="1630" t="s">
        <v>3403</v>
      </c>
      <c r="I49" s="1630">
        <v>8338</v>
      </c>
      <c r="J49" s="1630">
        <v>8338</v>
      </c>
      <c r="K49" s="1630">
        <v>914.78</v>
      </c>
      <c r="L49" s="1630">
        <v>0</v>
      </c>
      <c r="M49" s="1630" t="s">
        <v>3404</v>
      </c>
    </row>
    <row r="50" spans="1:13">
      <c r="A50" s="1630" t="s">
        <v>3405</v>
      </c>
      <c r="B50" s="1630" t="s">
        <v>3289</v>
      </c>
      <c r="C50" s="1630" t="s">
        <v>3290</v>
      </c>
      <c r="D50" s="1630">
        <v>39030</v>
      </c>
      <c r="E50" s="1630">
        <v>117090</v>
      </c>
      <c r="F50" s="1630" t="s">
        <v>3406</v>
      </c>
      <c r="G50" s="1630" t="s">
        <v>3292</v>
      </c>
      <c r="H50" s="1630" t="s">
        <v>3403</v>
      </c>
      <c r="I50" s="1630">
        <v>2941</v>
      </c>
      <c r="J50" s="1630">
        <v>2941</v>
      </c>
      <c r="K50" s="1630">
        <v>251.16</v>
      </c>
      <c r="L50" s="1630">
        <v>0</v>
      </c>
      <c r="M50" s="1630" t="s">
        <v>3407</v>
      </c>
    </row>
    <row r="51" spans="1:13">
      <c r="A51" s="1630" t="s">
        <v>3408</v>
      </c>
      <c r="B51" s="1630" t="s">
        <v>3289</v>
      </c>
      <c r="C51" s="1630" t="s">
        <v>3290</v>
      </c>
      <c r="D51" s="1630">
        <v>3813</v>
      </c>
      <c r="E51" s="1630">
        <v>4575.6000000000004</v>
      </c>
      <c r="F51" s="1630" t="s">
        <v>3379</v>
      </c>
      <c r="G51" s="1630" t="s">
        <v>3292</v>
      </c>
      <c r="H51" s="1630" t="s">
        <v>3403</v>
      </c>
      <c r="I51" s="1630">
        <v>769</v>
      </c>
      <c r="J51" s="1630">
        <v>769</v>
      </c>
      <c r="K51" s="1630">
        <v>1680.65</v>
      </c>
      <c r="L51" s="1630">
        <v>0</v>
      </c>
      <c r="M51" s="1630" t="s">
        <v>3409</v>
      </c>
    </row>
  </sheetData>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tabSelected="1" workbookViewId="0">
      <selection activeCell="B2" sqref="B2"/>
    </sheetView>
  </sheetViews>
  <sheetFormatPr defaultRowHeight="13.5"/>
  <cols>
    <col min="1" max="1" width="12.375" customWidth="1"/>
  </cols>
  <sheetData>
    <row r="1" spans="1:2">
      <c r="A1" s="3021" t="s">
        <v>3546</v>
      </c>
    </row>
    <row r="2" spans="1:2">
      <c r="A2" s="3021" t="s">
        <v>3547</v>
      </c>
      <c r="B2">
        <f>'数据-汇总表'!E3+'[5]数据-汇总表'!$E$3</f>
        <v>136251.57999999999</v>
      </c>
    </row>
    <row r="3" spans="1:2">
      <c r="A3" s="3021" t="s">
        <v>3548</v>
      </c>
      <c r="B3">
        <f>'数据-汇总表'!D3+'[5]数据-汇总表'!$D$3</f>
        <v>108404.25</v>
      </c>
    </row>
    <row r="5" spans="1:2">
      <c r="A5" s="3021" t="s">
        <v>3549</v>
      </c>
      <c r="B5">
        <f>'数据-汇总表'!F19+'[5]数据-汇总表'!$F$19</f>
        <v>95530.829999999987</v>
      </c>
    </row>
    <row r="6" spans="1:2">
      <c r="A6" s="3021" t="s">
        <v>3550</v>
      </c>
      <c r="B6">
        <f>'数据-汇总表'!G20+'[5]数据-汇总表'!$G$20</f>
        <v>10105.599999999999</v>
      </c>
    </row>
    <row r="7" spans="1:2">
      <c r="A7" s="3021" t="s">
        <v>3551</v>
      </c>
      <c r="B7">
        <f>'数据-汇总表'!G21+'[5]数据-汇总表'!$G$21</f>
        <v>18427.91</v>
      </c>
    </row>
    <row r="8" spans="1:2">
      <c r="A8" s="3021" t="s">
        <v>3552</v>
      </c>
      <c r="B8">
        <f>'数据-汇总表'!F28+'[5]数据-汇总表'!$F$28</f>
        <v>765.41</v>
      </c>
    </row>
    <row r="9" spans="1:2">
      <c r="A9" s="3021" t="s">
        <v>3553</v>
      </c>
      <c r="B9">
        <f>'数据-汇总表'!G28+'[5]数据-汇总表'!$G$28</f>
        <v>10360.009999999987</v>
      </c>
    </row>
    <row r="10" spans="1:2">
      <c r="A10" s="3021" t="s">
        <v>3554</v>
      </c>
      <c r="B10">
        <f>'数据-汇总表'!F29+'[5]数据-汇总表'!$F$29</f>
        <v>0</v>
      </c>
    </row>
    <row r="11" spans="1:2">
      <c r="A11" s="3021" t="s">
        <v>3555</v>
      </c>
      <c r="B11">
        <f>'数据-汇总表'!G29+'[5]数据-汇总表'!$G$29</f>
        <v>1061.82</v>
      </c>
    </row>
    <row r="12" spans="1:2">
      <c r="A12" s="3021" t="s">
        <v>3556</v>
      </c>
      <c r="B12">
        <f>B5+B6+B7</f>
        <v>124064.34</v>
      </c>
    </row>
    <row r="13" spans="1:2">
      <c r="A13" s="3021" t="s">
        <v>3557</v>
      </c>
      <c r="B13">
        <f>B8+B9+B11</f>
        <v>12187.239999999987</v>
      </c>
    </row>
    <row r="15" spans="1:2">
      <c r="A15" s="3021" t="s">
        <v>3558</v>
      </c>
      <c r="B15">
        <f ca="1">结果表!G19+[5]结果表!$G$19</f>
        <v>27791</v>
      </c>
    </row>
    <row r="16" spans="1:2">
      <c r="A16" s="3021" t="s">
        <v>3559</v>
      </c>
      <c r="B16">
        <f ca="1">ROUND(B15*10000/B2,0)</f>
        <v>2040</v>
      </c>
    </row>
    <row r="17" spans="1:5">
      <c r="A17" s="3021" t="s">
        <v>3560</v>
      </c>
      <c r="B17">
        <f ca="1">结果表!F118</f>
        <v>8497</v>
      </c>
      <c r="C17" s="3021" t="s">
        <v>3561</v>
      </c>
      <c r="D17">
        <f ca="1">结果表!G118</f>
        <v>1179</v>
      </c>
    </row>
    <row r="18" spans="1:5">
      <c r="A18" s="3021" t="s">
        <v>3562</v>
      </c>
      <c r="B18">
        <f ca="1">结果表!D118+[5]结果表!$G$19</f>
        <v>19294</v>
      </c>
      <c r="C18" s="3021" t="s">
        <v>3561</v>
      </c>
      <c r="D18">
        <f ca="1">B16-D17</f>
        <v>861</v>
      </c>
      <c r="E18">
        <f ca="1">ROUND(B18*10000/B2,0)</f>
        <v>1416</v>
      </c>
    </row>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90" t="s">
        <v>1662</v>
      </c>
      <c r="B1" s="3090"/>
      <c r="C1" s="3090"/>
      <c r="D1" s="3090"/>
    </row>
    <row r="2" spans="1:4" ht="18">
      <c r="A2" s="3091" t="s">
        <v>1646</v>
      </c>
      <c r="B2" s="3091"/>
      <c r="C2" s="3091"/>
      <c r="D2" s="3091"/>
    </row>
    <row r="3" spans="1:4" ht="18.75">
      <c r="A3" s="1972" t="s">
        <v>1647</v>
      </c>
      <c r="B3" s="1972" t="s">
        <v>1648</v>
      </c>
      <c r="C3" s="1972" t="s">
        <v>1649</v>
      </c>
      <c r="D3" s="1972" t="s">
        <v>1650</v>
      </c>
    </row>
    <row r="4" spans="1:4" ht="56.25" customHeight="1">
      <c r="A4" s="1973" t="str">
        <f>项目基本情况!B4</f>
        <v>刘梅</v>
      </c>
      <c r="B4" s="1974">
        <f ca="1">项目基本情况!C4</f>
        <v>1120140022</v>
      </c>
      <c r="C4" s="1975"/>
      <c r="D4" s="1976" t="s">
        <v>1651</v>
      </c>
    </row>
    <row r="5" spans="1:4" ht="56.25" customHeight="1">
      <c r="A5" s="1973" t="str">
        <f>项目基本情况!D4</f>
        <v>吴薇</v>
      </c>
      <c r="B5" s="1974">
        <f ca="1">项目基本情况!E4</f>
        <v>1419970001</v>
      </c>
      <c r="C5" s="1977"/>
      <c r="D5" s="1976" t="s">
        <v>1651</v>
      </c>
    </row>
    <row r="6" spans="1:4" ht="18">
      <c r="A6" s="3091" t="s">
        <v>1652</v>
      </c>
      <c r="B6" s="3091"/>
      <c r="C6" s="3091"/>
      <c r="D6" s="3091"/>
    </row>
    <row r="7" spans="1:4" ht="18.75">
      <c r="A7" s="1972" t="s">
        <v>1647</v>
      </c>
      <c r="B7" s="1974" t="s">
        <v>1653</v>
      </c>
      <c r="C7" s="1972" t="s">
        <v>1649</v>
      </c>
      <c r="D7" s="1972" t="s">
        <v>1650</v>
      </c>
    </row>
    <row r="8" spans="1:4" ht="56.25" customHeight="1">
      <c r="A8" s="1978" t="s">
        <v>869</v>
      </c>
      <c r="B8" s="1978" t="s">
        <v>1</v>
      </c>
      <c r="C8" s="1975"/>
      <c r="D8" s="1976" t="s">
        <v>1651</v>
      </c>
    </row>
    <row r="9" spans="1:4">
      <c r="A9" s="724"/>
      <c r="B9" s="724"/>
      <c r="C9" s="724"/>
      <c r="D9" s="724"/>
    </row>
    <row r="10" spans="1:4" ht="18.75">
      <c r="A10" s="1979" t="s">
        <v>1654</v>
      </c>
      <c r="B10" s="724"/>
      <c r="C10" s="724"/>
      <c r="D10" s="724"/>
    </row>
    <row r="11" spans="1:4" ht="30" customHeight="1">
      <c r="A11" s="3092" t="s">
        <v>1655</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93" t="str">
        <f>IF(项目基本情况!B8="抵押","4.本次评估估价师所知悉的法定优先受偿款情况说明如下：","——")</f>
        <v>4.本次评估估价师所知悉的法定优先受偿款情况说明如下：</v>
      </c>
      <c r="B14" s="3094"/>
      <c r="C14" s="3094"/>
      <c r="D14" s="3094"/>
    </row>
    <row r="15" spans="1:4" ht="42" customHeight="1">
      <c r="A15" s="3093" t="str">
        <f>IF(项目基本情况!B8="抵押","（1）"&amp;CONCATENATE(项目基本情况!L20,项目基本情况!L21,项目基本情况!L22),"——")</f>
        <v>（1）根据估价对象《房屋所有权证》原件、《国有土地使用权》原件，截至价值时点，估价对象抵押权未见登记。</v>
      </c>
      <c r="B15" s="3093"/>
      <c r="C15" s="3093"/>
      <c r="D15" s="3093"/>
    </row>
    <row r="16" spans="1:4" ht="30" customHeight="1">
      <c r="A16" s="3096" t="s">
        <v>1656</v>
      </c>
      <c r="B16" s="3096"/>
      <c r="C16" s="3096"/>
      <c r="D16" s="3096"/>
    </row>
    <row r="17" spans="1:4" ht="144" customHeight="1">
      <c r="A17" s="3096" t="s">
        <v>1657</v>
      </c>
      <c r="B17" s="3096"/>
      <c r="C17" s="3096"/>
      <c r="D17" s="3096"/>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3"/>
      <c r="C20" s="3093"/>
      <c r="D20" s="3093"/>
    </row>
    <row r="21" spans="1:4" ht="57.75" customHeight="1">
      <c r="A21" s="30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7"/>
      <c r="C21" s="3097"/>
      <c r="D21" s="3097"/>
    </row>
    <row r="22" spans="1:4" ht="18.75" customHeight="1">
      <c r="A22" s="3098" t="s">
        <v>1658</v>
      </c>
      <c r="B22" s="3098"/>
      <c r="C22" s="3098"/>
      <c r="D22" s="3098"/>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095">
        <v>42551</v>
      </c>
      <c r="D31" s="30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104" t="s">
        <v>1669</v>
      </c>
      <c r="B15" s="3099" t="s">
        <v>136</v>
      </c>
      <c r="C15" s="3100"/>
    </row>
    <row r="16" spans="1:7" ht="13.5">
      <c r="A16" s="3105"/>
      <c r="B16" s="3099" t="s">
        <v>69</v>
      </c>
      <c r="C16" s="3100"/>
    </row>
    <row r="17" spans="1:3" ht="13.5">
      <c r="A17" s="3105"/>
      <c r="B17" s="3102" t="s">
        <v>1670</v>
      </c>
      <c r="C17" s="1995" t="s">
        <v>1669</v>
      </c>
    </row>
    <row r="18" spans="1:3" ht="13.5">
      <c r="A18" s="3105"/>
      <c r="B18" s="3102"/>
      <c r="C18" s="1995" t="s">
        <v>1671</v>
      </c>
    </row>
    <row r="19" spans="1:3" ht="13.5">
      <c r="A19" s="3105"/>
      <c r="B19" s="3102"/>
      <c r="C19" s="1995" t="s">
        <v>1672</v>
      </c>
    </row>
    <row r="20" spans="1:3" ht="13.5">
      <c r="A20" s="3106"/>
      <c r="B20" s="3101" t="s">
        <v>1673</v>
      </c>
      <c r="C20" s="3100"/>
    </row>
    <row r="21" spans="1:3" ht="13.5">
      <c r="A21" s="1996" t="s">
        <v>1674</v>
      </c>
      <c r="B21" s="1997"/>
      <c r="C21" s="1998"/>
    </row>
    <row r="22" spans="1:3" ht="13.5">
      <c r="A22" s="3103" t="s">
        <v>1675</v>
      </c>
      <c r="B22" s="3101" t="s">
        <v>1676</v>
      </c>
      <c r="C22" s="3100"/>
    </row>
    <row r="23" spans="1:3" ht="13.5">
      <c r="A23" s="3103"/>
      <c r="B23" s="3101" t="s">
        <v>1677</v>
      </c>
      <c r="C23" s="3100"/>
    </row>
    <row r="24" spans="1:3" ht="13.5">
      <c r="A24" s="3103"/>
      <c r="B24" s="3101" t="s">
        <v>1678</v>
      </c>
      <c r="C24" s="3100"/>
    </row>
    <row r="25" spans="1:3" ht="13.5">
      <c r="A25" s="3103"/>
      <c r="B25" s="3102" t="s">
        <v>1679</v>
      </c>
      <c r="C25" s="1995" t="s">
        <v>1680</v>
      </c>
    </row>
    <row r="26" spans="1:3" ht="13.5">
      <c r="A26" s="3103"/>
      <c r="B26" s="3102"/>
      <c r="C26" s="1995" t="s">
        <v>1681</v>
      </c>
    </row>
    <row r="27" spans="1:3" ht="13.5">
      <c r="A27" s="3103"/>
      <c r="B27" s="3102"/>
      <c r="C27" s="1995" t="s">
        <v>1682</v>
      </c>
    </row>
    <row r="28" spans="1:3" ht="13.5">
      <c r="A28" s="3103"/>
      <c r="B28" s="3102"/>
      <c r="C28" s="1995" t="s">
        <v>1683</v>
      </c>
    </row>
    <row r="29" spans="1:3" ht="13.5">
      <c r="A29" s="3103"/>
      <c r="B29" s="3102"/>
      <c r="C29" s="1995" t="s">
        <v>1684</v>
      </c>
    </row>
    <row r="30" spans="1:3" ht="13.5">
      <c r="A30" s="3103"/>
      <c r="B30" s="3102"/>
      <c r="C30" s="1995" t="s">
        <v>1685</v>
      </c>
    </row>
    <row r="31" spans="1:3" ht="13.5">
      <c r="A31" s="3103"/>
      <c r="B31" s="3102"/>
      <c r="C31" s="1995" t="s">
        <v>1686</v>
      </c>
    </row>
    <row r="32" spans="1:3" ht="13.5">
      <c r="A32" s="3103"/>
      <c r="B32" s="3102"/>
      <c r="C32" s="1995" t="s">
        <v>1687</v>
      </c>
    </row>
    <row r="33" spans="1:3" ht="13.5">
      <c r="A33" s="3103"/>
      <c r="B33" s="3102"/>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43245</v>
      </c>
      <c r="C2" s="1017" t="s">
        <v>826</v>
      </c>
      <c r="D2" s="1017"/>
    </row>
    <row r="3" spans="1:6" ht="24" customHeight="1">
      <c r="A3" s="1018" t="s">
        <v>827</v>
      </c>
      <c r="B3" s="1019" t="s">
        <v>828</v>
      </c>
      <c r="C3" s="2335" t="s">
        <v>829</v>
      </c>
      <c r="D3" s="2338" t="s">
        <v>830</v>
      </c>
      <c r="E3" s="1020" t="s">
        <v>831</v>
      </c>
      <c r="F3" s="1019" t="s">
        <v>829</v>
      </c>
    </row>
    <row r="4" spans="1:6" ht="24" customHeight="1">
      <c r="A4" s="1697" t="s">
        <v>832</v>
      </c>
      <c r="B4" s="1020">
        <f ca="1">IF(C4&lt;B2,"已过期",1119970066)</f>
        <v>1119970066</v>
      </c>
      <c r="C4" s="2336">
        <v>43849</v>
      </c>
      <c r="D4" s="2339" t="s">
        <v>832</v>
      </c>
      <c r="E4" s="1020">
        <f ca="1">IF(F4&lt;B2,"已过期",96010014)</f>
        <v>96010014</v>
      </c>
      <c r="F4" s="1028">
        <v>47118</v>
      </c>
    </row>
    <row r="5" spans="1:6" ht="24" customHeight="1">
      <c r="A5" s="1697" t="s">
        <v>833</v>
      </c>
      <c r="B5" s="1020">
        <f ca="1">IF(C5&lt;B2,"已过期",1119970074)</f>
        <v>1119970074</v>
      </c>
      <c r="C5" s="2336">
        <v>43849</v>
      </c>
      <c r="D5" s="2339" t="s">
        <v>833</v>
      </c>
      <c r="E5" s="1020">
        <f ca="1">IF(F5&lt;B2,"已过期",2002110027)</f>
        <v>2002110027</v>
      </c>
      <c r="F5" s="1028">
        <v>46752</v>
      </c>
    </row>
    <row r="6" spans="1:6" ht="24" customHeight="1">
      <c r="A6" s="1697" t="s">
        <v>834</v>
      </c>
      <c r="B6" s="1020">
        <f ca="1">IF(C6&lt;B2,"已过期",1119970111)</f>
        <v>1119970111</v>
      </c>
      <c r="C6" s="2336">
        <v>43849</v>
      </c>
      <c r="D6" s="2339" t="s">
        <v>834</v>
      </c>
      <c r="E6" s="1020">
        <f ca="1">IF(F6&lt;B2,"已过期",94010078)</f>
        <v>94010078</v>
      </c>
      <c r="F6" s="1028">
        <v>46387</v>
      </c>
    </row>
    <row r="7" spans="1:6" ht="24" customHeight="1">
      <c r="A7" s="1697" t="s">
        <v>835</v>
      </c>
      <c r="B7" s="1020">
        <f ca="1">IF(C7&lt;B2,"已过期",1120050019)</f>
        <v>1120050019</v>
      </c>
      <c r="C7" s="2336">
        <v>43359</v>
      </c>
      <c r="D7" s="2339" t="s">
        <v>835</v>
      </c>
      <c r="E7" s="1020">
        <f ca="1">IF(F7&lt;B2,"已过期",2002110030)</f>
        <v>2002110030</v>
      </c>
      <c r="F7" s="1028">
        <v>46387</v>
      </c>
    </row>
    <row r="8" spans="1:6" ht="24" customHeight="1">
      <c r="A8" s="1697" t="s">
        <v>836</v>
      </c>
      <c r="B8" s="1020">
        <f ca="1">IF(C8&lt;B2,"已过期",1120000080)</f>
        <v>1120000080</v>
      </c>
      <c r="C8" s="2336">
        <v>43849</v>
      </c>
      <c r="D8" s="2339" t="s">
        <v>836</v>
      </c>
      <c r="E8" s="1020">
        <f ca="1">IF(F8&lt;B2,"已过期",2000110082)</f>
        <v>2000110082</v>
      </c>
      <c r="F8" s="1028">
        <v>46387</v>
      </c>
    </row>
    <row r="9" spans="1:6" ht="24" customHeight="1">
      <c r="A9" s="1697" t="s">
        <v>837</v>
      </c>
      <c r="B9" s="1020">
        <f ca="1">IF(C9&lt;B2,"已过期",1419970001)</f>
        <v>1419970001</v>
      </c>
      <c r="C9" s="2336">
        <v>43867</v>
      </c>
      <c r="D9" s="2339" t="s">
        <v>837</v>
      </c>
      <c r="E9" s="1020">
        <f ca="1">IF(F9&lt;B2,"已过期",2002110125)</f>
        <v>2002110125</v>
      </c>
      <c r="F9" s="1028">
        <v>47118</v>
      </c>
    </row>
    <row r="10" spans="1:6" ht="24" customHeight="1">
      <c r="A10" s="1697" t="s">
        <v>838</v>
      </c>
      <c r="B10" s="1020">
        <f ca="1">IF(C10&lt;B2,"已过期",1120060040)</f>
        <v>1120060040</v>
      </c>
      <c r="C10" s="2336">
        <v>43483</v>
      </c>
      <c r="D10" s="2339" t="s">
        <v>838</v>
      </c>
      <c r="E10" s="1020">
        <f ca="1">IF(F10&lt;B2,"已过期",2004110096)</f>
        <v>2004110096</v>
      </c>
      <c r="F10" s="1028">
        <v>47118</v>
      </c>
    </row>
    <row r="11" spans="1:6" ht="24" customHeight="1">
      <c r="A11" s="1697" t="s">
        <v>839</v>
      </c>
      <c r="B11" s="1020">
        <f ca="1">IF(C11&lt;B2,"已过期",1120100036)</f>
        <v>1120100036</v>
      </c>
      <c r="C11" s="2336">
        <v>43622</v>
      </c>
      <c r="D11" s="2339" t="s">
        <v>839</v>
      </c>
      <c r="E11" s="1020">
        <f ca="1">IF(F11&lt;B2,"已过期",2010110070)</f>
        <v>2010110070</v>
      </c>
      <c r="F11" s="1028">
        <v>47907</v>
      </c>
    </row>
    <row r="12" spans="1:6" ht="24" customHeight="1">
      <c r="A12" s="1697"/>
      <c r="B12" s="1020"/>
      <c r="C12" s="2336"/>
      <c r="D12" s="2339"/>
      <c r="E12" s="1020"/>
      <c r="F12" s="1020"/>
    </row>
    <row r="13" spans="1:6" ht="24" customHeight="1">
      <c r="A13" s="1697" t="s">
        <v>840</v>
      </c>
      <c r="B13" s="1020">
        <f ca="1">IF(C13&lt;B2,"已过期",1120070131)</f>
        <v>1120070131</v>
      </c>
      <c r="C13" s="2336">
        <v>43814</v>
      </c>
      <c r="D13" s="2339" t="s">
        <v>840</v>
      </c>
      <c r="E13" s="1020">
        <v>2014110011</v>
      </c>
      <c r="F13" s="1028">
        <v>49302</v>
      </c>
    </row>
    <row r="14" spans="1:6" ht="24" customHeight="1">
      <c r="A14" s="1697" t="s">
        <v>841</v>
      </c>
      <c r="B14" s="1020">
        <f ca="1">IF(C14&lt;B2,"已过期",1120130020)</f>
        <v>1120130020</v>
      </c>
      <c r="C14" s="2336">
        <v>43622</v>
      </c>
      <c r="D14" s="2339"/>
      <c r="E14" s="1020"/>
      <c r="F14" s="1020"/>
    </row>
    <row r="15" spans="1:6" ht="24" customHeight="1">
      <c r="A15" s="1698" t="s">
        <v>1149</v>
      </c>
      <c r="B15" s="1020">
        <v>1120070085</v>
      </c>
      <c r="C15" s="2336">
        <v>43814</v>
      </c>
      <c r="D15" s="2340" t="s">
        <v>1149</v>
      </c>
      <c r="E15" s="1020">
        <v>2004110128</v>
      </c>
      <c r="F15" s="1021">
        <v>47118</v>
      </c>
    </row>
    <row r="16" spans="1:6" ht="24" customHeight="1">
      <c r="A16" s="1697" t="s">
        <v>842</v>
      </c>
      <c r="B16" s="1020">
        <f ca="1">IF(C16&lt;B2,"已过期",1120140022)</f>
        <v>1120140022</v>
      </c>
      <c r="C16" s="2336">
        <v>44029</v>
      </c>
      <c r="D16" s="2339" t="s">
        <v>842</v>
      </c>
      <c r="E16" s="1020">
        <f ca="1">IF(F16&lt;B2,"已过期",2008110059)</f>
        <v>2008110059</v>
      </c>
      <c r="F16" s="1028">
        <v>47177</v>
      </c>
    </row>
    <row r="17" spans="1:7" ht="24" customHeight="1">
      <c r="A17" s="1697"/>
      <c r="B17" s="1020"/>
      <c r="C17" s="2336"/>
      <c r="D17" s="2339"/>
      <c r="E17" s="1020"/>
      <c r="F17" s="1028"/>
    </row>
    <row r="18" spans="1:7" ht="24" customHeight="1">
      <c r="A18" s="1697"/>
      <c r="B18" s="1020"/>
      <c r="C18" s="2336"/>
      <c r="D18" s="2339"/>
      <c r="E18" s="1020"/>
      <c r="F18" s="1028"/>
    </row>
    <row r="19" spans="1:7" ht="24" customHeight="1">
      <c r="A19" s="1697"/>
      <c r="B19" s="1020"/>
      <c r="C19" s="2336"/>
      <c r="D19" s="2339"/>
      <c r="E19" s="1020"/>
      <c r="F19" s="1020"/>
    </row>
    <row r="20" spans="1:7" ht="24" customHeight="1">
      <c r="A20" s="1697"/>
      <c r="B20" s="1020"/>
      <c r="C20" s="2336"/>
      <c r="D20" s="2339"/>
      <c r="E20" s="1020"/>
      <c r="F20" s="1020"/>
    </row>
    <row r="21" spans="1:7" ht="24" customHeight="1">
      <c r="A21" s="1697"/>
      <c r="B21" s="1020"/>
      <c r="C21" s="2336"/>
      <c r="D21" s="2339" t="s">
        <v>843</v>
      </c>
      <c r="E21" s="1020">
        <f ca="1">IF(F21&lt;B2,"已过期",2011110090)</f>
        <v>2011110090</v>
      </c>
      <c r="F21" s="1028">
        <v>48302</v>
      </c>
    </row>
    <row r="22" spans="1:7" ht="24" customHeight="1">
      <c r="A22" s="1697" t="s">
        <v>844</v>
      </c>
      <c r="B22" s="1020">
        <f ca="1">IF(C22&lt;B2,"已过期",1120020033)</f>
        <v>1120020033</v>
      </c>
      <c r="C22" s="2336">
        <v>43304</v>
      </c>
      <c r="D22" s="2339" t="s">
        <v>844</v>
      </c>
      <c r="E22" s="1020">
        <f ca="1">IF(F22&lt;B2,"已过期",2000110137)</f>
        <v>2000110137</v>
      </c>
      <c r="F22" s="1028">
        <v>46387</v>
      </c>
    </row>
    <row r="23" spans="1:7" ht="24" customHeight="1">
      <c r="A23" s="1697" t="s">
        <v>845</v>
      </c>
      <c r="B23" s="1020">
        <f ca="1">IF(C23&lt;B2,"已过期",1120130048)</f>
        <v>1120130048</v>
      </c>
      <c r="C23" s="2336">
        <v>43686</v>
      </c>
      <c r="D23" s="2339"/>
      <c r="E23" s="1020"/>
      <c r="F23" s="1020"/>
    </row>
    <row r="24" spans="1:7" s="1022" customFormat="1" ht="24" customHeight="1">
      <c r="A24" s="1698" t="s">
        <v>1333</v>
      </c>
      <c r="B24" s="1698" t="s">
        <v>1333</v>
      </c>
      <c r="C24" s="2337" t="s">
        <v>1333</v>
      </c>
      <c r="D24" s="2340" t="s">
        <v>1333</v>
      </c>
      <c r="E24" s="1698" t="s">
        <v>1333</v>
      </c>
      <c r="F24" s="1698" t="s">
        <v>1333</v>
      </c>
    </row>
    <row r="25" spans="1:7" ht="24" customHeight="1">
      <c r="A25" s="3107" t="s">
        <v>846</v>
      </c>
      <c r="B25" s="3107"/>
      <c r="C25" s="3107"/>
      <c r="D25" s="3107"/>
      <c r="E25" s="3107"/>
      <c r="F25" s="3107"/>
      <c r="G25" s="3107"/>
    </row>
    <row r="26" spans="1:7" s="1023" customFormat="1" ht="24" customHeight="1">
      <c r="A26" s="3108" t="s">
        <v>847</v>
      </c>
      <c r="B26" s="3108"/>
      <c r="C26" s="3109"/>
      <c r="D26" s="3110" t="s">
        <v>848</v>
      </c>
      <c r="E26" s="3108"/>
      <c r="F26" s="3108"/>
    </row>
    <row r="27" spans="1:7" s="1025" customFormat="1" ht="24" customHeight="1">
      <c r="A27" s="1024" t="s">
        <v>849</v>
      </c>
      <c r="B27" s="1019" t="s">
        <v>850</v>
      </c>
      <c r="C27" s="2335" t="s">
        <v>851</v>
      </c>
      <c r="D27" s="2343" t="s">
        <v>849</v>
      </c>
      <c r="E27" s="1019" t="s">
        <v>850</v>
      </c>
      <c r="F27" s="1019" t="s">
        <v>851</v>
      </c>
    </row>
    <row r="28" spans="1:7" s="1025" customFormat="1" ht="24" customHeight="1">
      <c r="A28" s="1026" t="s">
        <v>852</v>
      </c>
      <c r="B28" s="1027" t="s">
        <v>853</v>
      </c>
      <c r="C28" s="2341">
        <v>43725</v>
      </c>
      <c r="D28" s="2344" t="s">
        <v>854</v>
      </c>
      <c r="E28" s="1026" t="s">
        <v>855</v>
      </c>
      <c r="F28" s="1056">
        <v>44377</v>
      </c>
    </row>
    <row r="29" spans="1:7" s="1025" customFormat="1" ht="24" customHeight="1">
      <c r="A29" s="1026"/>
      <c r="B29" s="1026"/>
      <c r="C29" s="2342"/>
      <c r="D29" s="2344"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33" priority="55">
      <formula>AND($C28-TODAY()&lt;30,TODAY()&lt;$C28)</formula>
    </cfRule>
  </conditionalFormatting>
  <conditionalFormatting sqref="C28 F4">
    <cfRule type="cellIs" dxfId="232" priority="57" stopIfTrue="1" operator="lessThan">
      <formula>$B$2</formula>
    </cfRule>
  </conditionalFormatting>
  <conditionalFormatting sqref="C5">
    <cfRule type="expression" dxfId="231" priority="52">
      <formula>AND($C5-TODAY()&lt;30,TODAY()&lt;$C5)</formula>
    </cfRule>
  </conditionalFormatting>
  <conditionalFormatting sqref="C5 F5">
    <cfRule type="cellIs" dxfId="230" priority="53" stopIfTrue="1" operator="lessThan">
      <formula>$B$2</formula>
    </cfRule>
  </conditionalFormatting>
  <conditionalFormatting sqref="F6 F8 F10">
    <cfRule type="cellIs" dxfId="229" priority="51" stopIfTrue="1" operator="lessThan">
      <formula>$B$2</formula>
    </cfRule>
  </conditionalFormatting>
  <conditionalFormatting sqref="C4:C23">
    <cfRule type="expression" dxfId="228" priority="49">
      <formula>AND($C4-TODAY()&lt;30,TODAY()&lt;$C4)</formula>
    </cfRule>
  </conditionalFormatting>
  <conditionalFormatting sqref="F7 F9 F11 C4:C23">
    <cfRule type="cellIs" dxfId="227" priority="50" stopIfTrue="1" operator="lessThan">
      <formula>$B$2</formula>
    </cfRule>
  </conditionalFormatting>
  <conditionalFormatting sqref="C12">
    <cfRule type="expression" dxfId="226" priority="47">
      <formula>AND($C12-TODAY()&lt;30,TODAY()&lt;$C12)</formula>
    </cfRule>
  </conditionalFormatting>
  <conditionalFormatting sqref="C12">
    <cfRule type="cellIs" dxfId="225" priority="48" stopIfTrue="1" operator="lessThan">
      <formula>$B$2</formula>
    </cfRule>
  </conditionalFormatting>
  <conditionalFormatting sqref="C14">
    <cfRule type="expression" dxfId="224" priority="43">
      <formula>AND($C14-TODAY()&lt;30,TODAY()&lt;$C14)</formula>
    </cfRule>
  </conditionalFormatting>
  <conditionalFormatting sqref="C14">
    <cfRule type="cellIs" dxfId="223" priority="44" stopIfTrue="1" operator="lessThan">
      <formula>$B$2</formula>
    </cfRule>
  </conditionalFormatting>
  <conditionalFormatting sqref="C16">
    <cfRule type="expression" dxfId="222" priority="41">
      <formula>AND($C16-TODAY()&lt;30,TODAY()&lt;$C16)</formula>
    </cfRule>
  </conditionalFormatting>
  <conditionalFormatting sqref="C16">
    <cfRule type="cellIs" dxfId="221" priority="42" stopIfTrue="1" operator="lessThan">
      <formula>$B$2</formula>
    </cfRule>
  </conditionalFormatting>
  <conditionalFormatting sqref="C18">
    <cfRule type="expression" dxfId="220" priority="39">
      <formula>AND($C18-TODAY()&lt;30,TODAY()&lt;$C18)</formula>
    </cfRule>
  </conditionalFormatting>
  <conditionalFormatting sqref="C18">
    <cfRule type="cellIs" dxfId="219" priority="40" stopIfTrue="1" operator="lessThan">
      <formula>$B$2</formula>
    </cfRule>
  </conditionalFormatting>
  <conditionalFormatting sqref="C20">
    <cfRule type="expression" dxfId="218" priority="37">
      <formula>AND($C20-TODAY()&lt;30,TODAY()&lt;$C20)</formula>
    </cfRule>
  </conditionalFormatting>
  <conditionalFormatting sqref="C20">
    <cfRule type="cellIs" dxfId="217" priority="38" stopIfTrue="1" operator="lessThan">
      <formula>$B$2</formula>
    </cfRule>
  </conditionalFormatting>
  <conditionalFormatting sqref="C22">
    <cfRule type="expression" dxfId="216" priority="35">
      <formula>AND($C22-TODAY()&lt;30,TODAY()&lt;$C22)</formula>
    </cfRule>
  </conditionalFormatting>
  <conditionalFormatting sqref="C22">
    <cfRule type="cellIs" dxfId="215" priority="36" stopIfTrue="1" operator="lessThan">
      <formula>$B$2</formula>
    </cfRule>
  </conditionalFormatting>
  <conditionalFormatting sqref="C15">
    <cfRule type="expression" dxfId="214" priority="33">
      <formula>AND($C15-TODAY()&lt;30,TODAY()&lt;$C15)</formula>
    </cfRule>
  </conditionalFormatting>
  <conditionalFormatting sqref="C15">
    <cfRule type="cellIs" dxfId="213" priority="34" stopIfTrue="1" operator="lessThan">
      <formula>$B$2</formula>
    </cfRule>
  </conditionalFormatting>
  <conditionalFormatting sqref="C17">
    <cfRule type="expression" dxfId="212" priority="31">
      <formula>AND($C17-TODAY()&lt;30,TODAY()&lt;$C17)</formula>
    </cfRule>
  </conditionalFormatting>
  <conditionalFormatting sqref="C17">
    <cfRule type="cellIs" dxfId="211" priority="32" stopIfTrue="1" operator="lessThan">
      <formula>$B$2</formula>
    </cfRule>
  </conditionalFormatting>
  <conditionalFormatting sqref="C19">
    <cfRule type="expression" dxfId="210" priority="29">
      <formula>AND($C19-TODAY()&lt;30,TODAY()&lt;$C19)</formula>
    </cfRule>
  </conditionalFormatting>
  <conditionalFormatting sqref="C19">
    <cfRule type="cellIs" dxfId="209" priority="30" stopIfTrue="1" operator="lessThan">
      <formula>$B$2</formula>
    </cfRule>
  </conditionalFormatting>
  <conditionalFormatting sqref="C21">
    <cfRule type="expression" dxfId="208" priority="27">
      <formula>AND($C21-TODAY()&lt;30,TODAY()&lt;$C21)</formula>
    </cfRule>
  </conditionalFormatting>
  <conditionalFormatting sqref="C21">
    <cfRule type="cellIs" dxfId="207" priority="28" stopIfTrue="1" operator="lessThan">
      <formula>$B$2</formula>
    </cfRule>
  </conditionalFormatting>
  <conditionalFormatting sqref="C23">
    <cfRule type="expression" dxfId="206" priority="25">
      <formula>AND($C23-TODAY()&lt;30,TODAY()&lt;$C23)</formula>
    </cfRule>
  </conditionalFormatting>
  <conditionalFormatting sqref="C23">
    <cfRule type="cellIs" dxfId="205" priority="26" stopIfTrue="1" operator="lessThan">
      <formula>$B$2</formula>
    </cfRule>
  </conditionalFormatting>
  <conditionalFormatting sqref="F16">
    <cfRule type="cellIs" dxfId="204" priority="23" stopIfTrue="1" operator="lessThan">
      <formula>$B$2</formula>
    </cfRule>
  </conditionalFormatting>
  <conditionalFormatting sqref="F18">
    <cfRule type="cellIs" dxfId="203" priority="22" stopIfTrue="1" operator="lessThan">
      <formula>$B$2</formula>
    </cfRule>
  </conditionalFormatting>
  <conditionalFormatting sqref="F22">
    <cfRule type="cellIs" dxfId="202" priority="21" stopIfTrue="1" operator="lessThan">
      <formula>$B$2</formula>
    </cfRule>
  </conditionalFormatting>
  <conditionalFormatting sqref="F21">
    <cfRule type="cellIs" dxfId="201" priority="20" stopIfTrue="1" operator="lessThan">
      <formula>$B$2</formula>
    </cfRule>
  </conditionalFormatting>
  <conditionalFormatting sqref="F17">
    <cfRule type="cellIs" dxfId="200" priority="19" stopIfTrue="1" operator="lessThan">
      <formula>$B$2</formula>
    </cfRule>
  </conditionalFormatting>
  <conditionalFormatting sqref="B4:B14 E4:E14 B16:B23 E16:E23">
    <cfRule type="cellIs" dxfId="199" priority="18" stopIfTrue="1" operator="equal">
      <formula>"已过期"</formula>
    </cfRule>
  </conditionalFormatting>
  <conditionalFormatting sqref="A24:F24">
    <cfRule type="cellIs" dxfId="198" priority="14" stopIfTrue="1" operator="equal">
      <formula>"已过期"</formula>
    </cfRule>
  </conditionalFormatting>
  <conditionalFormatting sqref="F28">
    <cfRule type="expression" dxfId="197" priority="12">
      <formula>AND($E28-TODAY()&lt;30,TODAY()&lt;$E28)</formula>
    </cfRule>
  </conditionalFormatting>
  <conditionalFormatting sqref="F28">
    <cfRule type="cellIs" dxfId="196" priority="13" stopIfTrue="1" operator="lessThan">
      <formula>$B$2</formula>
    </cfRule>
  </conditionalFormatting>
  <conditionalFormatting sqref="F29">
    <cfRule type="expression" dxfId="195" priority="8" stopIfTrue="1">
      <formula>AND($E29-TODAY()&lt;30,TODAY()&lt;$E29)</formula>
    </cfRule>
  </conditionalFormatting>
  <conditionalFormatting sqref="F29">
    <cfRule type="cellIs" dxfId="194" priority="9" stopIfTrue="1" operator="lessThan">
      <formula>$B$2</formula>
    </cfRule>
  </conditionalFormatting>
  <conditionalFormatting sqref="B15">
    <cfRule type="cellIs" dxfId="193" priority="6" stopIfTrue="1" operator="equal">
      <formula>"已过期"</formula>
    </cfRule>
  </conditionalFormatting>
  <conditionalFormatting sqref="A15">
    <cfRule type="cellIs" dxfId="192" priority="5" stopIfTrue="1" operator="equal">
      <formula>"已过期"</formula>
    </cfRule>
  </conditionalFormatting>
  <conditionalFormatting sqref="C15">
    <cfRule type="expression" dxfId="191" priority="4">
      <formula>AND($C15-TODAY()&lt;30,TODAY()&lt;$C15)</formula>
    </cfRule>
  </conditionalFormatting>
  <conditionalFormatting sqref="E15">
    <cfRule type="cellIs" dxfId="190" priority="3" stopIfTrue="1" operator="equal">
      <formula>"已过期"</formula>
    </cfRule>
  </conditionalFormatting>
  <conditionalFormatting sqref="D15">
    <cfRule type="cellIs" dxfId="189" priority="2" stopIfTrue="1" operator="equal">
      <formula>"已过期"</formula>
    </cfRule>
  </conditionalFormatting>
  <conditionalFormatting sqref="F13">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157</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比较法-工业</vt:lpstr>
      <vt:lpstr>比较法-工业 (2)</vt:lpstr>
      <vt:lpstr>比较法-办公</vt:lpstr>
      <vt:lpstr>收益法（汇总）</vt:lpstr>
      <vt:lpstr>收益法出租</vt:lpstr>
      <vt:lpstr>比较法-住宅</vt:lpstr>
      <vt:lpstr>收益法</vt:lpstr>
      <vt:lpstr>收益法 (元)</vt:lpstr>
      <vt:lpstr>酒店收入计算</vt:lpstr>
      <vt:lpstr>比较法-商业</vt:lpstr>
      <vt:lpstr>比较法-办公 (租金)</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典型户型修正</vt:lpstr>
      <vt:lpstr>Sheet2</vt:lpstr>
      <vt:lpstr>年期修正系数</vt:lpstr>
      <vt:lpstr>收益法 (2)</vt:lpstr>
      <vt:lpstr>Sheet3</vt:lpstr>
      <vt:lpstr>Sheet4</vt:lpstr>
      <vt:lpstr>Sheet5</vt:lpstr>
      <vt:lpstr>估价师及机构信息!Print_Area</vt:lpstr>
      <vt:lpstr>收益法!Print_Area</vt:lpstr>
      <vt:lpstr>'收益法 (2)'!Print_Area</vt:lpstr>
      <vt:lpstr>'收益法 (元)'!Print_Area</vt:lpstr>
      <vt:lpstr>收益法出租!Print_Area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 (2)'!工业公共部分装修</vt:lpstr>
      <vt:lpstr>工业公共部分装修</vt:lpstr>
      <vt:lpstr>'比较法-工业 (2)'!工业基础设施水平</vt:lpstr>
      <vt:lpstr>工业基础设施水平</vt:lpstr>
      <vt:lpstr>'比较法-工业 (2)'!工业建筑结构</vt:lpstr>
      <vt:lpstr>工业建筑结构</vt:lpstr>
      <vt:lpstr>'比较法-工业 (2)'!工业建筑类型</vt:lpstr>
      <vt:lpstr>工业建筑类型</vt:lpstr>
      <vt:lpstr>'比较法-工业 (2)'!工业交易情况</vt:lpstr>
      <vt:lpstr>工业交易情况</vt:lpstr>
      <vt:lpstr>'比较法-工业 (2)'!工业内部装修</vt:lpstr>
      <vt:lpstr>工业内部装修</vt:lpstr>
      <vt:lpstr>'比较法-工业 (2)'!工业物业管理</vt:lpstr>
      <vt:lpstr>工业物业管理</vt:lpstr>
      <vt:lpstr>'比较法-工业 (2)'!工业用途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2018-05-25T02:15:58Z</dcterms:modified>
</cp:coreProperties>
</file>